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E6CA3004-19AE-4246-9B81-5E759C33E620}" xr6:coauthVersionLast="47" xr6:coauthVersionMax="47" xr10:uidLastSave="{00000000-0000-0000-0000-000000000000}"/>
  <bookViews>
    <workbookView xWindow="-108" yWindow="-108" windowWidth="20376" windowHeight="1221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42号结果表" sheetId="9" r:id="rId18"/>
    <sheet name="成本法" sheetId="68" state="hidden" r:id="rId19"/>
    <sheet name="假设开发法" sheetId="12" state="hidden" r:id="rId20"/>
    <sheet name="收益法" sheetId="15" state="hidden" r:id="rId21"/>
    <sheet name="42号比较法-商业" sheetId="33" r:id="rId22"/>
    <sheet name="42号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54号结果表" sheetId="85" r:id="rId35"/>
    <sheet name="54号比较法-商业" sheetId="86" r:id="rId36"/>
    <sheet name="54号收益法 (元) " sheetId="84" r:id="rId37"/>
    <sheet name="56号结果表" sheetId="87" r:id="rId38"/>
    <sheet name="56号比较法-商业" sheetId="88" r:id="rId39"/>
    <sheet name="56号收益法 (元)" sheetId="89" r:id="rId40"/>
    <sheet name="案例" sheetId="81" r:id="rId41"/>
    <sheet name="面积信息" sheetId="80" r:id="rId42"/>
    <sheet name="42号比较法-商业租金" sheetId="82" r:id="rId43"/>
    <sheet name="成本法 (元)" sheetId="69" r:id="rId44"/>
    <sheet name="基准地价修正" sheetId="43" r:id="rId45"/>
    <sheet name="修正" sheetId="45" state="hidden" r:id="rId46"/>
    <sheet name="容积率修正" sheetId="46" state="hidden" r:id="rId47"/>
    <sheet name="成本法（废）" sheetId="11" state="hidden" r:id="rId48"/>
    <sheet name="区片价" sheetId="44" r:id="rId49"/>
    <sheet name="因素修正幅度" sheetId="65" state="hidden" r:id="rId50"/>
    <sheet name="区片价（范围）" sheetId="75" state="hidden" r:id="rId51"/>
    <sheet name="地价-分区" sheetId="79" r:id="rId52"/>
    <sheet name="地价" sheetId="71" r:id="rId53"/>
    <sheet name="存贷款利率" sheetId="73" r:id="rId54"/>
  </sheets>
  <externalReferences>
    <externalReference r:id="rId55"/>
  </externalReferences>
  <definedNames>
    <definedName name="_xlnm._FilterDatabase" localSheetId="21" hidden="1">'42号比较法-商业'!$A$1:$L$49</definedName>
    <definedName name="_xlnm._FilterDatabase" localSheetId="42" hidden="1">'42号比较法-商业租金'!$A$1:$L$49</definedName>
    <definedName name="_xlnm._FilterDatabase" localSheetId="35" hidden="1">'54号比较法-商业'!$A$1:$L$49</definedName>
    <definedName name="_xlnm._FilterDatabase" localSheetId="38" hidden="1">'56号比较法-商业'!$A$1:$L$49</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'42号比较法-商业'!$A$1:$K$54,'42号比较法-商业'!$A$57:$M$131</definedName>
    <definedName name="_xlnm.Print_Area" localSheetId="42">'42号比较法-商业租金'!$A$1:$K$54,'42号比较法-商业租金'!$A$57:$M$131</definedName>
    <definedName name="_xlnm.Print_Area" localSheetId="17">'42号结果表'!$A$1:$I$127</definedName>
    <definedName name="_xlnm.Print_Area" localSheetId="22">'42号收益法 (元)'!$A$1:$F$43,'42号收益法 (元)'!$H$3:$M$29,'42号收益法 (元)'!$A$45:$F$71,'42号收益法 (元)'!$I$46:$N$65</definedName>
    <definedName name="_xlnm.Print_Area" localSheetId="35">'54号比较法-商业'!$A$1:$K$54,'54号比较法-商业'!$A$57:$M$131</definedName>
    <definedName name="_xlnm.Print_Area" localSheetId="34">'54号结果表'!$A$1:$I$127</definedName>
    <definedName name="_xlnm.Print_Area" localSheetId="36">'54号收益法 (元) '!$A$1:$F$43,'54号收益法 (元) '!$H$3:$M$29,'54号收益法 (元) '!$A$45:$F$71,'54号收益法 (元) '!$I$46:$N$65</definedName>
    <definedName name="_xlnm.Print_Area" localSheetId="38">'56号比较法-商业'!$A$1:$K$54,'56号比较法-商业'!$A$57:$M$131</definedName>
    <definedName name="_xlnm.Print_Area" localSheetId="37">'56号结果表'!$A$1:$I$127</definedName>
    <definedName name="_xlnm.Print_Area" localSheetId="39">'56号收益法 (元)'!$A$1:$F$43,'56号收益法 (元)'!$H$3:$M$29,'56号收益法 (元)'!$A$45:$F$71,'56号收益法 (元)'!$I$46:$N$65</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20">收益法!$A$1:$F$43,收益法!$H$3:$M$29,收益法!$A$46:$F$71,收益法!$I$46:$N$65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2">'42号比较法-商业租金'!$B$116:$M$116</definedName>
    <definedName name="商业层高" localSheetId="35">'54号比较法-商业'!$B$116:$M$116</definedName>
    <definedName name="商业层高" localSheetId="38">'56号比较法-商业'!$B$116:$M$116</definedName>
    <definedName name="商业层高">'42号比较法-商业'!$B$116:$M$116</definedName>
    <definedName name="商业成新度" localSheetId="42">'42号比较法-商业租金'!$B$109:$M$109</definedName>
    <definedName name="商业成新度" localSheetId="35">'54号比较法-商业'!$B$109:$M$109</definedName>
    <definedName name="商业成新度" localSheetId="38">'56号比较法-商业'!$B$109:$M$109</definedName>
    <definedName name="商业成新度">'42号比较法-商业'!$B$109:$M$109</definedName>
    <definedName name="商业繁华度">定义!$L$1:$L$6</definedName>
    <definedName name="商业公共部分装修" localSheetId="42">'42号比较法-商业租金'!$B$107:$M$107</definedName>
    <definedName name="商业公共部分装修" localSheetId="35">'54号比较法-商业'!$B$107:$M$107</definedName>
    <definedName name="商业公共部分装修" localSheetId="38">'56号比较法-商业'!$B$107:$M$107</definedName>
    <definedName name="商业公共部分装修">'42号比较法-商业'!$B$107:$M$107</definedName>
    <definedName name="商业基础设施水平" localSheetId="42">'42号比较法-商业租金'!$B$112:$M$112</definedName>
    <definedName name="商业基础设施水平" localSheetId="35">'54号比较法-商业'!$B$112:$M$112</definedName>
    <definedName name="商业基础设施水平" localSheetId="38">'56号比较法-商业'!$B$112:$M$112</definedName>
    <definedName name="商业基础设施水平">'42号比较法-商业'!$B$112:$M$112</definedName>
    <definedName name="商业建筑结构" localSheetId="42">'42号比较法-商业租金'!$B$105:$M$105</definedName>
    <definedName name="商业建筑结构" localSheetId="35">'54号比较法-商业'!$B$105:$M$105</definedName>
    <definedName name="商业建筑结构" localSheetId="38">'56号比较法-商业'!$B$105:$M$105</definedName>
    <definedName name="商业建筑结构">'42号比较法-商业'!$B$105:$M$105</definedName>
    <definedName name="商业交易情况" localSheetId="42">'42号比较法-商业租金'!$A$61:$M$61</definedName>
    <definedName name="商业交易情况" localSheetId="35">'54号比较法-商业'!$A$61:$M$61</definedName>
    <definedName name="商业交易情况" localSheetId="38">'56号比较法-商业'!$A$61:$M$61</definedName>
    <definedName name="商业交易情况">'42号比较法-商业'!$A$61:$M$61</definedName>
    <definedName name="商业街名称">修正!$C$71:$C$138</definedName>
    <definedName name="商业进深比" localSheetId="42">'42号比较法-商业租金'!$B$120:$M$120</definedName>
    <definedName name="商业进深比" localSheetId="35">'54号比较法-商业'!$B$120:$M$120</definedName>
    <definedName name="商业进深比" localSheetId="38">'56号比较法-商业'!$B$120:$M$120</definedName>
    <definedName name="商业进深比">'42号比较法-商业'!$B$120:$M$120</definedName>
    <definedName name="商业类型" localSheetId="42">'42号比较法-商业租金'!$B$100:$M$100</definedName>
    <definedName name="商业类型" localSheetId="35">'54号比较法-商业'!$B$100:$M$100</definedName>
    <definedName name="商业类型" localSheetId="38">'56号比较法-商业'!$B$100:$M$100</definedName>
    <definedName name="商业类型">'42号比较法-商业'!$B$100:$M$100</definedName>
    <definedName name="商业临街状况" localSheetId="42">'42号比较法-商业租金'!$B$86:$M$86</definedName>
    <definedName name="商业临街状况" localSheetId="35">'54号比较法-商业'!$B$86:$M$86</definedName>
    <definedName name="商业临街状况" localSheetId="38">'56号比较法-商业'!$B$86:$M$86</definedName>
    <definedName name="商业临街状况">'42号比较法-商业'!$B$86:$M$86</definedName>
    <definedName name="商业楼层" localSheetId="42">'42号比较法-商业租金'!$B$92:$M$92</definedName>
    <definedName name="商业楼层" localSheetId="35">'54号比较法-商业'!$B$92:$M$92</definedName>
    <definedName name="商业楼层" localSheetId="38">'56号比较法-商业'!$B$92:$M$92</definedName>
    <definedName name="商业楼层">'42号比较法-商业'!$B$92:$M$92</definedName>
    <definedName name="商业内部装修" localSheetId="42">'42号比较法-商业租金'!$B$122:$M$122</definedName>
    <definedName name="商业内部装修" localSheetId="35">'54号比较法-商业'!$B$122:$M$122</definedName>
    <definedName name="商业内部装修" localSheetId="38">'56号比较法-商业'!$B$122:$M$122</definedName>
    <definedName name="商业内部装修">'42号比较法-商业'!$B$122:$M$122</definedName>
    <definedName name="商业人流量" localSheetId="42">'42号比较法-商业租金'!$B$90:$M$90</definedName>
    <definedName name="商业人流量" localSheetId="35">'54号比较法-商业'!$B$90:$M$90</definedName>
    <definedName name="商业人流量" localSheetId="38">'56号比较法-商业'!$B$90:$M$90</definedName>
    <definedName name="商业人流量">'42号比较法-商业'!$B$90:$M$90</definedName>
    <definedName name="商业业态" localSheetId="42">'42号比较法-商业租金'!$B$114:$M$114</definedName>
    <definedName name="商业业态" localSheetId="35">'54号比较法-商业'!$B$114:$M$114</definedName>
    <definedName name="商业业态" localSheetId="38">'56号比较法-商业'!$B$114:$M$114</definedName>
    <definedName name="商业业态">'42号比较法-商业'!$B$114:$M$114</definedName>
    <definedName name="商业用途" localSheetId="42">'42号比较法-商业租金'!$B$63:$M$63</definedName>
    <definedName name="商业用途" localSheetId="35">'54号比较法-商业'!$B$63:$M$63</definedName>
    <definedName name="商业用途" localSheetId="38">'56号比较法-商业'!$B$63:$M$63</definedName>
    <definedName name="商业用途">'42号比较法-商业'!$B$63:$M$63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3" i="88" l="1"/>
  <c r="Q72" i="89"/>
  <c r="C62" i="89"/>
  <c r="C61" i="89"/>
  <c r="C60" i="89"/>
  <c r="Q59" i="89"/>
  <c r="K59" i="89"/>
  <c r="P74" i="89" s="1"/>
  <c r="Q58" i="89"/>
  <c r="Q51" i="89"/>
  <c r="J51" i="89"/>
  <c r="J50" i="89"/>
  <c r="J49" i="89"/>
  <c r="M47" i="89"/>
  <c r="D46" i="89"/>
  <c r="F34" i="89"/>
  <c r="F62" i="89" s="1"/>
  <c r="C34" i="89"/>
  <c r="F33" i="89"/>
  <c r="F61" i="89" s="1"/>
  <c r="C33" i="89"/>
  <c r="F32" i="89"/>
  <c r="F60" i="89" s="1"/>
  <c r="C32" i="89"/>
  <c r="F28" i="89"/>
  <c r="C28" i="89"/>
  <c r="F23" i="89"/>
  <c r="D24" i="89" s="1"/>
  <c r="D23" i="89"/>
  <c r="D22" i="89"/>
  <c r="F21" i="89"/>
  <c r="M20" i="89"/>
  <c r="F20" i="89"/>
  <c r="M19" i="89"/>
  <c r="M18" i="89"/>
  <c r="F18" i="89"/>
  <c r="F17" i="89"/>
  <c r="F15" i="89"/>
  <c r="G1" i="89"/>
  <c r="B130" i="88"/>
  <c r="B128" i="88"/>
  <c r="B126" i="88"/>
  <c r="G125" i="88"/>
  <c r="D125" i="88"/>
  <c r="E125" i="88" s="1"/>
  <c r="F125" i="88" s="1"/>
  <c r="E123" i="88"/>
  <c r="D123" i="88"/>
  <c r="D121" i="88"/>
  <c r="E121" i="88" s="1"/>
  <c r="F121" i="88" s="1"/>
  <c r="G121" i="88" s="1"/>
  <c r="H121" i="88" s="1"/>
  <c r="I121" i="88" s="1"/>
  <c r="J121" i="88" s="1"/>
  <c r="K121" i="88" s="1"/>
  <c r="L121" i="88" s="1"/>
  <c r="M121" i="88" s="1"/>
  <c r="D117" i="88"/>
  <c r="E117" i="88" s="1"/>
  <c r="F117" i="88" s="1"/>
  <c r="G117" i="88" s="1"/>
  <c r="I115" i="88"/>
  <c r="J115" i="88" s="1"/>
  <c r="K115" i="88" s="1"/>
  <c r="L115" i="88" s="1"/>
  <c r="M115" i="88" s="1"/>
  <c r="E115" i="88"/>
  <c r="F115" i="88" s="1"/>
  <c r="G115" i="88" s="1"/>
  <c r="H115" i="88" s="1"/>
  <c r="D115" i="88"/>
  <c r="G113" i="88"/>
  <c r="H113" i="88" s="1"/>
  <c r="I113" i="88" s="1"/>
  <c r="J113" i="88" s="1"/>
  <c r="K113" i="88" s="1"/>
  <c r="L113" i="88" s="1"/>
  <c r="M113" i="88" s="1"/>
  <c r="D113" i="88"/>
  <c r="E113" i="88" s="1"/>
  <c r="F113" i="88" s="1"/>
  <c r="E111" i="88"/>
  <c r="F111" i="88" s="1"/>
  <c r="G111" i="88" s="1"/>
  <c r="H111" i="88" s="1"/>
  <c r="I111" i="88" s="1"/>
  <c r="J111" i="88" s="1"/>
  <c r="K111" i="88" s="1"/>
  <c r="L111" i="88" s="1"/>
  <c r="M111" i="88" s="1"/>
  <c r="D111" i="88"/>
  <c r="G109" i="88"/>
  <c r="F109" i="88"/>
  <c r="E109" i="88"/>
  <c r="D109" i="88"/>
  <c r="C109" i="88"/>
  <c r="H108" i="88"/>
  <c r="I108" i="88" s="1"/>
  <c r="J108" i="88" s="1"/>
  <c r="K108" i="88" s="1"/>
  <c r="L108" i="88" s="1"/>
  <c r="M108" i="88" s="1"/>
  <c r="D108" i="88"/>
  <c r="E108" i="88" s="1"/>
  <c r="F108" i="88" s="1"/>
  <c r="G108" i="88" s="1"/>
  <c r="D106" i="88"/>
  <c r="E106" i="88" s="1"/>
  <c r="F106" i="88" s="1"/>
  <c r="G106" i="88" s="1"/>
  <c r="H106" i="88" s="1"/>
  <c r="I106" i="88" s="1"/>
  <c r="J106" i="88" s="1"/>
  <c r="K106" i="88" s="1"/>
  <c r="L106" i="88" s="1"/>
  <c r="M106" i="88" s="1"/>
  <c r="F104" i="88"/>
  <c r="G104" i="88" s="1"/>
  <c r="H104" i="88" s="1"/>
  <c r="I104" i="88" s="1"/>
  <c r="M102" i="88"/>
  <c r="L102" i="88"/>
  <c r="K102" i="88"/>
  <c r="J102" i="88"/>
  <c r="I102" i="88"/>
  <c r="H102" i="88"/>
  <c r="G102" i="88"/>
  <c r="F102" i="88"/>
  <c r="E102" i="88"/>
  <c r="D102" i="88"/>
  <c r="C102" i="88"/>
  <c r="E101" i="88"/>
  <c r="F101" i="88" s="1"/>
  <c r="G101" i="88" s="1"/>
  <c r="H101" i="88" s="1"/>
  <c r="I101" i="88" s="1"/>
  <c r="J101" i="88" s="1"/>
  <c r="K101" i="88" s="1"/>
  <c r="L101" i="88" s="1"/>
  <c r="M101" i="88" s="1"/>
  <c r="D101" i="88"/>
  <c r="B98" i="88"/>
  <c r="B96" i="88"/>
  <c r="D95" i="88"/>
  <c r="E95" i="88" s="1"/>
  <c r="F95" i="88" s="1"/>
  <c r="B94" i="88"/>
  <c r="E93" i="88"/>
  <c r="D93" i="88"/>
  <c r="C93" i="88"/>
  <c r="N44" i="88" s="1"/>
  <c r="G47" i="88" s="1"/>
  <c r="B92" i="88"/>
  <c r="D91" i="88"/>
  <c r="E91" i="88" s="1"/>
  <c r="F91" i="88" s="1"/>
  <c r="G91" i="88" s="1"/>
  <c r="H91" i="88" s="1"/>
  <c r="I91" i="88" s="1"/>
  <c r="J91" i="88" s="1"/>
  <c r="K91" i="88" s="1"/>
  <c r="L91" i="88" s="1"/>
  <c r="M91" i="88" s="1"/>
  <c r="B90" i="88"/>
  <c r="D89" i="88"/>
  <c r="E89" i="88" s="1"/>
  <c r="F89" i="88" s="1"/>
  <c r="G89" i="88" s="1"/>
  <c r="B88" i="88"/>
  <c r="D87" i="88"/>
  <c r="E87" i="88" s="1"/>
  <c r="F87" i="88" s="1"/>
  <c r="G87" i="88" s="1"/>
  <c r="H87" i="88" s="1"/>
  <c r="I87" i="88" s="1"/>
  <c r="J87" i="88" s="1"/>
  <c r="K87" i="88" s="1"/>
  <c r="L87" i="88" s="1"/>
  <c r="M87" i="88" s="1"/>
  <c r="D85" i="88"/>
  <c r="E85" i="88" s="1"/>
  <c r="F85" i="88" s="1"/>
  <c r="G85" i="88" s="1"/>
  <c r="D83" i="88"/>
  <c r="E83" i="88" s="1"/>
  <c r="F83" i="88" s="1"/>
  <c r="G83" i="88" s="1"/>
  <c r="D81" i="88"/>
  <c r="E81" i="88" s="1"/>
  <c r="F81" i="88" s="1"/>
  <c r="G81" i="88" s="1"/>
  <c r="D79" i="88"/>
  <c r="E79" i="88" s="1"/>
  <c r="F79" i="88" s="1"/>
  <c r="G79" i="88" s="1"/>
  <c r="D77" i="88"/>
  <c r="E77" i="88" s="1"/>
  <c r="F77" i="88" s="1"/>
  <c r="G77" i="88" s="1"/>
  <c r="B74" i="88"/>
  <c r="B72" i="88"/>
  <c r="B70" i="88"/>
  <c r="D69" i="88"/>
  <c r="E69" i="88" s="1"/>
  <c r="F69" i="88" s="1"/>
  <c r="G69" i="88" s="1"/>
  <c r="H69" i="88" s="1"/>
  <c r="I69" i="88" s="1"/>
  <c r="J69" i="88" s="1"/>
  <c r="K69" i="88" s="1"/>
  <c r="L69" i="88" s="1"/>
  <c r="M69" i="88" s="1"/>
  <c r="M67" i="88"/>
  <c r="L67" i="88"/>
  <c r="K67" i="88"/>
  <c r="J67" i="88"/>
  <c r="I67" i="88"/>
  <c r="H67" i="88"/>
  <c r="G67" i="88"/>
  <c r="F67" i="88"/>
  <c r="E67" i="88"/>
  <c r="D67" i="88"/>
  <c r="C67" i="88"/>
  <c r="D66" i="88"/>
  <c r="E66" i="88" s="1"/>
  <c r="F66" i="88" s="1"/>
  <c r="C63" i="88"/>
  <c r="P49" i="88"/>
  <c r="P48" i="88"/>
  <c r="K48" i="88"/>
  <c r="P47" i="88"/>
  <c r="I47" i="88"/>
  <c r="Q46" i="88"/>
  <c r="Z46" i="88" s="1"/>
  <c r="J46" i="88"/>
  <c r="AC46" i="88" s="1"/>
  <c r="H46" i="88"/>
  <c r="AB46" i="88" s="1"/>
  <c r="F46" i="88"/>
  <c r="AA46" i="88" s="1"/>
  <c r="Q45" i="88"/>
  <c r="Z45" i="88" s="1"/>
  <c r="J45" i="88"/>
  <c r="AC45" i="88" s="1"/>
  <c r="H45" i="88"/>
  <c r="AB45" i="88" s="1"/>
  <c r="F45" i="88"/>
  <c r="AA45" i="88" s="1"/>
  <c r="AC44" i="88"/>
  <c r="W44" i="88"/>
  <c r="Q44" i="88"/>
  <c r="Z44" i="88" s="1"/>
  <c r="J44" i="88"/>
  <c r="H44" i="88"/>
  <c r="AB44" i="88" s="1"/>
  <c r="F44" i="88"/>
  <c r="AA44" i="88" s="1"/>
  <c r="AC43" i="88"/>
  <c r="W43" i="88"/>
  <c r="Q43" i="88"/>
  <c r="Z43" i="88" s="1"/>
  <c r="N43" i="88"/>
  <c r="E47" i="88" s="1"/>
  <c r="M43" i="88"/>
  <c r="J43" i="88"/>
  <c r="H43" i="88"/>
  <c r="AB43" i="88" s="1"/>
  <c r="F43" i="88"/>
  <c r="Q42" i="88"/>
  <c r="Z42" i="88" s="1"/>
  <c r="AC41" i="88"/>
  <c r="W41" i="88"/>
  <c r="Q41" i="88"/>
  <c r="Z41" i="88" s="1"/>
  <c r="N41" i="88"/>
  <c r="M41" i="88"/>
  <c r="J41" i="88"/>
  <c r="H41" i="88"/>
  <c r="AB41" i="88" s="1"/>
  <c r="F41" i="88"/>
  <c r="AA40" i="88"/>
  <c r="Z40" i="88"/>
  <c r="S40" i="88"/>
  <c r="Q40" i="88"/>
  <c r="M40" i="88"/>
  <c r="N40" i="88" s="1"/>
  <c r="J40" i="88"/>
  <c r="AC40" i="88" s="1"/>
  <c r="H40" i="88"/>
  <c r="F40" i="88"/>
  <c r="AB39" i="88"/>
  <c r="AA39" i="88"/>
  <c r="U39" i="88"/>
  <c r="S39" i="88"/>
  <c r="Q39" i="88"/>
  <c r="Z39" i="88" s="1"/>
  <c r="M39" i="88"/>
  <c r="N39" i="88" s="1"/>
  <c r="J39" i="88"/>
  <c r="H39" i="88"/>
  <c r="F39" i="88"/>
  <c r="Q38" i="88"/>
  <c r="Z38" i="88" s="1"/>
  <c r="J38" i="88"/>
  <c r="AC38" i="88" s="1"/>
  <c r="H38" i="88"/>
  <c r="U38" i="88" s="1"/>
  <c r="F38" i="88"/>
  <c r="AA38" i="88" s="1"/>
  <c r="AA37" i="88"/>
  <c r="Q37" i="88"/>
  <c r="Z37" i="88" s="1"/>
  <c r="J37" i="88"/>
  <c r="AC37" i="88" s="1"/>
  <c r="H37" i="88"/>
  <c r="AB37" i="88" s="1"/>
  <c r="F37" i="88"/>
  <c r="S37" i="88" s="1"/>
  <c r="Z36" i="88"/>
  <c r="Q36" i="88"/>
  <c r="O36" i="88"/>
  <c r="G36" i="88"/>
  <c r="E36" i="88"/>
  <c r="F36" i="88" s="1"/>
  <c r="C36" i="88"/>
  <c r="H36" i="88" s="1"/>
  <c r="Q35" i="88"/>
  <c r="Z35" i="88" s="1"/>
  <c r="O35" i="88"/>
  <c r="J35" i="88"/>
  <c r="AC35" i="88" s="1"/>
  <c r="H35" i="88"/>
  <c r="AB35" i="88" s="1"/>
  <c r="F35" i="88"/>
  <c r="Z34" i="88"/>
  <c r="Q34" i="88"/>
  <c r="O34" i="88"/>
  <c r="J34" i="88"/>
  <c r="AC34" i="88" s="1"/>
  <c r="H34" i="88"/>
  <c r="AB34" i="88" s="1"/>
  <c r="F34" i="88"/>
  <c r="Q33" i="88"/>
  <c r="Z33" i="88" s="1"/>
  <c r="O33" i="88"/>
  <c r="I33" i="88"/>
  <c r="J33" i="88" s="1"/>
  <c r="H33" i="88"/>
  <c r="F33" i="88"/>
  <c r="AB32" i="88"/>
  <c r="U32" i="88"/>
  <c r="Q32" i="88"/>
  <c r="Z32" i="88" s="1"/>
  <c r="O32" i="88"/>
  <c r="I36" i="88" s="1"/>
  <c r="J36" i="88" s="1"/>
  <c r="J32" i="88"/>
  <c r="H32" i="88"/>
  <c r="F32" i="88"/>
  <c r="AA32" i="88" s="1"/>
  <c r="AB31" i="88"/>
  <c r="U31" i="88"/>
  <c r="Q31" i="88"/>
  <c r="Z31" i="88" s="1"/>
  <c r="H31" i="88"/>
  <c r="AA30" i="88"/>
  <c r="Q30" i="88"/>
  <c r="Z30" i="88" s="1"/>
  <c r="J30" i="88"/>
  <c r="AC30" i="88" s="1"/>
  <c r="H30" i="88"/>
  <c r="AB30" i="88" s="1"/>
  <c r="F30" i="88"/>
  <c r="S30" i="88" s="1"/>
  <c r="Z29" i="88"/>
  <c r="Q29" i="88"/>
  <c r="J29" i="88"/>
  <c r="AC29" i="88" s="1"/>
  <c r="H29" i="88"/>
  <c r="AB29" i="88" s="1"/>
  <c r="F29" i="88"/>
  <c r="AA29" i="88" s="1"/>
  <c r="AB28" i="88"/>
  <c r="Q28" i="88"/>
  <c r="Z28" i="88" s="1"/>
  <c r="J28" i="88"/>
  <c r="W28" i="88" s="1"/>
  <c r="H28" i="88"/>
  <c r="U28" i="88" s="1"/>
  <c r="F28" i="88"/>
  <c r="AA28" i="88" s="1"/>
  <c r="Q27" i="88"/>
  <c r="Z27" i="88" s="1"/>
  <c r="J27" i="88"/>
  <c r="AC27" i="88" s="1"/>
  <c r="H27" i="88"/>
  <c r="AB27" i="88" s="1"/>
  <c r="F27" i="88"/>
  <c r="AA27" i="88" s="1"/>
  <c r="Q26" i="88"/>
  <c r="Z26" i="88" s="1"/>
  <c r="J26" i="88"/>
  <c r="AC26" i="88" s="1"/>
  <c r="H26" i="88"/>
  <c r="AB26" i="88" s="1"/>
  <c r="F26" i="88"/>
  <c r="AA26" i="88" s="1"/>
  <c r="Q25" i="88"/>
  <c r="Z25" i="88" s="1"/>
  <c r="J25" i="88"/>
  <c r="AC25" i="88" s="1"/>
  <c r="H25" i="88"/>
  <c r="AB25" i="88" s="1"/>
  <c r="F25" i="88"/>
  <c r="AA25" i="88" s="1"/>
  <c r="Q23" i="88"/>
  <c r="Z23" i="88" s="1"/>
  <c r="J23" i="88"/>
  <c r="AC23" i="88" s="1"/>
  <c r="H23" i="88"/>
  <c r="AB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Q15" i="88"/>
  <c r="Z15" i="88" s="1"/>
  <c r="J15" i="88"/>
  <c r="AC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Q9" i="88"/>
  <c r="Z9" i="88" s="1"/>
  <c r="J9" i="88"/>
  <c r="AC9" i="88" s="1"/>
  <c r="H9" i="88"/>
  <c r="AB9" i="88" s="1"/>
  <c r="F9" i="88"/>
  <c r="AA9" i="88" s="1"/>
  <c r="J8" i="88"/>
  <c r="W8" i="88" s="1"/>
  <c r="H8" i="88"/>
  <c r="U8" i="88" s="1"/>
  <c r="F8" i="88"/>
  <c r="AA8" i="88" s="1"/>
  <c r="I7" i="88"/>
  <c r="G7" i="88"/>
  <c r="E7" i="88"/>
  <c r="C7" i="88"/>
  <c r="C58" i="88" s="1"/>
  <c r="I5" i="88"/>
  <c r="D3" i="88"/>
  <c r="A120" i="87"/>
  <c r="A118" i="87"/>
  <c r="E111" i="87"/>
  <c r="H112" i="87" s="1"/>
  <c r="E109" i="87"/>
  <c r="A124" i="87" s="1"/>
  <c r="E107" i="87"/>
  <c r="A122" i="87" s="1"/>
  <c r="H106" i="87"/>
  <c r="H105" i="87"/>
  <c r="H104" i="87"/>
  <c r="H103" i="87"/>
  <c r="D120" i="87" s="1"/>
  <c r="D101" i="87"/>
  <c r="C101" i="87"/>
  <c r="D93" i="87"/>
  <c r="C91" i="87"/>
  <c r="E90" i="87"/>
  <c r="D89" i="87"/>
  <c r="C89" i="87" s="1"/>
  <c r="C87" i="87" s="1"/>
  <c r="D78" i="87"/>
  <c r="H77" i="87"/>
  <c r="D77" i="87"/>
  <c r="C77" i="87" s="1"/>
  <c r="C74" i="87" s="1"/>
  <c r="C76" i="87"/>
  <c r="D68" i="87"/>
  <c r="F59" i="87"/>
  <c r="E59" i="87"/>
  <c r="N55" i="87" s="1"/>
  <c r="N56" i="87"/>
  <c r="M56" i="87"/>
  <c r="K56" i="87"/>
  <c r="J56" i="87"/>
  <c r="F56" i="87"/>
  <c r="O55" i="87"/>
  <c r="K55" i="87"/>
  <c r="J55" i="87"/>
  <c r="J57" i="87" s="1"/>
  <c r="J59" i="87" s="1"/>
  <c r="J61" i="87" s="1"/>
  <c r="I55" i="87"/>
  <c r="F55" i="87"/>
  <c r="O54" i="87"/>
  <c r="N54" i="87"/>
  <c r="F54" i="87"/>
  <c r="O53" i="87"/>
  <c r="N53" i="87"/>
  <c r="F53" i="87"/>
  <c r="F52" i="87"/>
  <c r="K49" i="87"/>
  <c r="F48" i="87"/>
  <c r="O52" i="87" s="1"/>
  <c r="E48" i="87"/>
  <c r="N52" i="87" s="1"/>
  <c r="D48" i="87"/>
  <c r="M52" i="87" s="1"/>
  <c r="M47" i="87"/>
  <c r="C35" i="87"/>
  <c r="G118" i="87" s="1"/>
  <c r="C34" i="87"/>
  <c r="E118" i="87" s="1"/>
  <c r="F33" i="87"/>
  <c r="D27" i="87"/>
  <c r="C25" i="87"/>
  <c r="C24" i="87"/>
  <c r="M19" i="87"/>
  <c r="C118" i="87" s="1"/>
  <c r="L19" i="87"/>
  <c r="M18" i="87"/>
  <c r="B118" i="87" s="1"/>
  <c r="L18" i="87"/>
  <c r="C18" i="87"/>
  <c r="D18" i="87" s="1"/>
  <c r="D17" i="87"/>
  <c r="C17" i="87"/>
  <c r="L4" i="87"/>
  <c r="K4" i="87"/>
  <c r="A2" i="87"/>
  <c r="H1" i="87"/>
  <c r="C33" i="86"/>
  <c r="B130" i="86"/>
  <c r="B128" i="86"/>
  <c r="B126" i="86"/>
  <c r="G125" i="86"/>
  <c r="D125" i="86"/>
  <c r="E125" i="86" s="1"/>
  <c r="F125" i="86" s="1"/>
  <c r="E123" i="86"/>
  <c r="D123" i="86"/>
  <c r="D121" i="86"/>
  <c r="E121" i="86" s="1"/>
  <c r="F121" i="86" s="1"/>
  <c r="G121" i="86" s="1"/>
  <c r="H121" i="86" s="1"/>
  <c r="I121" i="86" s="1"/>
  <c r="J121" i="86" s="1"/>
  <c r="K121" i="86" s="1"/>
  <c r="L121" i="86" s="1"/>
  <c r="M121" i="86" s="1"/>
  <c r="D117" i="86"/>
  <c r="E117" i="86" s="1"/>
  <c r="F117" i="86" s="1"/>
  <c r="G117" i="86" s="1"/>
  <c r="I115" i="86"/>
  <c r="J115" i="86" s="1"/>
  <c r="K115" i="86" s="1"/>
  <c r="L115" i="86" s="1"/>
  <c r="M115" i="86" s="1"/>
  <c r="E115" i="86"/>
  <c r="F115" i="86" s="1"/>
  <c r="G115" i="86" s="1"/>
  <c r="H115" i="86" s="1"/>
  <c r="D115" i="86"/>
  <c r="G113" i="86"/>
  <c r="H113" i="86" s="1"/>
  <c r="I113" i="86" s="1"/>
  <c r="J113" i="86" s="1"/>
  <c r="K113" i="86" s="1"/>
  <c r="L113" i="86" s="1"/>
  <c r="M113" i="86" s="1"/>
  <c r="D113" i="86"/>
  <c r="E113" i="86" s="1"/>
  <c r="F113" i="86" s="1"/>
  <c r="E111" i="86"/>
  <c r="F111" i="86" s="1"/>
  <c r="G111" i="86" s="1"/>
  <c r="H111" i="86" s="1"/>
  <c r="I111" i="86" s="1"/>
  <c r="J111" i="86" s="1"/>
  <c r="K111" i="86" s="1"/>
  <c r="L111" i="86" s="1"/>
  <c r="M111" i="86" s="1"/>
  <c r="D111" i="86"/>
  <c r="G109" i="86"/>
  <c r="F109" i="86"/>
  <c r="E109" i="86"/>
  <c r="D109" i="86"/>
  <c r="C109" i="86"/>
  <c r="H108" i="86"/>
  <c r="I108" i="86" s="1"/>
  <c r="J108" i="86" s="1"/>
  <c r="K108" i="86" s="1"/>
  <c r="L108" i="86" s="1"/>
  <c r="M108" i="86" s="1"/>
  <c r="D108" i="86"/>
  <c r="E108" i="86" s="1"/>
  <c r="F108" i="86" s="1"/>
  <c r="G108" i="86" s="1"/>
  <c r="D106" i="86"/>
  <c r="E106" i="86" s="1"/>
  <c r="F106" i="86" s="1"/>
  <c r="G106" i="86" s="1"/>
  <c r="H106" i="86" s="1"/>
  <c r="I106" i="86" s="1"/>
  <c r="J106" i="86" s="1"/>
  <c r="K106" i="86" s="1"/>
  <c r="L106" i="86" s="1"/>
  <c r="M106" i="86" s="1"/>
  <c r="F104" i="86"/>
  <c r="G104" i="86" s="1"/>
  <c r="H104" i="86" s="1"/>
  <c r="I104" i="86" s="1"/>
  <c r="M102" i="86"/>
  <c r="L102" i="86"/>
  <c r="K102" i="86"/>
  <c r="J102" i="86"/>
  <c r="I102" i="86"/>
  <c r="H102" i="86"/>
  <c r="G102" i="86"/>
  <c r="F102" i="86"/>
  <c r="E102" i="86"/>
  <c r="D102" i="86"/>
  <c r="C102" i="86"/>
  <c r="E101" i="86"/>
  <c r="F101" i="86" s="1"/>
  <c r="G101" i="86" s="1"/>
  <c r="H101" i="86" s="1"/>
  <c r="I101" i="86" s="1"/>
  <c r="J101" i="86" s="1"/>
  <c r="K101" i="86" s="1"/>
  <c r="L101" i="86" s="1"/>
  <c r="M101" i="86" s="1"/>
  <c r="D101" i="86"/>
  <c r="B98" i="86"/>
  <c r="B96" i="86"/>
  <c r="D95" i="86"/>
  <c r="E95" i="86" s="1"/>
  <c r="F95" i="86" s="1"/>
  <c r="B94" i="86"/>
  <c r="E93" i="86"/>
  <c r="D93" i="86"/>
  <c r="C93" i="86"/>
  <c r="N44" i="86" s="1"/>
  <c r="G47" i="86" s="1"/>
  <c r="B92" i="86"/>
  <c r="D91" i="86"/>
  <c r="E91" i="86" s="1"/>
  <c r="F91" i="86" s="1"/>
  <c r="G91" i="86" s="1"/>
  <c r="H91" i="86" s="1"/>
  <c r="I91" i="86" s="1"/>
  <c r="J91" i="86" s="1"/>
  <c r="K91" i="86" s="1"/>
  <c r="L91" i="86" s="1"/>
  <c r="M91" i="86" s="1"/>
  <c r="B90" i="86"/>
  <c r="D89" i="86"/>
  <c r="E89" i="86" s="1"/>
  <c r="F89" i="86" s="1"/>
  <c r="G89" i="86" s="1"/>
  <c r="B88" i="86"/>
  <c r="D87" i="86"/>
  <c r="E87" i="86" s="1"/>
  <c r="F87" i="86" s="1"/>
  <c r="G87" i="86" s="1"/>
  <c r="H87" i="86" s="1"/>
  <c r="I87" i="86" s="1"/>
  <c r="J87" i="86" s="1"/>
  <c r="K87" i="86" s="1"/>
  <c r="L87" i="86" s="1"/>
  <c r="M87"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D69" i="86"/>
  <c r="E69" i="86" s="1"/>
  <c r="F69" i="86" s="1"/>
  <c r="G69" i="86" s="1"/>
  <c r="H69" i="86" s="1"/>
  <c r="I69" i="86" s="1"/>
  <c r="J69" i="86" s="1"/>
  <c r="K69" i="86" s="1"/>
  <c r="L69" i="86" s="1"/>
  <c r="M69" i="86" s="1"/>
  <c r="M67" i="86"/>
  <c r="L67" i="86"/>
  <c r="K67" i="86"/>
  <c r="J67" i="86"/>
  <c r="I67" i="86"/>
  <c r="H67" i="86"/>
  <c r="G67" i="86"/>
  <c r="F67" i="86"/>
  <c r="E67" i="86"/>
  <c r="D67" i="86"/>
  <c r="C67" i="86"/>
  <c r="D66" i="86"/>
  <c r="E66" i="86" s="1"/>
  <c r="F66" i="86" s="1"/>
  <c r="C63" i="86"/>
  <c r="P49" i="86"/>
  <c r="P48" i="86"/>
  <c r="K48" i="86"/>
  <c r="P47" i="86"/>
  <c r="I47" i="86"/>
  <c r="Q46" i="86"/>
  <c r="Z46" i="86" s="1"/>
  <c r="J46" i="86"/>
  <c r="AC46" i="86" s="1"/>
  <c r="H46" i="86"/>
  <c r="AB46" i="86" s="1"/>
  <c r="F46" i="86"/>
  <c r="AA46" i="86" s="1"/>
  <c r="Q45" i="86"/>
  <c r="Z45" i="86" s="1"/>
  <c r="J45" i="86"/>
  <c r="AC45" i="86" s="1"/>
  <c r="H45" i="86"/>
  <c r="AB45" i="86" s="1"/>
  <c r="F45" i="86"/>
  <c r="AA45" i="86" s="1"/>
  <c r="AC44" i="86"/>
  <c r="W44" i="86"/>
  <c r="Q44" i="86"/>
  <c r="Z44" i="86" s="1"/>
  <c r="J44" i="86"/>
  <c r="H44" i="86"/>
  <c r="AB44" i="86" s="1"/>
  <c r="F44" i="86"/>
  <c r="AA44" i="86" s="1"/>
  <c r="AC43" i="86"/>
  <c r="W43" i="86"/>
  <c r="Q43" i="86"/>
  <c r="Z43" i="86" s="1"/>
  <c r="N43" i="86"/>
  <c r="E47" i="86" s="1"/>
  <c r="M43" i="86"/>
  <c r="J43" i="86"/>
  <c r="H43" i="86"/>
  <c r="AB43" i="86" s="1"/>
  <c r="F43" i="86"/>
  <c r="Q42" i="86"/>
  <c r="Z42" i="86" s="1"/>
  <c r="AC41" i="86"/>
  <c r="W41" i="86"/>
  <c r="Q41" i="86"/>
  <c r="Z41" i="86" s="1"/>
  <c r="N41" i="86"/>
  <c r="M41" i="86"/>
  <c r="J41" i="86"/>
  <c r="H41" i="86"/>
  <c r="AB41" i="86" s="1"/>
  <c r="F41" i="86"/>
  <c r="AA40" i="86"/>
  <c r="Z40" i="86"/>
  <c r="S40" i="86"/>
  <c r="Q40" i="86"/>
  <c r="M40" i="86"/>
  <c r="N40" i="86" s="1"/>
  <c r="J40" i="86"/>
  <c r="AC40" i="86" s="1"/>
  <c r="H40" i="86"/>
  <c r="F40" i="86"/>
  <c r="AB39" i="86"/>
  <c r="AA39" i="86"/>
  <c r="U39" i="86"/>
  <c r="S39" i="86"/>
  <c r="Q39" i="86"/>
  <c r="Z39" i="86" s="1"/>
  <c r="M39" i="86"/>
  <c r="N39" i="86" s="1"/>
  <c r="J39" i="86"/>
  <c r="H39" i="86"/>
  <c r="F39" i="86"/>
  <c r="Q38" i="86"/>
  <c r="Z38" i="86" s="1"/>
  <c r="J38" i="86"/>
  <c r="AC38" i="86" s="1"/>
  <c r="H38" i="86"/>
  <c r="U38" i="86" s="1"/>
  <c r="F38" i="86"/>
  <c r="AA38" i="86" s="1"/>
  <c r="AA37" i="86"/>
  <c r="Q37" i="86"/>
  <c r="Z37" i="86" s="1"/>
  <c r="J37" i="86"/>
  <c r="AC37" i="86" s="1"/>
  <c r="H37" i="86"/>
  <c r="AB37" i="86" s="1"/>
  <c r="F37" i="86"/>
  <c r="S37" i="86" s="1"/>
  <c r="Z36" i="86"/>
  <c r="Q36" i="86"/>
  <c r="O36" i="86"/>
  <c r="G36" i="86"/>
  <c r="E36" i="86"/>
  <c r="F36" i="86" s="1"/>
  <c r="C36" i="86"/>
  <c r="H36" i="86" s="1"/>
  <c r="Q35" i="86"/>
  <c r="Z35" i="86" s="1"/>
  <c r="O35" i="86"/>
  <c r="J35" i="86"/>
  <c r="AC35" i="86" s="1"/>
  <c r="H35" i="86"/>
  <c r="AB35" i="86" s="1"/>
  <c r="F35" i="86"/>
  <c r="Z34" i="86"/>
  <c r="Q34" i="86"/>
  <c r="O34" i="86"/>
  <c r="J34" i="86"/>
  <c r="AC34" i="86" s="1"/>
  <c r="H34" i="86"/>
  <c r="AB34" i="86" s="1"/>
  <c r="F34" i="86"/>
  <c r="Q33" i="86"/>
  <c r="Z33" i="86" s="1"/>
  <c r="O33" i="86"/>
  <c r="I33" i="86"/>
  <c r="J33" i="86" s="1"/>
  <c r="H33" i="86"/>
  <c r="F33" i="86"/>
  <c r="AB32" i="86"/>
  <c r="U32" i="86"/>
  <c r="Q32" i="86"/>
  <c r="Z32" i="86" s="1"/>
  <c r="O32" i="86"/>
  <c r="I36" i="86" s="1"/>
  <c r="J36" i="86" s="1"/>
  <c r="J32" i="86"/>
  <c r="H32" i="86"/>
  <c r="F32" i="86"/>
  <c r="AA32" i="86" s="1"/>
  <c r="AB31" i="86"/>
  <c r="U31" i="86"/>
  <c r="Q31" i="86"/>
  <c r="Z31" i="86" s="1"/>
  <c r="H31" i="86"/>
  <c r="AA30" i="86"/>
  <c r="Q30" i="86"/>
  <c r="Z30" i="86" s="1"/>
  <c r="J30" i="86"/>
  <c r="AC30" i="86" s="1"/>
  <c r="H30" i="86"/>
  <c r="AB30" i="86" s="1"/>
  <c r="F30" i="86"/>
  <c r="S30" i="86" s="1"/>
  <c r="Z29" i="86"/>
  <c r="Q29" i="86"/>
  <c r="J29" i="86"/>
  <c r="AC29" i="86" s="1"/>
  <c r="H29" i="86"/>
  <c r="AB29" i="86" s="1"/>
  <c r="F29" i="86"/>
  <c r="AA29" i="86" s="1"/>
  <c r="AA28" i="86"/>
  <c r="Q28" i="86"/>
  <c r="Z28" i="86" s="1"/>
  <c r="J28" i="86"/>
  <c r="W28" i="86" s="1"/>
  <c r="H28" i="86"/>
  <c r="AB28" i="86" s="1"/>
  <c r="F28" i="86"/>
  <c r="S28" i="86" s="1"/>
  <c r="AC27" i="86"/>
  <c r="Q27" i="86"/>
  <c r="Z27" i="86" s="1"/>
  <c r="J27" i="86"/>
  <c r="W27" i="86" s="1"/>
  <c r="H27" i="86"/>
  <c r="AB27" i="86" s="1"/>
  <c r="F27" i="86"/>
  <c r="AA27" i="86" s="1"/>
  <c r="Q26" i="86"/>
  <c r="Z26" i="86" s="1"/>
  <c r="J26" i="86"/>
  <c r="AC26" i="86" s="1"/>
  <c r="H26" i="86"/>
  <c r="AB26" i="86" s="1"/>
  <c r="F26" i="86"/>
  <c r="AA26" i="86" s="1"/>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Q9" i="86"/>
  <c r="Z9" i="86" s="1"/>
  <c r="J9" i="86"/>
  <c r="AC9" i="86" s="1"/>
  <c r="H9" i="86"/>
  <c r="AB9" i="86" s="1"/>
  <c r="F9" i="86"/>
  <c r="AA9" i="86" s="1"/>
  <c r="W8" i="86"/>
  <c r="J8" i="86"/>
  <c r="AC8" i="86" s="1"/>
  <c r="H8" i="86"/>
  <c r="U8" i="86" s="1"/>
  <c r="F8" i="86"/>
  <c r="S8" i="86" s="1"/>
  <c r="I7" i="86"/>
  <c r="G7" i="86"/>
  <c r="E7" i="86"/>
  <c r="C7" i="86"/>
  <c r="C58" i="86" s="1"/>
  <c r="I5" i="86"/>
  <c r="D3" i="86"/>
  <c r="G47" i="33"/>
  <c r="E47" i="33"/>
  <c r="N44" i="33"/>
  <c r="N43" i="33"/>
  <c r="M43" i="33"/>
  <c r="A120" i="85"/>
  <c r="A118" i="85"/>
  <c r="E111" i="85"/>
  <c r="H112" i="85" s="1"/>
  <c r="E109" i="85"/>
  <c r="A124" i="85" s="1"/>
  <c r="E107" i="85"/>
  <c r="A122" i="85" s="1"/>
  <c r="H106" i="85"/>
  <c r="H105" i="85"/>
  <c r="H104" i="85"/>
  <c r="H103" i="85"/>
  <c r="D120" i="85" s="1"/>
  <c r="D101" i="85"/>
  <c r="C101" i="85"/>
  <c r="D93" i="85"/>
  <c r="C91" i="85"/>
  <c r="E90" i="85"/>
  <c r="D89" i="85"/>
  <c r="C89" i="85" s="1"/>
  <c r="C87" i="85" s="1"/>
  <c r="D78" i="85"/>
  <c r="H77" i="85"/>
  <c r="D77" i="85"/>
  <c r="C77" i="85" s="1"/>
  <c r="C74" i="85" s="1"/>
  <c r="C76" i="85"/>
  <c r="D68" i="85"/>
  <c r="F59" i="85"/>
  <c r="E59" i="85"/>
  <c r="N55" i="85" s="1"/>
  <c r="N56" i="85"/>
  <c r="M56" i="85"/>
  <c r="K56" i="85"/>
  <c r="J56" i="85"/>
  <c r="F56" i="85"/>
  <c r="O55" i="85"/>
  <c r="K55" i="85"/>
  <c r="J55" i="85"/>
  <c r="J57" i="85" s="1"/>
  <c r="J59" i="85" s="1"/>
  <c r="J61" i="85" s="1"/>
  <c r="I55" i="85"/>
  <c r="F55" i="85"/>
  <c r="O53" i="85" s="1"/>
  <c r="O54" i="85"/>
  <c r="N54" i="85"/>
  <c r="F54" i="85"/>
  <c r="N53" i="85"/>
  <c r="F53" i="85"/>
  <c r="F52" i="85"/>
  <c r="K49" i="85"/>
  <c r="F48" i="85"/>
  <c r="O52" i="85" s="1"/>
  <c r="E48" i="85"/>
  <c r="N52" i="85" s="1"/>
  <c r="D48" i="85"/>
  <c r="M52" i="85" s="1"/>
  <c r="M47" i="85"/>
  <c r="C35" i="85"/>
  <c r="G118" i="85" s="1"/>
  <c r="C34" i="85"/>
  <c r="E118" i="85" s="1"/>
  <c r="F33" i="85"/>
  <c r="D27" i="85"/>
  <c r="C25" i="85"/>
  <c r="C24" i="85"/>
  <c r="M19" i="85"/>
  <c r="C118" i="85" s="1"/>
  <c r="L19" i="85"/>
  <c r="M18" i="85"/>
  <c r="B118" i="85" s="1"/>
  <c r="L18" i="85"/>
  <c r="C18" i="85"/>
  <c r="D18" i="85" s="1"/>
  <c r="D17" i="85"/>
  <c r="C17" i="85"/>
  <c r="L4" i="85"/>
  <c r="K4" i="85"/>
  <c r="A2" i="85"/>
  <c r="H1" i="85"/>
  <c r="Q72" i="84"/>
  <c r="C62" i="84"/>
  <c r="C61" i="84"/>
  <c r="C60" i="84"/>
  <c r="Q59" i="84"/>
  <c r="K59" i="84"/>
  <c r="P74" i="84" s="1"/>
  <c r="Q58" i="84"/>
  <c r="Q51" i="84"/>
  <c r="J50" i="84"/>
  <c r="J51" i="84" s="1"/>
  <c r="J49" i="84"/>
  <c r="M47" i="84"/>
  <c r="D46" i="84"/>
  <c r="F34" i="84"/>
  <c r="F62" i="84" s="1"/>
  <c r="C34" i="84"/>
  <c r="F33" i="84"/>
  <c r="F61" i="84" s="1"/>
  <c r="C33" i="84"/>
  <c r="F32" i="84"/>
  <c r="F60" i="84" s="1"/>
  <c r="C32" i="84"/>
  <c r="F28" i="84"/>
  <c r="C28" i="84"/>
  <c r="F23" i="84"/>
  <c r="D24" i="84" s="1"/>
  <c r="D23" i="84"/>
  <c r="D22" i="84"/>
  <c r="F21" i="84"/>
  <c r="M20" i="84"/>
  <c r="F20" i="84"/>
  <c r="M19" i="84"/>
  <c r="M18" i="84"/>
  <c r="F18" i="84"/>
  <c r="F17" i="84"/>
  <c r="F15" i="84"/>
  <c r="G1" i="84"/>
  <c r="E66" i="33"/>
  <c r="F66" i="33" s="1"/>
  <c r="G66" i="33" s="1"/>
  <c r="H66" i="33" s="1"/>
  <c r="I66" i="33" s="1"/>
  <c r="J66" i="33" s="1"/>
  <c r="D66" i="33"/>
  <c r="AK7" i="1"/>
  <c r="L47" i="89"/>
  <c r="F7" i="89"/>
  <c r="L48" i="89"/>
  <c r="M28" i="89"/>
  <c r="M22" i="89"/>
  <c r="F9" i="89"/>
  <c r="J15" i="89"/>
  <c r="M9" i="89"/>
  <c r="F6" i="89"/>
  <c r="C76" i="89"/>
  <c r="D2" i="88"/>
  <c r="D2" i="86"/>
  <c r="M28" i="84"/>
  <c r="M22" i="84"/>
  <c r="F9" i="84"/>
  <c r="L47" i="84"/>
  <c r="F7" i="84"/>
  <c r="L48" i="84"/>
  <c r="C76" i="84"/>
  <c r="Q71" i="89" l="1"/>
  <c r="L57" i="89"/>
  <c r="L56" i="89"/>
  <c r="I54" i="89"/>
  <c r="L60" i="89"/>
  <c r="F50" i="89"/>
  <c r="M7" i="89"/>
  <c r="N59" i="89"/>
  <c r="L58" i="89"/>
  <c r="M59" i="89"/>
  <c r="L59" i="89"/>
  <c r="P61" i="89"/>
  <c r="J53" i="89"/>
  <c r="J57" i="89"/>
  <c r="J55" i="89" s="1"/>
  <c r="J58" i="89" s="1"/>
  <c r="Q50" i="89" s="1"/>
  <c r="D58" i="88"/>
  <c r="E58" i="88" s="1"/>
  <c r="F58" i="88" s="1"/>
  <c r="G58" i="88" s="1"/>
  <c r="H58" i="88" s="1"/>
  <c r="I58" i="88" s="1"/>
  <c r="J58" i="88" s="1"/>
  <c r="K58" i="88" s="1"/>
  <c r="L58" i="88" s="1"/>
  <c r="M58" i="88" s="1"/>
  <c r="N58" i="88" s="1"/>
  <c r="O58" i="88" s="1"/>
  <c r="J7" i="88"/>
  <c r="F7" i="88"/>
  <c r="G66" i="88"/>
  <c r="H10" i="88"/>
  <c r="H7" i="88"/>
  <c r="AB36" i="88"/>
  <c r="U36" i="88"/>
  <c r="G54" i="88"/>
  <c r="H54" i="88" s="1"/>
  <c r="T47" i="88"/>
  <c r="D118" i="87"/>
  <c r="D119" i="87" s="1"/>
  <c r="S8" i="88"/>
  <c r="AB8" i="88"/>
  <c r="W9" i="88"/>
  <c r="S11" i="88"/>
  <c r="U12" i="88"/>
  <c r="W13" i="88"/>
  <c r="S25" i="88"/>
  <c r="U26" i="88"/>
  <c r="W27" i="88"/>
  <c r="AC36" i="88"/>
  <c r="W36" i="88"/>
  <c r="AA33" i="88"/>
  <c r="S33" i="88"/>
  <c r="AA35" i="88"/>
  <c r="S35" i="88"/>
  <c r="AB38" i="88"/>
  <c r="AA43" i="88"/>
  <c r="S43" i="88"/>
  <c r="R47" i="88"/>
  <c r="E54" i="88"/>
  <c r="F54" i="88" s="1"/>
  <c r="S46" i="88"/>
  <c r="J42" i="88"/>
  <c r="H42" i="88"/>
  <c r="F123" i="88"/>
  <c r="G123" i="88" s="1"/>
  <c r="H123" i="88" s="1"/>
  <c r="I123" i="88" s="1"/>
  <c r="J123" i="88" s="1"/>
  <c r="K123" i="88" s="1"/>
  <c r="L123" i="88" s="1"/>
  <c r="M123" i="88" s="1"/>
  <c r="F42" i="88"/>
  <c r="F118" i="87"/>
  <c r="F119" i="87" s="1"/>
  <c r="AC8" i="88"/>
  <c r="U11" i="88"/>
  <c r="W12" i="88"/>
  <c r="S14" i="88"/>
  <c r="S15" i="88"/>
  <c r="S17" i="88"/>
  <c r="S19" i="88"/>
  <c r="S21" i="88"/>
  <c r="S23" i="88"/>
  <c r="U25" i="88"/>
  <c r="W26" i="88"/>
  <c r="S28" i="88"/>
  <c r="AC28" i="88"/>
  <c r="AB33" i="88"/>
  <c r="U33" i="88"/>
  <c r="S9" i="88"/>
  <c r="W11" i="88"/>
  <c r="S13" i="88"/>
  <c r="U14" i="88"/>
  <c r="U15" i="88"/>
  <c r="U17" i="88"/>
  <c r="U19" i="88"/>
  <c r="U21" i="88"/>
  <c r="U23" i="88"/>
  <c r="W25" i="88"/>
  <c r="S27" i="88"/>
  <c r="AC33" i="88"/>
  <c r="W33" i="88"/>
  <c r="AA34" i="88"/>
  <c r="S34" i="88"/>
  <c r="AA41" i="88"/>
  <c r="S41" i="88"/>
  <c r="F31" i="88"/>
  <c r="J31" i="88"/>
  <c r="U9" i="88"/>
  <c r="S12" i="88"/>
  <c r="U13" i="88"/>
  <c r="W14" i="88"/>
  <c r="W15" i="88"/>
  <c r="W17" i="88"/>
  <c r="W19" i="88"/>
  <c r="W21" i="88"/>
  <c r="W23" i="88"/>
  <c r="S26" i="88"/>
  <c r="U27" i="88"/>
  <c r="AC32" i="88"/>
  <c r="W32" i="88"/>
  <c r="AA36" i="88"/>
  <c r="S36" i="88"/>
  <c r="AC39" i="88"/>
  <c r="W39" i="88"/>
  <c r="AB40" i="88"/>
  <c r="U40" i="88"/>
  <c r="I54" i="88"/>
  <c r="J54" i="88" s="1"/>
  <c r="S29" i="88"/>
  <c r="U30" i="88"/>
  <c r="U37" i="88"/>
  <c r="W38" i="88"/>
  <c r="S45" i="88"/>
  <c r="U46" i="88"/>
  <c r="V47" i="88"/>
  <c r="U29" i="88"/>
  <c r="W30" i="88"/>
  <c r="U34" i="88"/>
  <c r="U35" i="88"/>
  <c r="W37" i="88"/>
  <c r="S44" i="88"/>
  <c r="U45" i="88"/>
  <c r="W46" i="88"/>
  <c r="W29" i="88"/>
  <c r="S32" i="88"/>
  <c r="W34" i="88"/>
  <c r="W35" i="88"/>
  <c r="S38" i="88"/>
  <c r="W40" i="88"/>
  <c r="U41" i="88"/>
  <c r="U43" i="88"/>
  <c r="U44" i="88"/>
  <c r="W45" i="88"/>
  <c r="D121" i="87"/>
  <c r="K120" i="87"/>
  <c r="C92" i="87"/>
  <c r="C94" i="87"/>
  <c r="H111" i="87"/>
  <c r="D126" i="87" s="1"/>
  <c r="D127" i="87" s="1"/>
  <c r="A126" i="87"/>
  <c r="H109" i="87"/>
  <c r="G66" i="86"/>
  <c r="H10" i="86"/>
  <c r="D58" i="86"/>
  <c r="E58" i="86" s="1"/>
  <c r="F58" i="86" s="1"/>
  <c r="G58" i="86" s="1"/>
  <c r="H58" i="86" s="1"/>
  <c r="I58" i="86" s="1"/>
  <c r="J58" i="86" s="1"/>
  <c r="K58" i="86" s="1"/>
  <c r="L58" i="86" s="1"/>
  <c r="M58" i="86" s="1"/>
  <c r="N58" i="86" s="1"/>
  <c r="O58" i="86" s="1"/>
  <c r="F7" i="86"/>
  <c r="J7" i="86"/>
  <c r="AB36" i="86"/>
  <c r="U36" i="86"/>
  <c r="G54" i="86"/>
  <c r="H54" i="86" s="1"/>
  <c r="T47" i="86"/>
  <c r="S12" i="86"/>
  <c r="U13" i="86"/>
  <c r="W14" i="86"/>
  <c r="W17" i="86"/>
  <c r="W19" i="86"/>
  <c r="W21" i="86"/>
  <c r="W23" i="86"/>
  <c r="S26" i="86"/>
  <c r="U27" i="86"/>
  <c r="AC36" i="86"/>
  <c r="W36" i="86"/>
  <c r="AA33" i="86"/>
  <c r="S33" i="86"/>
  <c r="AA35" i="86"/>
  <c r="S35" i="86"/>
  <c r="AB38" i="86"/>
  <c r="AA43" i="86"/>
  <c r="S43" i="86"/>
  <c r="R47" i="86"/>
  <c r="E54" i="86"/>
  <c r="F54" i="86" s="1"/>
  <c r="S46" i="86"/>
  <c r="J42" i="86"/>
  <c r="H42" i="86"/>
  <c r="F123" i="86"/>
  <c r="G123" i="86" s="1"/>
  <c r="H123" i="86" s="1"/>
  <c r="I123" i="86" s="1"/>
  <c r="J123" i="86" s="1"/>
  <c r="K123" i="86" s="1"/>
  <c r="L123" i="86" s="1"/>
  <c r="M123" i="86" s="1"/>
  <c r="F42" i="86"/>
  <c r="AA8" i="86"/>
  <c r="U9" i="86"/>
  <c r="W15" i="86"/>
  <c r="AB8" i="86"/>
  <c r="W9" i="86"/>
  <c r="S11" i="86"/>
  <c r="U12" i="86"/>
  <c r="W13" i="86"/>
  <c r="S25" i="86"/>
  <c r="U26" i="86"/>
  <c r="AC28" i="86"/>
  <c r="AB33" i="86"/>
  <c r="U33" i="86"/>
  <c r="U11" i="86"/>
  <c r="W12" i="86"/>
  <c r="S14" i="86"/>
  <c r="S15" i="86"/>
  <c r="S17" i="86"/>
  <c r="S19" i="86"/>
  <c r="S21" i="86"/>
  <c r="S23" i="86"/>
  <c r="U25" i="86"/>
  <c r="W26" i="86"/>
  <c r="AC33" i="86"/>
  <c r="W33" i="86"/>
  <c r="AA34" i="86"/>
  <c r="S34" i="86"/>
  <c r="AA41" i="86"/>
  <c r="S41" i="86"/>
  <c r="F31" i="86"/>
  <c r="J31" i="86"/>
  <c r="S9" i="86"/>
  <c r="W11" i="86"/>
  <c r="S13" i="86"/>
  <c r="U14" i="86"/>
  <c r="U15" i="86"/>
  <c r="U17" i="86"/>
  <c r="U19" i="86"/>
  <c r="U21" i="86"/>
  <c r="U23" i="86"/>
  <c r="W25" i="86"/>
  <c r="S27" i="86"/>
  <c r="AC32" i="86"/>
  <c r="W32" i="86"/>
  <c r="AA36" i="86"/>
  <c r="S36" i="86"/>
  <c r="AC39" i="86"/>
  <c r="W39" i="86"/>
  <c r="AB40" i="86"/>
  <c r="U40" i="86"/>
  <c r="I54" i="86"/>
  <c r="J54" i="86" s="1"/>
  <c r="S29" i="86"/>
  <c r="U30" i="86"/>
  <c r="U37" i="86"/>
  <c r="W38" i="86"/>
  <c r="S45" i="86"/>
  <c r="U46" i="86"/>
  <c r="V47" i="86"/>
  <c r="U29" i="86"/>
  <c r="W30" i="86"/>
  <c r="U34" i="86"/>
  <c r="U35" i="86"/>
  <c r="W37" i="86"/>
  <c r="S44" i="86"/>
  <c r="U45" i="86"/>
  <c r="W46" i="86"/>
  <c r="U28" i="86"/>
  <c r="W29" i="86"/>
  <c r="S32" i="86"/>
  <c r="W34" i="86"/>
  <c r="W35" i="86"/>
  <c r="S38" i="86"/>
  <c r="W40" i="86"/>
  <c r="U41" i="86"/>
  <c r="U43" i="86"/>
  <c r="U44" i="86"/>
  <c r="W45" i="86"/>
  <c r="F118" i="85"/>
  <c r="F119" i="85" s="1"/>
  <c r="C92" i="85"/>
  <c r="C94" i="85"/>
  <c r="D118" i="85"/>
  <c r="D119" i="85" s="1"/>
  <c r="D121" i="85"/>
  <c r="K120" i="85"/>
  <c r="H111" i="85"/>
  <c r="D126" i="85" s="1"/>
  <c r="D127" i="85" s="1"/>
  <c r="A126" i="85"/>
  <c r="H109" i="85"/>
  <c r="Q71" i="84"/>
  <c r="L57" i="84"/>
  <c r="L56" i="84"/>
  <c r="L60" i="84"/>
  <c r="F50" i="84"/>
  <c r="M7" i="84"/>
  <c r="N59" i="84"/>
  <c r="L58" i="84"/>
  <c r="M59" i="84"/>
  <c r="L59" i="84"/>
  <c r="I54" i="84"/>
  <c r="P61" i="84"/>
  <c r="J53" i="84"/>
  <c r="J57" i="84"/>
  <c r="J55" i="84" s="1"/>
  <c r="J58" i="84" s="1"/>
  <c r="Q50" i="84" s="1"/>
  <c r="M41" i="33"/>
  <c r="N41" i="33" s="1"/>
  <c r="M40" i="33"/>
  <c r="N40" i="33" s="1"/>
  <c r="M39" i="33"/>
  <c r="N39" i="33" s="1"/>
  <c r="G36" i="33"/>
  <c r="E36" i="33"/>
  <c r="O35" i="33"/>
  <c r="O36" i="33"/>
  <c r="F26" i="89"/>
  <c r="F42" i="89"/>
  <c r="F13" i="89"/>
  <c r="F36" i="89"/>
  <c r="M27" i="89"/>
  <c r="M24" i="89"/>
  <c r="F16" i="89"/>
  <c r="F38" i="89"/>
  <c r="M23" i="89"/>
  <c r="F37" i="89"/>
  <c r="M8" i="89"/>
  <c r="M29" i="89"/>
  <c r="F43" i="89"/>
  <c r="F8" i="89"/>
  <c r="M6" i="89"/>
  <c r="M26" i="89"/>
  <c r="F40" i="89"/>
  <c r="F26" i="84"/>
  <c r="F42" i="84"/>
  <c r="M24" i="84"/>
  <c r="M6" i="84"/>
  <c r="M26" i="84"/>
  <c r="F40" i="84"/>
  <c r="F36" i="84"/>
  <c r="J15" i="84"/>
  <c r="M27" i="84"/>
  <c r="M8" i="84"/>
  <c r="M29" i="84"/>
  <c r="F43" i="84"/>
  <c r="F6" i="84"/>
  <c r="F8" i="84"/>
  <c r="F13" i="84"/>
  <c r="M9" i="84"/>
  <c r="M23" i="84"/>
  <c r="F37" i="84"/>
  <c r="F16" i="84"/>
  <c r="F38" i="84"/>
  <c r="F68" i="89" l="1"/>
  <c r="M17" i="89"/>
  <c r="J6" i="89"/>
  <c r="F51" i="89"/>
  <c r="C49" i="89" s="1"/>
  <c r="C6" i="89"/>
  <c r="F31" i="89"/>
  <c r="F71" i="89"/>
  <c r="F65" i="89"/>
  <c r="F66" i="89"/>
  <c r="F64" i="89"/>
  <c r="C27" i="89"/>
  <c r="Q74" i="89"/>
  <c r="Q61" i="89"/>
  <c r="Q73" i="89"/>
  <c r="Q60" i="89"/>
  <c r="Q57" i="89"/>
  <c r="Q66" i="89"/>
  <c r="Q52" i="89"/>
  <c r="F1" i="89"/>
  <c r="AA31" i="88"/>
  <c r="S31" i="88"/>
  <c r="AB42" i="88"/>
  <c r="U42" i="88"/>
  <c r="H66" i="88"/>
  <c r="I66" i="88" s="1"/>
  <c r="J66" i="88" s="1"/>
  <c r="J10" i="88"/>
  <c r="F10" i="88"/>
  <c r="AC42" i="88"/>
  <c r="W42" i="88"/>
  <c r="T48" i="88"/>
  <c r="G48" i="88" s="1"/>
  <c r="S7" i="88"/>
  <c r="AA7" i="88"/>
  <c r="AA42" i="88"/>
  <c r="S42" i="88"/>
  <c r="AB7" i="88"/>
  <c r="U7" i="88"/>
  <c r="W7" i="88"/>
  <c r="AC7" i="88"/>
  <c r="AC31" i="88"/>
  <c r="W31" i="88"/>
  <c r="AB10" i="88"/>
  <c r="U10" i="88"/>
  <c r="D124" i="87"/>
  <c r="D125" i="87" s="1"/>
  <c r="H110" i="87"/>
  <c r="AC31" i="86"/>
  <c r="W31" i="86"/>
  <c r="AA31" i="86"/>
  <c r="S31" i="86"/>
  <c r="AB42" i="86"/>
  <c r="U42" i="86"/>
  <c r="AB10" i="86"/>
  <c r="U10" i="86"/>
  <c r="AC42" i="86"/>
  <c r="W42" i="86"/>
  <c r="W7" i="86"/>
  <c r="AC7" i="86"/>
  <c r="H66" i="86"/>
  <c r="I66" i="86" s="1"/>
  <c r="J66" i="86" s="1"/>
  <c r="F10" i="86"/>
  <c r="J10" i="86"/>
  <c r="AA42" i="86"/>
  <c r="S42" i="86"/>
  <c r="S7" i="86"/>
  <c r="AA7" i="86"/>
  <c r="H7" i="86"/>
  <c r="D124" i="85"/>
  <c r="D125" i="85" s="1"/>
  <c r="H110" i="85"/>
  <c r="F66" i="84"/>
  <c r="F65" i="84"/>
  <c r="F51" i="84"/>
  <c r="C49" i="84" s="1"/>
  <c r="F31" i="84"/>
  <c r="C6" i="84"/>
  <c r="F71" i="84"/>
  <c r="F64" i="84"/>
  <c r="F68" i="84"/>
  <c r="J6" i="84"/>
  <c r="M17" i="84"/>
  <c r="C27" i="84"/>
  <c r="Q73" i="84"/>
  <c r="Q60" i="84"/>
  <c r="Q57" i="84"/>
  <c r="Q66" i="84"/>
  <c r="Q52" i="84"/>
  <c r="F1" i="84"/>
  <c r="Q74" i="84"/>
  <c r="Q61" i="84"/>
  <c r="K36" i="80"/>
  <c r="S31" i="80"/>
  <c r="I47" i="33"/>
  <c r="U20" i="1"/>
  <c r="U21" i="1" s="1"/>
  <c r="U6" i="1" s="1"/>
  <c r="C14" i="89"/>
  <c r="C16" i="89"/>
  <c r="C17" i="89"/>
  <c r="C16" i="84"/>
  <c r="C17" i="84"/>
  <c r="C14" i="84"/>
  <c r="F59" i="89" l="1"/>
  <c r="C15" i="89"/>
  <c r="C18" i="89"/>
  <c r="C19" i="89" s="1"/>
  <c r="C59" i="89"/>
  <c r="J18" i="89"/>
  <c r="J17" i="89"/>
  <c r="J19" i="89"/>
  <c r="C31" i="89"/>
  <c r="AA10" i="88"/>
  <c r="R48" i="88" s="1"/>
  <c r="S10" i="88"/>
  <c r="AC10" i="88"/>
  <c r="V48" i="88" s="1"/>
  <c r="I48" i="88" s="1"/>
  <c r="W10" i="88"/>
  <c r="G52" i="88"/>
  <c r="H52" i="88" s="1"/>
  <c r="F59" i="84"/>
  <c r="U7" i="86"/>
  <c r="AB7" i="86"/>
  <c r="T48" i="86" s="1"/>
  <c r="G48" i="86" s="1"/>
  <c r="AC10" i="86"/>
  <c r="V48" i="86" s="1"/>
  <c r="I48" i="86" s="1"/>
  <c r="W10" i="86"/>
  <c r="AA10" i="86"/>
  <c r="R48" i="86" s="1"/>
  <c r="S10" i="86"/>
  <c r="C15" i="84"/>
  <c r="C18" i="84"/>
  <c r="J18" i="84"/>
  <c r="J17" i="84"/>
  <c r="J19" i="84"/>
  <c r="C59" i="84"/>
  <c r="C31" i="84"/>
  <c r="G33" i="82"/>
  <c r="O36" i="82"/>
  <c r="O35" i="82"/>
  <c r="I33" i="82"/>
  <c r="I5" i="82"/>
  <c r="C3" i="81"/>
  <c r="G47" i="82" s="1"/>
  <c r="N85" i="81"/>
  <c r="I47" i="82" s="1"/>
  <c r="V47" i="82" s="1"/>
  <c r="N53" i="81"/>
  <c r="N23" i="81"/>
  <c r="R47" i="82" s="1"/>
  <c r="B130" i="82"/>
  <c r="B128" i="82"/>
  <c r="J45" i="82" s="1"/>
  <c r="AC45" i="82" s="1"/>
  <c r="B126" i="82"/>
  <c r="J44" i="82" s="1"/>
  <c r="AC44" i="82" s="1"/>
  <c r="D125" i="82"/>
  <c r="E125" i="82" s="1"/>
  <c r="F125" i="82" s="1"/>
  <c r="G125" i="82" s="1"/>
  <c r="D123" i="82"/>
  <c r="E123" i="82" s="1"/>
  <c r="H42" i="82" s="1"/>
  <c r="D121" i="82"/>
  <c r="E121" i="82" s="1"/>
  <c r="F121" i="82" s="1"/>
  <c r="G121" i="82" s="1"/>
  <c r="H121" i="82" s="1"/>
  <c r="I121" i="82" s="1"/>
  <c r="J121" i="82" s="1"/>
  <c r="K121" i="82" s="1"/>
  <c r="L121" i="82" s="1"/>
  <c r="M121" i="82" s="1"/>
  <c r="D117" i="82"/>
  <c r="E117" i="82" s="1"/>
  <c r="F117" i="82" s="1"/>
  <c r="G117" i="82" s="1"/>
  <c r="F39" i="82" s="1"/>
  <c r="AA39"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J30" i="82" s="1"/>
  <c r="AC30" i="82" s="1"/>
  <c r="D95" i="82"/>
  <c r="E95" i="82" s="1"/>
  <c r="F95" i="82" s="1"/>
  <c r="B94" i="82"/>
  <c r="J29" i="82" s="1"/>
  <c r="AC29" i="82" s="1"/>
  <c r="E93" i="82"/>
  <c r="B92" i="82"/>
  <c r="D91" i="82"/>
  <c r="E91" i="82" s="1"/>
  <c r="B90" i="82"/>
  <c r="D89" i="82"/>
  <c r="E89" i="82" s="1"/>
  <c r="B88" i="82"/>
  <c r="F26" i="82" s="1"/>
  <c r="D87" i="82"/>
  <c r="H25" i="82" s="1"/>
  <c r="E85" i="82"/>
  <c r="F85" i="82" s="1"/>
  <c r="G85" i="82" s="1"/>
  <c r="D85" i="82"/>
  <c r="D83" i="82"/>
  <c r="E83" i="82" s="1"/>
  <c r="F83" i="82" s="1"/>
  <c r="G83" i="82" s="1"/>
  <c r="D81" i="82"/>
  <c r="E81" i="82" s="1"/>
  <c r="F81" i="82" s="1"/>
  <c r="G81" i="82" s="1"/>
  <c r="D79" i="82"/>
  <c r="H17" i="82" s="1"/>
  <c r="AB17" i="82" s="1"/>
  <c r="D77" i="82"/>
  <c r="E77" i="82" s="1"/>
  <c r="B74" i="82"/>
  <c r="J14" i="82" s="1"/>
  <c r="B72" i="82"/>
  <c r="B70" i="82"/>
  <c r="F12" i="82" s="1"/>
  <c r="AA12" i="82" s="1"/>
  <c r="D69" i="82"/>
  <c r="E69" i="82" s="1"/>
  <c r="F69" i="82" s="1"/>
  <c r="G69" i="82" s="1"/>
  <c r="H69" i="82" s="1"/>
  <c r="I69" i="82" s="1"/>
  <c r="J69" i="82" s="1"/>
  <c r="K69" i="82" s="1"/>
  <c r="L69" i="82" s="1"/>
  <c r="M69" i="82" s="1"/>
  <c r="M67" i="82"/>
  <c r="L67" i="82"/>
  <c r="K67" i="82"/>
  <c r="J67" i="82"/>
  <c r="I67" i="82"/>
  <c r="H67" i="82"/>
  <c r="G67" i="82"/>
  <c r="F67" i="82"/>
  <c r="E67" i="82"/>
  <c r="D67" i="82"/>
  <c r="C67" i="82"/>
  <c r="C63" i="82"/>
  <c r="F9" i="82" s="1"/>
  <c r="AA9" i="82" s="1"/>
  <c r="P49" i="82"/>
  <c r="P48" i="82"/>
  <c r="K48" i="82"/>
  <c r="P47" i="82"/>
  <c r="Q46" i="82"/>
  <c r="Z46" i="82" s="1"/>
  <c r="J46" i="82"/>
  <c r="AC46" i="82" s="1"/>
  <c r="H46" i="82"/>
  <c r="U46" i="82" s="1"/>
  <c r="F46" i="82"/>
  <c r="AA46" i="82" s="1"/>
  <c r="Q45" i="82"/>
  <c r="Z45" i="82" s="1"/>
  <c r="H45" i="82"/>
  <c r="AB45" i="82" s="1"/>
  <c r="F45" i="82"/>
  <c r="S45" i="82" s="1"/>
  <c r="Z44" i="82"/>
  <c r="Q44" i="82"/>
  <c r="F44" i="82"/>
  <c r="AA44" i="82" s="1"/>
  <c r="Q43" i="82"/>
  <c r="Z43" i="82" s="1"/>
  <c r="J43" i="82"/>
  <c r="AC43" i="82" s="1"/>
  <c r="H43" i="82"/>
  <c r="AB43" i="82" s="1"/>
  <c r="F43" i="82"/>
  <c r="AA43" i="82" s="1"/>
  <c r="Q42" i="82"/>
  <c r="Z42" i="82" s="1"/>
  <c r="Q41" i="82"/>
  <c r="Z41" i="82" s="1"/>
  <c r="J41" i="82"/>
  <c r="AC41" i="82" s="1"/>
  <c r="H41" i="82"/>
  <c r="AB41" i="82" s="1"/>
  <c r="F41" i="82"/>
  <c r="S41" i="82" s="1"/>
  <c r="Q40" i="82"/>
  <c r="Z40" i="82" s="1"/>
  <c r="J40" i="82"/>
  <c r="AC40" i="82" s="1"/>
  <c r="H40" i="82"/>
  <c r="AB40" i="82" s="1"/>
  <c r="F40" i="82"/>
  <c r="AA40" i="82" s="1"/>
  <c r="Q39" i="82"/>
  <c r="Z39" i="82" s="1"/>
  <c r="H39" i="82"/>
  <c r="AB39" i="82" s="1"/>
  <c r="Q38" i="82"/>
  <c r="Z38" i="82" s="1"/>
  <c r="J38" i="82"/>
  <c r="AC38" i="82" s="1"/>
  <c r="H38" i="82"/>
  <c r="U38" i="82" s="1"/>
  <c r="F38" i="82"/>
  <c r="AA38" i="82" s="1"/>
  <c r="Q37" i="82"/>
  <c r="Z37" i="82" s="1"/>
  <c r="J37" i="82"/>
  <c r="AC37" i="82" s="1"/>
  <c r="H37" i="82"/>
  <c r="AB37" i="82" s="1"/>
  <c r="Q36" i="82"/>
  <c r="Z36" i="82" s="1"/>
  <c r="Q35" i="82"/>
  <c r="Z35" i="82" s="1"/>
  <c r="J35" i="82"/>
  <c r="AC35" i="82" s="1"/>
  <c r="H35" i="82"/>
  <c r="AB35" i="82" s="1"/>
  <c r="F35" i="82"/>
  <c r="AA35" i="82" s="1"/>
  <c r="Q34" i="82"/>
  <c r="Z34" i="82" s="1"/>
  <c r="O34" i="82"/>
  <c r="J34" i="82"/>
  <c r="H34" i="82"/>
  <c r="U34" i="82" s="1"/>
  <c r="F34" i="82"/>
  <c r="AA34" i="82" s="1"/>
  <c r="Q33" i="82"/>
  <c r="Z33" i="82" s="1"/>
  <c r="O33" i="82"/>
  <c r="Q32" i="82"/>
  <c r="Z32" i="82" s="1"/>
  <c r="O32" i="82"/>
  <c r="J32" i="82"/>
  <c r="H32" i="82"/>
  <c r="AB32" i="82" s="1"/>
  <c r="F32" i="82"/>
  <c r="AA32" i="82" s="1"/>
  <c r="Q31" i="82"/>
  <c r="Z31" i="82" s="1"/>
  <c r="H31" i="82"/>
  <c r="AB31" i="82" s="1"/>
  <c r="Q30" i="82"/>
  <c r="Z30" i="82" s="1"/>
  <c r="H30" i="82"/>
  <c r="AB30" i="82" s="1"/>
  <c r="F30" i="82"/>
  <c r="S30" i="82" s="1"/>
  <c r="Q29" i="82"/>
  <c r="Z29" i="82" s="1"/>
  <c r="H29" i="82"/>
  <c r="AB29" i="82" s="1"/>
  <c r="F29" i="82"/>
  <c r="AA29" i="82" s="1"/>
  <c r="Q28" i="82"/>
  <c r="Z28" i="82" s="1"/>
  <c r="Q27" i="82"/>
  <c r="Z27" i="82" s="1"/>
  <c r="Q26" i="82"/>
  <c r="Z26" i="82" s="1"/>
  <c r="Q25" i="82"/>
  <c r="Z25" i="82" s="1"/>
  <c r="AB23" i="82"/>
  <c r="Q23" i="82"/>
  <c r="Z23" i="82" s="1"/>
  <c r="J23" i="82"/>
  <c r="AC23" i="82" s="1"/>
  <c r="H23" i="82"/>
  <c r="U23" i="82" s="1"/>
  <c r="F23" i="82"/>
  <c r="S23" i="82" s="1"/>
  <c r="C23" i="82"/>
  <c r="Q21" i="82"/>
  <c r="Z21" i="82" s="1"/>
  <c r="J21" i="82"/>
  <c r="W21" i="82" s="1"/>
  <c r="H21" i="82"/>
  <c r="AB21" i="82" s="1"/>
  <c r="F21" i="82"/>
  <c r="S21" i="82" s="1"/>
  <c r="C21" i="82"/>
  <c r="AB19" i="82"/>
  <c r="Q19" i="82"/>
  <c r="Z19" i="82" s="1"/>
  <c r="J19" i="82"/>
  <c r="W19" i="82" s="1"/>
  <c r="H19" i="82"/>
  <c r="U19" i="82" s="1"/>
  <c r="F19" i="82"/>
  <c r="AA19" i="82" s="1"/>
  <c r="C19" i="82"/>
  <c r="Q17" i="82"/>
  <c r="Z17" i="82" s="1"/>
  <c r="F17" i="82"/>
  <c r="AA17" i="82" s="1"/>
  <c r="C17" i="82"/>
  <c r="Q15" i="82"/>
  <c r="Z15" i="82" s="1"/>
  <c r="C15" i="82"/>
  <c r="Q14" i="82"/>
  <c r="Z14" i="82" s="1"/>
  <c r="F14" i="82"/>
  <c r="AA14" i="82" s="1"/>
  <c r="Q13" i="82"/>
  <c r="Z13" i="82" s="1"/>
  <c r="J13" i="82"/>
  <c r="AC13" i="82" s="1"/>
  <c r="H13" i="82"/>
  <c r="AB13" i="82" s="1"/>
  <c r="F13" i="82"/>
  <c r="AA13" i="82" s="1"/>
  <c r="Q12" i="82"/>
  <c r="Z12" i="82" s="1"/>
  <c r="H12" i="82"/>
  <c r="AB12" i="82" s="1"/>
  <c r="Q11" i="82"/>
  <c r="Z11" i="82" s="1"/>
  <c r="J11" i="82"/>
  <c r="AC11" i="82" s="1"/>
  <c r="H11" i="82"/>
  <c r="AB11" i="82" s="1"/>
  <c r="F11" i="82"/>
  <c r="AA11" i="82" s="1"/>
  <c r="Q10" i="82"/>
  <c r="Z10" i="82" s="1"/>
  <c r="J10" i="82"/>
  <c r="AC10" i="82" s="1"/>
  <c r="H10" i="82"/>
  <c r="AB10" i="82" s="1"/>
  <c r="F10" i="82"/>
  <c r="AA10" i="82" s="1"/>
  <c r="Q9" i="82"/>
  <c r="Z9" i="82" s="1"/>
  <c r="H9" i="82"/>
  <c r="AB9" i="82" s="1"/>
  <c r="J8" i="82"/>
  <c r="AC8" i="82" s="1"/>
  <c r="H8" i="82"/>
  <c r="AB8" i="82" s="1"/>
  <c r="F8" i="82"/>
  <c r="S8" i="82" s="1"/>
  <c r="P11" i="80"/>
  <c r="Q10" i="80" s="1"/>
  <c r="D93" i="33" s="1"/>
  <c r="I33" i="33"/>
  <c r="E95" i="33"/>
  <c r="F95" i="33" s="1"/>
  <c r="D95" i="33"/>
  <c r="O34" i="33"/>
  <c r="O33" i="33"/>
  <c r="O32" i="33"/>
  <c r="I36" i="33" s="1"/>
  <c r="I5" i="33"/>
  <c r="D89" i="33"/>
  <c r="E89" i="33" s="1"/>
  <c r="F89" i="33" s="1"/>
  <c r="G89" i="33" s="1"/>
  <c r="E93" i="33"/>
  <c r="F104" i="33"/>
  <c r="G104" i="33" s="1"/>
  <c r="H104" i="33" s="1"/>
  <c r="I104" i="33" s="1"/>
  <c r="J49" i="67"/>
  <c r="AM8" i="1"/>
  <c r="AL8" i="1"/>
  <c r="AK8" i="1"/>
  <c r="AM7" i="1"/>
  <c r="AL7" i="1"/>
  <c r="W8" i="1"/>
  <c r="W7" i="1"/>
  <c r="V8" i="1"/>
  <c r="V7" i="1"/>
  <c r="Q8" i="1"/>
  <c r="Q7" i="1"/>
  <c r="L8" i="1"/>
  <c r="L7" i="1"/>
  <c r="J8" i="1"/>
  <c r="J7" i="1"/>
  <c r="I8" i="1"/>
  <c r="I7" i="1"/>
  <c r="H8" i="1"/>
  <c r="H7" i="1"/>
  <c r="C15" i="3"/>
  <c r="C14" i="3"/>
  <c r="I15" i="3"/>
  <c r="I14" i="3"/>
  <c r="I13" i="3"/>
  <c r="C13" i="3"/>
  <c r="L13" i="80"/>
  <c r="L12" i="80"/>
  <c r="L10" i="80"/>
  <c r="L11" i="80" s="1"/>
  <c r="L8" i="80"/>
  <c r="L9" i="80" s="1"/>
  <c r="U3" i="43" s="1"/>
  <c r="D2" i="82"/>
  <c r="C20" i="89" l="1"/>
  <c r="C26" i="89" s="1"/>
  <c r="I52" i="88"/>
  <c r="J52" i="88" s="1"/>
  <c r="G53" i="88"/>
  <c r="H53" i="88" s="1"/>
  <c r="E48" i="88"/>
  <c r="R49" i="88"/>
  <c r="I52" i="86"/>
  <c r="J52" i="86" s="1"/>
  <c r="E48" i="86"/>
  <c r="R49" i="86"/>
  <c r="G53" i="86"/>
  <c r="H53" i="86" s="1"/>
  <c r="G52" i="86"/>
  <c r="H52" i="86" s="1"/>
  <c r="C19" i="84"/>
  <c r="C20" i="84" s="1"/>
  <c r="C26" i="84" s="1"/>
  <c r="AA26" i="82"/>
  <c r="S26" i="82"/>
  <c r="U2" i="43"/>
  <c r="J25" i="82"/>
  <c r="W25" i="82" s="1"/>
  <c r="J39" i="82"/>
  <c r="AC39" i="82" s="1"/>
  <c r="H44" i="82"/>
  <c r="AB44" i="82" s="1"/>
  <c r="E79" i="82"/>
  <c r="F79" i="82" s="1"/>
  <c r="G79" i="82" s="1"/>
  <c r="Q9" i="80"/>
  <c r="C93" i="33" s="1"/>
  <c r="J17" i="82"/>
  <c r="AC17" i="82" s="1"/>
  <c r="J12" i="82"/>
  <c r="AC12" i="82" s="1"/>
  <c r="F37" i="82"/>
  <c r="S37" i="82" s="1"/>
  <c r="AB25" i="82"/>
  <c r="U25" i="82"/>
  <c r="F91" i="82"/>
  <c r="G91" i="82" s="1"/>
  <c r="H91" i="82" s="1"/>
  <c r="I91" i="82" s="1"/>
  <c r="J91" i="82" s="1"/>
  <c r="K91" i="82" s="1"/>
  <c r="L91" i="82" s="1"/>
  <c r="M91" i="82" s="1"/>
  <c r="F27" i="82"/>
  <c r="H27" i="82"/>
  <c r="U27" i="82" s="1"/>
  <c r="F77" i="82"/>
  <c r="G77" i="82" s="1"/>
  <c r="H15" i="82"/>
  <c r="AB15" i="82" s="1"/>
  <c r="J15" i="82"/>
  <c r="AC15" i="82" s="1"/>
  <c r="F15" i="82"/>
  <c r="AA15" i="82" s="1"/>
  <c r="J9" i="82"/>
  <c r="AC9" i="82" s="1"/>
  <c r="U32" i="82"/>
  <c r="AA21" i="82"/>
  <c r="F25" i="82"/>
  <c r="AA25" i="82" s="1"/>
  <c r="J26" i="82"/>
  <c r="U31" i="82"/>
  <c r="AB34" i="82"/>
  <c r="E87" i="82"/>
  <c r="F87" i="82" s="1"/>
  <c r="G87" i="82" s="1"/>
  <c r="H87" i="82" s="1"/>
  <c r="I87" i="82" s="1"/>
  <c r="J87" i="82" s="1"/>
  <c r="K87" i="82" s="1"/>
  <c r="L87" i="82" s="1"/>
  <c r="M87" i="82" s="1"/>
  <c r="J27" i="82"/>
  <c r="C93" i="82"/>
  <c r="AA45" i="82"/>
  <c r="AC21" i="82"/>
  <c r="D93" i="82"/>
  <c r="G54" i="82"/>
  <c r="H54" i="82" s="1"/>
  <c r="U8" i="82"/>
  <c r="W8" i="82"/>
  <c r="AC14" i="82"/>
  <c r="W14" i="82"/>
  <c r="U42" i="82"/>
  <c r="AB42" i="82"/>
  <c r="U21" i="82"/>
  <c r="AB38" i="82"/>
  <c r="U10" i="82"/>
  <c r="W11" i="82"/>
  <c r="S13" i="82"/>
  <c r="H14" i="82"/>
  <c r="U17" i="82"/>
  <c r="AC19" i="82"/>
  <c r="AA23" i="82"/>
  <c r="AA30" i="82"/>
  <c r="AC34" i="82"/>
  <c r="W34" i="82"/>
  <c r="W39" i="82"/>
  <c r="AA41" i="82"/>
  <c r="F89" i="82"/>
  <c r="G89" i="82" s="1"/>
  <c r="H26" i="82"/>
  <c r="S17" i="82"/>
  <c r="W23" i="82"/>
  <c r="F111" i="82"/>
  <c r="G111" i="82" s="1"/>
  <c r="H111" i="82" s="1"/>
  <c r="I111" i="82" s="1"/>
  <c r="J111" i="82" s="1"/>
  <c r="K111" i="82" s="1"/>
  <c r="L111" i="82" s="1"/>
  <c r="M111" i="82" s="1"/>
  <c r="S9" i="82"/>
  <c r="W10" i="82"/>
  <c r="S12" i="82"/>
  <c r="U13" i="82"/>
  <c r="W17" i="82"/>
  <c r="W35" i="82"/>
  <c r="W43" i="82"/>
  <c r="AC27" i="82"/>
  <c r="W27" i="82"/>
  <c r="F31" i="82"/>
  <c r="J31" i="82"/>
  <c r="S10" i="82"/>
  <c r="U11" i="82"/>
  <c r="W12" i="82"/>
  <c r="S14" i="82"/>
  <c r="S19" i="82"/>
  <c r="AC32" i="82"/>
  <c r="W32" i="82"/>
  <c r="AB46" i="82"/>
  <c r="F42" i="82"/>
  <c r="F123" i="82"/>
  <c r="G123" i="82" s="1"/>
  <c r="H123" i="82" s="1"/>
  <c r="I123" i="82" s="1"/>
  <c r="J123" i="82" s="1"/>
  <c r="K123" i="82" s="1"/>
  <c r="L123" i="82" s="1"/>
  <c r="M123" i="82" s="1"/>
  <c r="J42" i="82"/>
  <c r="AA8" i="82"/>
  <c r="U9" i="82"/>
  <c r="W15" i="82"/>
  <c r="S11" i="82"/>
  <c r="U12" i="82"/>
  <c r="W13" i="82"/>
  <c r="I54" i="82"/>
  <c r="J54" i="82" s="1"/>
  <c r="S25" i="82"/>
  <c r="S29" i="82"/>
  <c r="U30" i="82"/>
  <c r="U37" i="82"/>
  <c r="W38" i="82"/>
  <c r="S40" i="82"/>
  <c r="U41" i="82"/>
  <c r="S44" i="82"/>
  <c r="U45" i="82"/>
  <c r="W46" i="82"/>
  <c r="E54" i="82"/>
  <c r="F54" i="82" s="1"/>
  <c r="U29" i="82"/>
  <c r="W30" i="82"/>
  <c r="S35" i="82"/>
  <c r="W37" i="82"/>
  <c r="S39" i="82"/>
  <c r="U40" i="82"/>
  <c r="W41" i="82"/>
  <c r="S43" i="82"/>
  <c r="U44" i="82"/>
  <c r="W45" i="82"/>
  <c r="W29" i="82"/>
  <c r="S32" i="82"/>
  <c r="S34" i="82"/>
  <c r="U35" i="82"/>
  <c r="S38" i="82"/>
  <c r="U39" i="82"/>
  <c r="W40" i="82"/>
  <c r="U43" i="82"/>
  <c r="W44" i="82"/>
  <c r="S46" i="82"/>
  <c r="T47" i="82"/>
  <c r="E53" i="88" l="1"/>
  <c r="F53" i="88" s="1"/>
  <c r="E52" i="88"/>
  <c r="F52" i="88" s="1"/>
  <c r="C49" i="88"/>
  <c r="C48" i="88"/>
  <c r="I53" i="88"/>
  <c r="J53" i="88" s="1"/>
  <c r="C49" i="86"/>
  <c r="C48" i="86"/>
  <c r="E53" i="86"/>
  <c r="F53" i="86" s="1"/>
  <c r="E52" i="86"/>
  <c r="F52" i="86" s="1"/>
  <c r="I53" i="86"/>
  <c r="J53" i="86" s="1"/>
  <c r="S15" i="82"/>
  <c r="AB27" i="82"/>
  <c r="AA37" i="82"/>
  <c r="AC25" i="82"/>
  <c r="W26" i="82"/>
  <c r="AC26" i="82"/>
  <c r="AA27" i="82"/>
  <c r="S27" i="82"/>
  <c r="U15" i="82"/>
  <c r="H28" i="82"/>
  <c r="F28" i="82"/>
  <c r="J28" i="82"/>
  <c r="W9" i="82"/>
  <c r="AB26" i="82"/>
  <c r="U26" i="82"/>
  <c r="AC42" i="82"/>
  <c r="W42" i="82"/>
  <c r="AA31" i="82"/>
  <c r="S31" i="82"/>
  <c r="AC31" i="82"/>
  <c r="W31" i="82"/>
  <c r="AA42" i="82"/>
  <c r="S42" i="82"/>
  <c r="AB14" i="82"/>
  <c r="U14" i="82"/>
  <c r="P34" i="80"/>
  <c r="P32" i="80"/>
  <c r="P29" i="80"/>
  <c r="P30" i="80"/>
  <c r="P28" i="80"/>
  <c r="O20" i="80"/>
  <c r="O21" i="80"/>
  <c r="O19" i="80"/>
  <c r="B59" i="1"/>
  <c r="B21" i="1"/>
  <c r="B2" i="88" l="1"/>
  <c r="B3" i="88"/>
  <c r="B3" i="86"/>
  <c r="B2" i="86"/>
  <c r="W28" i="82"/>
  <c r="AC28" i="82"/>
  <c r="S28" i="82"/>
  <c r="AA28" i="82"/>
  <c r="U28" i="82"/>
  <c r="AB28" i="82"/>
  <c r="N19" i="1"/>
  <c r="N21" i="1" s="1"/>
  <c r="N6" i="1" s="1"/>
  <c r="D3" i="4"/>
  <c r="G14" i="73"/>
  <c r="F14" i="73"/>
  <c r="E14" i="73"/>
  <c r="C19" i="87"/>
  <c r="C20" i="87"/>
  <c r="C20" i="85"/>
  <c r="C19" i="85"/>
  <c r="C103" i="87" l="1"/>
  <c r="C21" i="87"/>
  <c r="C102" i="87"/>
  <c r="C102" i="85"/>
  <c r="C21" i="85"/>
  <c r="C103" i="85"/>
  <c r="C36" i="82"/>
  <c r="C36" i="33"/>
  <c r="N8" i="1"/>
  <c r="N7" i="1"/>
  <c r="Y6" i="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Y8" i="1" l="1"/>
  <c r="Y7" i="1"/>
  <c r="G36" i="82"/>
  <c r="H36" i="82" s="1"/>
  <c r="J36" i="82"/>
  <c r="F36" i="82"/>
  <c r="G15" i="73"/>
  <c r="F15" i="73"/>
  <c r="E15" i="73"/>
  <c r="G16" i="73"/>
  <c r="F16" i="73"/>
  <c r="E16" i="73"/>
  <c r="W36" i="82" l="1"/>
  <c r="AC36" i="82"/>
  <c r="AB36" i="82"/>
  <c r="U36" i="82"/>
  <c r="AA36" i="82"/>
  <c r="S36" i="82"/>
  <c r="U7" i="1"/>
  <c r="U8" i="1" s="1"/>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S17" i="79"/>
  <c r="T19" i="79"/>
  <c r="W19" i="79" s="1"/>
  <c r="N28" i="79"/>
  <c r="AA28" i="79"/>
  <c r="AD28" i="79" s="1"/>
  <c r="T34" i="79"/>
  <c r="W34" i="79" s="1"/>
  <c r="U40" i="79"/>
  <c r="AD41" i="79"/>
  <c r="S42" i="79"/>
  <c r="U44" i="79"/>
  <c r="AD45"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Q70" i="71"/>
  <c r="P70" i="71"/>
  <c r="O70" i="71"/>
  <c r="N70" i="71"/>
  <c r="Q69" i="71"/>
  <c r="P69" i="71"/>
  <c r="O69" i="71"/>
  <c r="N69" i="71"/>
  <c r="D69" i="71"/>
  <c r="F68" i="71"/>
  <c r="F67"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Q37" i="71"/>
  <c r="F38" i="71" s="1"/>
  <c r="F39" i="71" s="1"/>
  <c r="P37" i="71"/>
  <c r="E38" i="71" s="1"/>
  <c r="O37" i="71"/>
  <c r="N37" i="71"/>
  <c r="B38" i="71" s="1"/>
  <c r="B39" i="71" s="1"/>
  <c r="B40" i="71" s="1"/>
  <c r="S40" i="71" s="1"/>
  <c r="D37" i="71"/>
  <c r="Q36" i="71"/>
  <c r="P36" i="71"/>
  <c r="O36" i="71"/>
  <c r="N36" i="71"/>
  <c r="X31" i="71" s="1"/>
  <c r="Q35" i="71"/>
  <c r="P35" i="71"/>
  <c r="O35" i="71"/>
  <c r="N35" i="71"/>
  <c r="Q34" i="71"/>
  <c r="P34" i="71"/>
  <c r="O34" i="71"/>
  <c r="N34" i="71"/>
  <c r="Q33" i="71"/>
  <c r="F34"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C34" i="71"/>
  <c r="D34" i="71" s="1"/>
  <c r="P28" i="71"/>
  <c r="E28" i="71" s="1"/>
  <c r="E67" i="71"/>
  <c r="E66" i="71" s="1"/>
  <c r="Q28" i="71"/>
  <c r="C63" i="71"/>
  <c r="C64" i="71" s="1"/>
  <c r="D68" i="71"/>
  <c r="C67" i="71"/>
  <c r="D67" i="71" s="1"/>
  <c r="D72" i="71"/>
  <c r="F28" i="71"/>
  <c r="F27" i="71" s="1"/>
  <c r="F26" i="71" s="1"/>
  <c r="D6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H25" i="40"/>
  <c r="AB25" i="40" s="1"/>
  <c r="J25" i="40"/>
  <c r="AC25" i="40" s="1"/>
  <c r="H29" i="39"/>
  <c r="AB29" i="39" s="1"/>
  <c r="J29" i="39"/>
  <c r="AC29" i="39" s="1"/>
  <c r="J18" i="36"/>
  <c r="AC18" i="36" s="1"/>
  <c r="H18" i="35"/>
  <c r="AB18" i="35" s="1"/>
  <c r="J18" i="35"/>
  <c r="W18" i="35" s="1"/>
  <c r="H21" i="37"/>
  <c r="U21" i="37" s="1"/>
  <c r="F21" i="37"/>
  <c r="AA21" i="37" s="1"/>
  <c r="H21" i="34"/>
  <c r="AB21" i="34" s="1"/>
  <c r="H21" i="33"/>
  <c r="U21" i="33" s="1"/>
  <c r="F21" i="33"/>
  <c r="AA21" i="33" s="1"/>
  <c r="E83" i="21"/>
  <c r="F83" i="21" s="1"/>
  <c r="H1" i="69"/>
  <c r="W25" i="40"/>
  <c r="U25" i="40"/>
  <c r="W18" i="36"/>
  <c r="AC18" i="35"/>
  <c r="J21" i="37"/>
  <c r="W21" i="37" s="1"/>
  <c r="J21" i="34"/>
  <c r="W21" i="34" s="1"/>
  <c r="J21" i="33"/>
  <c r="W21" i="33" s="1"/>
  <c r="H21" i="21"/>
  <c r="U21" i="21" s="1"/>
  <c r="F38" i="69"/>
  <c r="E37" i="69"/>
  <c r="F36" i="69"/>
  <c r="F35" i="69"/>
  <c r="F21" i="69"/>
  <c r="F40" i="69" s="1"/>
  <c r="F20" i="69"/>
  <c r="F39" i="69" s="1"/>
  <c r="E10" i="69"/>
  <c r="E9" i="69"/>
  <c r="AC21" i="37"/>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2"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A495" i="3" s="1"/>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A514" i="3" s="1"/>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F36" i="33" s="1"/>
  <c r="AA36"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S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H38" i="37" s="1"/>
  <c r="AB38" i="37" s="1"/>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H26" i="37" s="1"/>
  <c r="D79" i="37"/>
  <c r="E79" i="37" s="1"/>
  <c r="D75" i="37"/>
  <c r="E75" i="37" s="1"/>
  <c r="D73" i="37"/>
  <c r="E73" i="37" s="1"/>
  <c r="F73" i="37" s="1"/>
  <c r="D71" i="37"/>
  <c r="E71" i="37" s="1"/>
  <c r="F71" i="37" s="1"/>
  <c r="G71" i="37" s="1"/>
  <c r="H15" i="37"/>
  <c r="AB15" i="37" s="1"/>
  <c r="B68" i="37"/>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B71" i="36"/>
  <c r="D70" i="36"/>
  <c r="H22" i="36"/>
  <c r="AB22" i="36" s="1"/>
  <c r="D68" i="36"/>
  <c r="E68" i="36" s="1"/>
  <c r="F68" i="36" s="1"/>
  <c r="G68" i="36" s="1"/>
  <c r="D64" i="36"/>
  <c r="E64" i="36" s="1"/>
  <c r="F64" i="36" s="1"/>
  <c r="G64" i="36" s="1"/>
  <c r="J16" i="36"/>
  <c r="W16" i="36" s="1"/>
  <c r="D62" i="36"/>
  <c r="E62" i="36" s="1"/>
  <c r="F62" i="36" s="1"/>
  <c r="G62" i="36" s="1"/>
  <c r="B59" i="36"/>
  <c r="H13" i="36" s="1"/>
  <c r="B57" i="36"/>
  <c r="H12" i="36" s="1"/>
  <c r="U12" i="36" s="1"/>
  <c r="B55" i="36"/>
  <c r="H11" i="36" s="1"/>
  <c r="U11" i="36" s="1"/>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J23" i="35" s="1"/>
  <c r="AC23" i="35" s="1"/>
  <c r="B57" i="35"/>
  <c r="B61" i="35"/>
  <c r="F13" i="35" s="1"/>
  <c r="B59" i="35"/>
  <c r="F12" i="35" s="1"/>
  <c r="B131" i="34"/>
  <c r="B129" i="34"/>
  <c r="B127" i="34"/>
  <c r="B99" i="34"/>
  <c r="B97" i="34"/>
  <c r="B95" i="34"/>
  <c r="B93" i="34"/>
  <c r="F29" i="34" s="1"/>
  <c r="S29" i="34" s="1"/>
  <c r="B75" i="34"/>
  <c r="B73" i="34"/>
  <c r="B71" i="34"/>
  <c r="H12" i="34" s="1"/>
  <c r="B130" i="33"/>
  <c r="J46" i="33" s="1"/>
  <c r="AC46" i="33" s="1"/>
  <c r="B128" i="33"/>
  <c r="B126" i="33"/>
  <c r="B98" i="33"/>
  <c r="B96" i="33"/>
  <c r="J30" i="33" s="1"/>
  <c r="B94" i="33"/>
  <c r="J29" i="33" s="1"/>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D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D79" i="33"/>
  <c r="E79" i="33" s="1"/>
  <c r="D77" i="33"/>
  <c r="E77" i="33" s="1"/>
  <c r="H15" i="33" s="1"/>
  <c r="AB15"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AC41" i="33"/>
  <c r="W41" i="33"/>
  <c r="Q41" i="33"/>
  <c r="Z41" i="33" s="1"/>
  <c r="Q40" i="33"/>
  <c r="Z40" i="33" s="1"/>
  <c r="J40" i="33"/>
  <c r="H40" i="33"/>
  <c r="AB40" i="33" s="1"/>
  <c r="AA40" i="33"/>
  <c r="Q39" i="33"/>
  <c r="Z39" i="33" s="1"/>
  <c r="Q38" i="33"/>
  <c r="Z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H44" i="21" s="1"/>
  <c r="U44" i="21" s="1"/>
  <c r="B98" i="21"/>
  <c r="B96" i="21"/>
  <c r="H30" i="21" s="1"/>
  <c r="U30" i="21" s="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AB34" i="2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c r="AB41" i="21"/>
  <c r="F36" i="39"/>
  <c r="S36" i="39" s="1"/>
  <c r="H36" i="39"/>
  <c r="AB36" i="39" s="1"/>
  <c r="F35" i="39"/>
  <c r="J36" i="39"/>
  <c r="AC36" i="39" s="1"/>
  <c r="U9" i="39"/>
  <c r="F39" i="37"/>
  <c r="S39" i="37" s="1"/>
  <c r="F29" i="36"/>
  <c r="AA29" i="36" s="1"/>
  <c r="F16" i="36"/>
  <c r="AA16" i="36" s="1"/>
  <c r="W28" i="36"/>
  <c r="J33" i="36"/>
  <c r="AC33" i="36" s="1"/>
  <c r="H22" i="35"/>
  <c r="AB22" i="35" s="1"/>
  <c r="AC27" i="35"/>
  <c r="F36" i="34"/>
  <c r="J35" i="34"/>
  <c r="S40" i="33"/>
  <c r="H39" i="37"/>
  <c r="AB39" i="37" s="1"/>
  <c r="S27" i="35"/>
  <c r="F11" i="40"/>
  <c r="AA11" i="40" s="1"/>
  <c r="H11" i="40"/>
  <c r="AB11" i="40" s="1"/>
  <c r="AA9" i="40"/>
  <c r="S34" i="40"/>
  <c r="F42" i="39"/>
  <c r="AA42" i="39" s="1"/>
  <c r="F41" i="39"/>
  <c r="S41" i="39" s="1"/>
  <c r="H40" i="39"/>
  <c r="AB40" i="39" s="1"/>
  <c r="H39" i="39"/>
  <c r="U39" i="39" s="1"/>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F27" i="39"/>
  <c r="F11" i="21"/>
  <c r="S11" i="21" s="1"/>
  <c r="S40" i="21"/>
  <c r="H11" i="39"/>
  <c r="S40" i="39"/>
  <c r="H32" i="33"/>
  <c r="AB32" i="33" s="1"/>
  <c r="H11" i="21"/>
  <c r="U11" i="21" s="1"/>
  <c r="J11" i="21"/>
  <c r="W11" i="21" s="1"/>
  <c r="H37" i="40"/>
  <c r="U37" i="40" s="1"/>
  <c r="H36" i="40"/>
  <c r="AB36" i="40" s="1"/>
  <c r="F35" i="40"/>
  <c r="AA35" i="40"/>
  <c r="H23" i="40"/>
  <c r="AB23" i="40" s="1"/>
  <c r="H17" i="40"/>
  <c r="U17" i="40" s="1"/>
  <c r="J15" i="40"/>
  <c r="W15" i="40" s="1"/>
  <c r="J11" i="40"/>
  <c r="AC11" i="40" s="1"/>
  <c r="AB12" i="36"/>
  <c r="F37" i="39"/>
  <c r="AA37" i="39" s="1"/>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14" i="35"/>
  <c r="AA14" i="35" s="1"/>
  <c r="F23" i="35"/>
  <c r="AA23" i="35" s="1"/>
  <c r="J32" i="35"/>
  <c r="AC32" i="35" s="1"/>
  <c r="J16" i="35"/>
  <c r="AC16" i="35" s="1"/>
  <c r="H16" i="35"/>
  <c r="U16" i="35" s="1"/>
  <c r="F16" i="35"/>
  <c r="S16" i="35" s="1"/>
  <c r="H14" i="35"/>
  <c r="AB14" i="35" s="1"/>
  <c r="J29" i="35"/>
  <c r="H33" i="35"/>
  <c r="J20" i="35"/>
  <c r="W20" i="35" s="1"/>
  <c r="F35" i="37"/>
  <c r="S35"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5" i="34"/>
  <c r="S25" i="34" s="1"/>
  <c r="H23" i="34"/>
  <c r="U23" i="34" s="1"/>
  <c r="J23" i="34"/>
  <c r="F19" i="34"/>
  <c r="H17" i="34"/>
  <c r="F15" i="34"/>
  <c r="AA15" i="34" s="1"/>
  <c r="J15" i="34"/>
  <c r="H15" i="34"/>
  <c r="AB15" i="34" s="1"/>
  <c r="W8" i="34"/>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F29" i="35"/>
  <c r="H29" i="35"/>
  <c r="AB29" i="35" s="1"/>
  <c r="H33" i="37"/>
  <c r="F33" i="37"/>
  <c r="AA33" i="37" s="1"/>
  <c r="U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H37" i="33"/>
  <c r="AB37" i="33" s="1"/>
  <c r="H11" i="33"/>
  <c r="AB11" i="33" s="1"/>
  <c r="F28" i="40"/>
  <c r="AA28" i="40"/>
  <c r="AA42" i="34"/>
  <c r="S42" i="34"/>
  <c r="AC38" i="34"/>
  <c r="AA38" i="34"/>
  <c r="J37" i="34"/>
  <c r="AC37" i="34" s="1"/>
  <c r="J11" i="33"/>
  <c r="W11" i="33" s="1"/>
  <c r="J42" i="21"/>
  <c r="AC42" i="21" s="1"/>
  <c r="H42" i="21"/>
  <c r="U42" i="21" s="1"/>
  <c r="J44" i="34"/>
  <c r="W44" i="34" s="1"/>
  <c r="F44" i="34"/>
  <c r="AA44" i="34" s="1"/>
  <c r="J10" i="35"/>
  <c r="AC10" i="35" s="1"/>
  <c r="H14" i="21"/>
  <c r="U14" i="21" s="1"/>
  <c r="F30" i="21"/>
  <c r="S30" i="21" s="1"/>
  <c r="J30" i="21"/>
  <c r="AC30" i="21" s="1"/>
  <c r="J44" i="21"/>
  <c r="AC44" i="21" s="1"/>
  <c r="F44" i="21"/>
  <c r="AA44" i="21" s="1"/>
  <c r="H46" i="21"/>
  <c r="U46" i="21" s="1"/>
  <c r="J46" i="21"/>
  <c r="F46" i="21"/>
  <c r="AA46" i="21" s="1"/>
  <c r="H26" i="33"/>
  <c r="AB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J31" i="21"/>
  <c r="AC31" i="21" s="1"/>
  <c r="F27" i="33"/>
  <c r="AA27" i="33" s="1"/>
  <c r="H13" i="33"/>
  <c r="U13" i="33" s="1"/>
  <c r="H45" i="33"/>
  <c r="J45" i="33"/>
  <c r="W45" i="33" s="1"/>
  <c r="F45" i="33"/>
  <c r="F14" i="34"/>
  <c r="AA14" i="34" s="1"/>
  <c r="H30" i="34"/>
  <c r="H32" i="34"/>
  <c r="F32" i="34"/>
  <c r="J32" i="34"/>
  <c r="W32" i="34" s="1"/>
  <c r="J46" i="34"/>
  <c r="H11" i="35"/>
  <c r="AB11" i="35" s="1"/>
  <c r="J26" i="36"/>
  <c r="W26" i="36" s="1"/>
  <c r="H28" i="36"/>
  <c r="U28" i="36" s="1"/>
  <c r="H32" i="36"/>
  <c r="AB32" i="36" s="1"/>
  <c r="J32" i="36"/>
  <c r="W32" i="36" s="1"/>
  <c r="J11" i="36"/>
  <c r="AC11" i="36" s="1"/>
  <c r="F11"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W40" i="37" s="1"/>
  <c r="F40" i="37"/>
  <c r="AA40" i="37" s="1"/>
  <c r="W12" i="40"/>
  <c r="H14" i="33"/>
  <c r="U14" i="33" s="1"/>
  <c r="F14" i="33"/>
  <c r="S14" i="33" s="1"/>
  <c r="J14" i="33"/>
  <c r="H30" i="33"/>
  <c r="AB30" i="33" s="1"/>
  <c r="F30" i="33"/>
  <c r="H44" i="33"/>
  <c r="J44" i="33"/>
  <c r="AC44" i="33" s="1"/>
  <c r="F44" i="33"/>
  <c r="F46" i="33"/>
  <c r="AA46" i="33" s="1"/>
  <c r="H46" i="33"/>
  <c r="U46" i="33" s="1"/>
  <c r="AB46" i="33"/>
  <c r="H13" i="34"/>
  <c r="U13" i="34" s="1"/>
  <c r="J13" i="34"/>
  <c r="W13" i="34" s="1"/>
  <c r="F13" i="34"/>
  <c r="AA13" i="34" s="1"/>
  <c r="J29" i="34"/>
  <c r="H29" i="34"/>
  <c r="AB29" i="34" s="1"/>
  <c r="J31" i="34"/>
  <c r="AC31" i="34" s="1"/>
  <c r="H31" i="34"/>
  <c r="F31" i="34"/>
  <c r="S31" i="34" s="1"/>
  <c r="H45" i="34"/>
  <c r="U45" i="34" s="1"/>
  <c r="J45" i="34"/>
  <c r="W45" i="34" s="1"/>
  <c r="F45" i="34"/>
  <c r="S45" i="34" s="1"/>
  <c r="H47" i="34"/>
  <c r="U47" i="34"/>
  <c r="F47" i="34"/>
  <c r="S47" i="34" s="1"/>
  <c r="J47" i="34"/>
  <c r="AC47" i="34" s="1"/>
  <c r="J13" i="35"/>
  <c r="AC13" i="35" s="1"/>
  <c r="H13" i="35"/>
  <c r="U13" i="35" s="1"/>
  <c r="J25" i="35"/>
  <c r="W25" i="35" s="1"/>
  <c r="F25" i="35"/>
  <c r="S25" i="35" s="1"/>
  <c r="H25" i="35"/>
  <c r="AB25" i="35" s="1"/>
  <c r="J35" i="35"/>
  <c r="AC35" i="35" s="1"/>
  <c r="F35" i="35"/>
  <c r="AA35" i="35" s="1"/>
  <c r="H35" i="35"/>
  <c r="J25" i="36"/>
  <c r="W25" i="36" s="1"/>
  <c r="F25" i="36"/>
  <c r="S25" i="36" s="1"/>
  <c r="H13" i="37"/>
  <c r="AB13" i="37" s="1"/>
  <c r="F13" i="37"/>
  <c r="S13" i="37"/>
  <c r="J13" i="37"/>
  <c r="W13" i="37" s="1"/>
  <c r="J28" i="37"/>
  <c r="AC28" i="37" s="1"/>
  <c r="H28" i="37"/>
  <c r="J38" i="37"/>
  <c r="AC38" i="37" s="1"/>
  <c r="F38" i="37"/>
  <c r="S38" i="37" s="1"/>
  <c r="F43" i="39"/>
  <c r="AA43" i="39" s="1"/>
  <c r="J14" i="39"/>
  <c r="AC14" i="39" s="1"/>
  <c r="F14" i="39"/>
  <c r="H14" i="39"/>
  <c r="AB14" i="39" s="1"/>
  <c r="F12" i="40"/>
  <c r="S12" i="40" s="1"/>
  <c r="H12" i="40"/>
  <c r="AB12" i="40" s="1"/>
  <c r="H30" i="40"/>
  <c r="AB30" i="40" s="1"/>
  <c r="F33" i="40"/>
  <c r="AA33" i="40" s="1"/>
  <c r="H33" i="40"/>
  <c r="J35" i="40"/>
  <c r="W35" i="40" s="1"/>
  <c r="J37" i="40"/>
  <c r="AC37" i="40" s="1"/>
  <c r="H13" i="40"/>
  <c r="U13" i="40"/>
  <c r="J13" i="40"/>
  <c r="W13" i="40" s="1"/>
  <c r="F13" i="40"/>
  <c r="AA13" i="40" s="1"/>
  <c r="F27" i="37"/>
  <c r="AA27" i="37" s="1"/>
  <c r="F13" i="39"/>
  <c r="H13" i="39"/>
  <c r="J14" i="37"/>
  <c r="J27" i="37"/>
  <c r="AC27" i="37"/>
  <c r="AA14" i="33"/>
  <c r="J36" i="37"/>
  <c r="AC36" i="37" s="1"/>
  <c r="J10" i="36"/>
  <c r="AC10" i="36" s="1"/>
  <c r="F17" i="21"/>
  <c r="AA17" i="21" s="1"/>
  <c r="H17" i="21"/>
  <c r="AB17" i="21" s="1"/>
  <c r="F15" i="21"/>
  <c r="S15" i="21" s="1"/>
  <c r="J41" i="39"/>
  <c r="W41" i="39" s="1"/>
  <c r="U36" i="39"/>
  <c r="G540" i="3"/>
  <c r="G532" i="3"/>
  <c r="G531" i="3"/>
  <c r="G518" i="3"/>
  <c r="G514" i="3"/>
  <c r="G508" i="3"/>
  <c r="G504" i="3"/>
  <c r="G584" i="3"/>
  <c r="G580" i="3"/>
  <c r="G572" i="3"/>
  <c r="G564" i="3"/>
  <c r="G550" i="3"/>
  <c r="BL568" i="3"/>
  <c r="BL564" i="3"/>
  <c r="BL534" i="3"/>
  <c r="BL530" i="3"/>
  <c r="BL506" i="3"/>
  <c r="AZ506" i="3" s="1"/>
  <c r="BL494" i="3"/>
  <c r="BL566" i="3"/>
  <c r="BL556" i="3"/>
  <c r="G533" i="3"/>
  <c r="BL532" i="3"/>
  <c r="G525" i="3"/>
  <c r="BL514" i="3"/>
  <c r="BL504" i="3"/>
  <c r="BA580" i="3"/>
  <c r="BA578" i="3"/>
  <c r="BA568" i="3"/>
  <c r="BA564" i="3"/>
  <c r="BA548" i="3"/>
  <c r="BA538" i="3"/>
  <c r="BA534" i="3"/>
  <c r="BA524" i="3"/>
  <c r="AZ524" i="3" s="1"/>
  <c r="BA522" i="3"/>
  <c r="BA512" i="3"/>
  <c r="BA508" i="3"/>
  <c r="AZ508" i="3" s="1"/>
  <c r="BA500" i="3"/>
  <c r="BA498" i="3"/>
  <c r="BA583" i="3"/>
  <c r="BA581" i="3"/>
  <c r="BA573" i="3"/>
  <c r="BA569" i="3"/>
  <c r="BA561" i="3"/>
  <c r="BA559" i="3"/>
  <c r="BA547" i="3"/>
  <c r="BA545" i="3"/>
  <c r="BA537" i="3"/>
  <c r="BA533" i="3"/>
  <c r="BA525" i="3"/>
  <c r="BA523" i="3"/>
  <c r="BA513" i="3"/>
  <c r="BA511" i="3"/>
  <c r="BA501" i="3"/>
  <c r="BA497" i="3"/>
  <c r="G581" i="3"/>
  <c r="G579" i="3"/>
  <c r="G573" i="3"/>
  <c r="G571" i="3"/>
  <c r="G569" i="3"/>
  <c r="G565" i="3"/>
  <c r="G563" i="3"/>
  <c r="G561" i="3"/>
  <c r="BA557" i="3"/>
  <c r="AC557" i="3"/>
  <c r="G557" i="3" s="1"/>
  <c r="BQ557" i="3"/>
  <c r="BQ583" i="3"/>
  <c r="BQ581" i="3"/>
  <c r="BL581" i="3" s="1"/>
  <c r="BQ579" i="3"/>
  <c r="BQ577" i="3"/>
  <c r="BQ575" i="3"/>
  <c r="BL575" i="3" s="1"/>
  <c r="BQ573" i="3"/>
  <c r="BQ571" i="3"/>
  <c r="BQ569" i="3"/>
  <c r="BQ567" i="3"/>
  <c r="BQ565" i="3"/>
  <c r="BQ563" i="3"/>
  <c r="BL563" i="3" s="1"/>
  <c r="BQ561" i="3"/>
  <c r="BQ559" i="3"/>
  <c r="BL559" i="3" s="1"/>
  <c r="AZ559" i="3" s="1"/>
  <c r="G553" i="3"/>
  <c r="G549" i="3"/>
  <c r="G543" i="3"/>
  <c r="G541" i="3"/>
  <c r="BQ555" i="3"/>
  <c r="BL555" i="3"/>
  <c r="BQ553" i="3"/>
  <c r="BQ551" i="3"/>
  <c r="BQ549" i="3"/>
  <c r="BQ547" i="3"/>
  <c r="BL547" i="3" s="1"/>
  <c r="BQ545" i="3"/>
  <c r="BQ543" i="3"/>
  <c r="BQ541" i="3"/>
  <c r="BL541" i="3"/>
  <c r="BQ539" i="3"/>
  <c r="BQ537" i="3"/>
  <c r="BQ535" i="3"/>
  <c r="BL535" i="3" s="1"/>
  <c r="BQ533" i="3"/>
  <c r="BQ531" i="3"/>
  <c r="BQ529" i="3"/>
  <c r="BL529" i="3" s="1"/>
  <c r="BQ527" i="3"/>
  <c r="BL527" i="3" s="1"/>
  <c r="BQ525" i="3"/>
  <c r="BQ523" i="3"/>
  <c r="BA521" i="3"/>
  <c r="AC521" i="3"/>
  <c r="G521" i="3" s="1"/>
  <c r="BQ521" i="3"/>
  <c r="G519" i="3"/>
  <c r="G517" i="3"/>
  <c r="G513" i="3"/>
  <c r="G511" i="3"/>
  <c r="BQ519" i="3"/>
  <c r="BL519" i="3" s="1"/>
  <c r="AZ519" i="3" s="1"/>
  <c r="BQ517" i="3"/>
  <c r="BQ515" i="3"/>
  <c r="BQ513" i="3"/>
  <c r="BL513" i="3" s="1"/>
  <c r="BQ511" i="3"/>
  <c r="AC509" i="3"/>
  <c r="BQ509" i="3"/>
  <c r="BL509" i="3" s="1"/>
  <c r="G507" i="3"/>
  <c r="G505" i="3"/>
  <c r="G503" i="3"/>
  <c r="G499" i="3"/>
  <c r="G497" i="3"/>
  <c r="G495" i="3"/>
  <c r="BQ507" i="3"/>
  <c r="BQ505" i="3"/>
  <c r="BQ503" i="3"/>
  <c r="BL503" i="3" s="1"/>
  <c r="BQ501" i="3"/>
  <c r="BL501" i="3" s="1"/>
  <c r="BQ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J42" i="33" s="1"/>
  <c r="AC42" i="33"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7" i="31"/>
  <c r="S26" i="31"/>
  <c r="W23" i="35"/>
  <c r="U39" i="37"/>
  <c r="W44" i="33"/>
  <c r="U19" i="21"/>
  <c r="W44"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AC15" i="37" s="1"/>
  <c r="AT6" i="3"/>
  <c r="H19" i="40"/>
  <c r="U19" i="40" s="1"/>
  <c r="F19" i="40"/>
  <c r="S19" i="40" s="1"/>
  <c r="AC13" i="40"/>
  <c r="W23" i="39"/>
  <c r="AB44" i="39"/>
  <c r="U44" i="39"/>
  <c r="H37" i="39"/>
  <c r="U37" i="39" s="1"/>
  <c r="AC37" i="39"/>
  <c r="W37" i="39"/>
  <c r="H25" i="39"/>
  <c r="AB25" i="39" s="1"/>
  <c r="J25" i="39"/>
  <c r="W25" i="39" s="1"/>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J11" i="39"/>
  <c r="W11" i="39" s="1"/>
  <c r="F11" i="39"/>
  <c r="G4" i="4"/>
  <c r="I4" i="4"/>
  <c r="F61" i="43"/>
  <c r="H64" i="43" s="1"/>
  <c r="AZ51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F21" i="6" s="1"/>
  <c r="E21" i="6" s="1"/>
  <c r="K8" i="1" s="1"/>
  <c r="M8" i="1" s="1"/>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AZ344" i="3" s="1"/>
  <c r="BL344" i="3"/>
  <c r="BA346" i="3"/>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c r="BL311" i="3"/>
  <c r="AZ311" i="3" s="1"/>
  <c r="G312" i="3"/>
  <c r="BA314" i="3"/>
  <c r="BL315" i="3"/>
  <c r="G316" i="3"/>
  <c r="BA318" i="3"/>
  <c r="BL319" i="3"/>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BA379" i="3"/>
  <c r="BL380" i="3"/>
  <c r="G381" i="3"/>
  <c r="BA383" i="3"/>
  <c r="AZ383" i="3" s="1"/>
  <c r="BL384" i="3"/>
  <c r="G385" i="3"/>
  <c r="BA387" i="3"/>
  <c r="BL388" i="3"/>
  <c r="G389" i="3"/>
  <c r="BA391" i="3"/>
  <c r="BL392" i="3"/>
  <c r="G393" i="3"/>
  <c r="BM5" i="3"/>
  <c r="BJ5" i="3"/>
  <c r="BH5" i="3"/>
  <c r="BD5" i="3"/>
  <c r="AC5" i="3"/>
  <c r="AZ496" i="3"/>
  <c r="G548" i="3"/>
  <c r="G538" i="3"/>
  <c r="G520" i="3"/>
  <c r="G502" i="3"/>
  <c r="BP5" i="3"/>
  <c r="BN5" i="3"/>
  <c r="BK5" i="3"/>
  <c r="BE5" i="3"/>
  <c r="BC5" i="3"/>
  <c r="G17" i="3"/>
  <c r="BA17" i="3"/>
  <c r="BT5" i="3"/>
  <c r="BA15" i="3"/>
  <c r="BB5" i="3"/>
  <c r="BR5" i="3"/>
  <c r="G509" i="3"/>
  <c r="BL493" i="3"/>
  <c r="U36" i="40"/>
  <c r="F83" i="43"/>
  <c r="H85" i="43" s="1"/>
  <c r="F50" i="43"/>
  <c r="H54" i="43" s="1"/>
  <c r="F72" i="43"/>
  <c r="H75" i="43" s="1"/>
  <c r="U17" i="39"/>
  <c r="S14" i="35"/>
  <c r="U43" i="21"/>
  <c r="U35" i="21"/>
  <c r="AC35" i="21"/>
  <c r="G10" i="1"/>
  <c r="W37" i="37"/>
  <c r="AC44" i="34"/>
  <c r="S15" i="37"/>
  <c r="U13" i="37"/>
  <c r="U12" i="40"/>
  <c r="J37" i="33"/>
  <c r="W37"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W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B33" i="36"/>
  <c r="U33" i="36"/>
  <c r="AC12" i="39"/>
  <c r="W12" i="39"/>
  <c r="AC39" i="40"/>
  <c r="W39" i="40"/>
  <c r="AA32" i="36"/>
  <c r="S32" i="36"/>
  <c r="BL14" i="3"/>
  <c r="U30" i="33"/>
  <c r="AC13" i="34"/>
  <c r="AA47" i="34"/>
  <c r="W28" i="37"/>
  <c r="S19" i="39"/>
  <c r="F12" i="33"/>
  <c r="AA12" i="33" s="1"/>
  <c r="H12" i="39"/>
  <c r="AB12" i="39"/>
  <c r="F39" i="40"/>
  <c r="AA39" i="40" s="1"/>
  <c r="BA14"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S30" i="40"/>
  <c r="AA19" i="40"/>
  <c r="S28" i="40"/>
  <c r="U21" i="40"/>
  <c r="S43" i="39"/>
  <c r="S37" i="39"/>
  <c r="F32" i="39"/>
  <c r="S32" i="39" s="1"/>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4" i="39"/>
  <c r="AC13" i="39"/>
  <c r="U12" i="39"/>
  <c r="U26" i="36"/>
  <c r="AA26" i="36"/>
  <c r="AC26" i="36"/>
  <c r="W14" i="36"/>
  <c r="AB14" i="36"/>
  <c r="U22" i="36"/>
  <c r="S16" i="36"/>
  <c r="AA25" i="36"/>
  <c r="AB20" i="36"/>
  <c r="U16" i="36"/>
  <c r="AA25" i="35"/>
  <c r="S23" i="35"/>
  <c r="W24" i="35"/>
  <c r="U29" i="35"/>
  <c r="U28" i="35"/>
  <c r="AB27" i="35"/>
  <c r="U36" i="35"/>
  <c r="U32" i="35"/>
  <c r="AA33" i="35"/>
  <c r="AC30" i="35"/>
  <c r="S32" i="35"/>
  <c r="AA36" i="35"/>
  <c r="S28" i="35"/>
  <c r="AB16" i="35"/>
  <c r="U22" i="35"/>
  <c r="AC20" i="35"/>
  <c r="S22" i="35"/>
  <c r="U14" i="35"/>
  <c r="AC9" i="35"/>
  <c r="W9" i="35"/>
  <c r="W13" i="35"/>
  <c r="F9" i="35"/>
  <c r="S9" i="35" s="1"/>
  <c r="H9" i="35"/>
  <c r="U9" i="35" s="1"/>
  <c r="W27" i="37"/>
  <c r="U29" i="37"/>
  <c r="AB31" i="37"/>
  <c r="W30" i="37"/>
  <c r="AA38" i="37"/>
  <c r="U32" i="37"/>
  <c r="AC35" i="37"/>
  <c r="W39" i="37"/>
  <c r="S30" i="37"/>
  <c r="J17" i="37"/>
  <c r="W17" i="37" s="1"/>
  <c r="G73" i="37"/>
  <c r="F17" i="37"/>
  <c r="AA17" i="37" s="1"/>
  <c r="F75" i="37"/>
  <c r="G75" i="37" s="1"/>
  <c r="F19" i="37"/>
  <c r="S19" i="37" s="1"/>
  <c r="F79" i="37"/>
  <c r="G79" i="37" s="1"/>
  <c r="F23" i="37"/>
  <c r="S23" i="37" s="1"/>
  <c r="U23" i="37"/>
  <c r="U15" i="37"/>
  <c r="AC13" i="37"/>
  <c r="AA13" i="37"/>
  <c r="H10" i="37"/>
  <c r="AB10" i="37" s="1"/>
  <c r="F63" i="37"/>
  <c r="F11" i="37"/>
  <c r="S11" i="37" s="1"/>
  <c r="W25" i="34"/>
  <c r="AB8" i="34"/>
  <c r="U43" i="34"/>
  <c r="W41" i="34"/>
  <c r="AC42" i="34"/>
  <c r="U39" i="34"/>
  <c r="S43" i="34"/>
  <c r="AB41" i="34"/>
  <c r="AA45" i="34"/>
  <c r="AA25" i="34"/>
  <c r="S17" i="34"/>
  <c r="AA29" i="34"/>
  <c r="S23" i="34"/>
  <c r="U15" i="34"/>
  <c r="S13" i="34"/>
  <c r="H10" i="34"/>
  <c r="AB10" i="34" s="1"/>
  <c r="F11" i="34"/>
  <c r="S11" i="34" s="1"/>
  <c r="F70" i="34"/>
  <c r="H41" i="33"/>
  <c r="U41" i="33" s="1"/>
  <c r="F121" i="33"/>
  <c r="G121" i="33" s="1"/>
  <c r="H121" i="33" s="1"/>
  <c r="I121" i="33" s="1"/>
  <c r="J121" i="33" s="1"/>
  <c r="K121" i="33" s="1"/>
  <c r="L121" i="33" s="1"/>
  <c r="M121" i="33" s="1"/>
  <c r="G108" i="33"/>
  <c r="H108" i="33" s="1"/>
  <c r="I108" i="33" s="1"/>
  <c r="J108" i="33" s="1"/>
  <c r="K108" i="33" s="1"/>
  <c r="L108" i="33" s="1"/>
  <c r="M108" i="33" s="1"/>
  <c r="J35" i="33"/>
  <c r="AC35" i="33" s="1"/>
  <c r="F101" i="33"/>
  <c r="G101" i="33" s="1"/>
  <c r="H101" i="33" s="1"/>
  <c r="I101" i="33" s="1"/>
  <c r="J101" i="33" s="1"/>
  <c r="K101" i="33" s="1"/>
  <c r="L101" i="33" s="1"/>
  <c r="M101" i="33" s="1"/>
  <c r="J32" i="33"/>
  <c r="AC32" i="33" s="1"/>
  <c r="S46" i="33"/>
  <c r="H27" i="33"/>
  <c r="AB27" i="33" s="1"/>
  <c r="H25" i="33"/>
  <c r="U25" i="33" s="1"/>
  <c r="F25" i="33"/>
  <c r="AA25" i="33" s="1"/>
  <c r="J23" i="33"/>
  <c r="AC23" i="33" s="1"/>
  <c r="F85" i="33"/>
  <c r="G85" i="33" s="1"/>
  <c r="H23" i="33"/>
  <c r="AB23" i="33" s="1"/>
  <c r="F81" i="33"/>
  <c r="G81" i="33" s="1"/>
  <c r="F19" i="33"/>
  <c r="S19" i="33" s="1"/>
  <c r="J17" i="33"/>
  <c r="AC17" i="33" s="1"/>
  <c r="F79" i="33"/>
  <c r="G79" i="33" s="1"/>
  <c r="J10" i="33"/>
  <c r="W10" i="33" s="1"/>
  <c r="H10" i="33"/>
  <c r="U10" i="33" s="1"/>
  <c r="AB14" i="33"/>
  <c r="W43" i="21"/>
  <c r="W36" i="21"/>
  <c r="W41" i="21"/>
  <c r="AB39" i="21"/>
  <c r="AA43" i="21"/>
  <c r="S39" i="21"/>
  <c r="AA38" i="21"/>
  <c r="AA36" i="21"/>
  <c r="AC40" i="21"/>
  <c r="J15" i="21"/>
  <c r="W15" i="21" s="1"/>
  <c r="F77" i="21"/>
  <c r="G77" i="21" s="1"/>
  <c r="F23" i="21"/>
  <c r="S23" i="21" s="1"/>
  <c r="E85" i="21"/>
  <c r="F85" i="21" s="1"/>
  <c r="G85" i="21" s="1"/>
  <c r="D120" i="9"/>
  <c r="D121" i="9" s="1"/>
  <c r="D7" i="52" s="1"/>
  <c r="F34" i="67"/>
  <c r="F62" i="67" s="1"/>
  <c r="G13" i="3"/>
  <c r="F19" i="6" s="1"/>
  <c r="E19" i="6" s="1"/>
  <c r="BA13" i="3"/>
  <c r="BL17" i="3"/>
  <c r="AZ17" i="3" s="1"/>
  <c r="BL13" i="3"/>
  <c r="J56" i="9"/>
  <c r="J57" i="9" s="1"/>
  <c r="J59" i="9" s="1"/>
  <c r="J61" i="9" s="1"/>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67"/>
  <c r="W23" i="40"/>
  <c r="U32" i="40"/>
  <c r="AB31" i="40"/>
  <c r="S37" i="40"/>
  <c r="AB28" i="40"/>
  <c r="W28" i="40"/>
  <c r="W34" i="40"/>
  <c r="W19" i="40"/>
  <c r="S36" i="40"/>
  <c r="W37" i="40"/>
  <c r="S13" i="40"/>
  <c r="S33" i="40"/>
  <c r="AA15" i="40"/>
  <c r="U11" i="40"/>
  <c r="AB13" i="40"/>
  <c r="U15" i="40"/>
  <c r="AB17" i="40"/>
  <c r="U8" i="40"/>
  <c r="S8" i="40"/>
  <c r="AC41" i="39"/>
  <c r="U42" i="39"/>
  <c r="U41" i="39"/>
  <c r="AC25" i="39"/>
  <c r="U13" i="39"/>
  <c r="AB13" i="39"/>
  <c r="AA13" i="39"/>
  <c r="S13" i="39"/>
  <c r="S14" i="39"/>
  <c r="AA14" i="39"/>
  <c r="AB11" i="39"/>
  <c r="U11" i="39"/>
  <c r="AA27" i="39"/>
  <c r="S27" i="39"/>
  <c r="W17" i="39"/>
  <c r="AC17" i="39"/>
  <c r="W31" i="39"/>
  <c r="AC31" i="39"/>
  <c r="AB39" i="39"/>
  <c r="W34" i="39"/>
  <c r="U38" i="39"/>
  <c r="S8" i="39"/>
  <c r="AC25" i="36"/>
  <c r="U32" i="36"/>
  <c r="W29" i="36"/>
  <c r="AC20" i="36"/>
  <c r="U25" i="36"/>
  <c r="AB28" i="36"/>
  <c r="W22" i="36"/>
  <c r="W23" i="36"/>
  <c r="AC25" i="35"/>
  <c r="U25" i="35"/>
  <c r="S24" i="35"/>
  <c r="U24" i="35"/>
  <c r="S35" i="35"/>
  <c r="W35" i="35"/>
  <c r="AA16" i="35"/>
  <c r="AA35" i="37"/>
  <c r="W36" i="37"/>
  <c r="S27" i="37"/>
  <c r="S28" i="37"/>
  <c r="W32" i="37"/>
  <c r="U36" i="37"/>
  <c r="S40" i="37"/>
  <c r="U38" i="37"/>
  <c r="AB37" i="37"/>
  <c r="AC34" i="37"/>
  <c r="AA31" i="37"/>
  <c r="U19" i="37"/>
  <c r="AA29" i="37"/>
  <c r="U8" i="37"/>
  <c r="AB40" i="34"/>
  <c r="U19" i="34"/>
  <c r="W19" i="34"/>
  <c r="AB33" i="34"/>
  <c r="AC45" i="34"/>
  <c r="AA31"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U32" i="34"/>
  <c r="AB32" i="34"/>
  <c r="AC43" i="34"/>
  <c r="W43" i="34"/>
  <c r="W23" i="34"/>
  <c r="AC23" i="34"/>
  <c r="AC35" i="34"/>
  <c r="W35" i="34"/>
  <c r="U12" i="34"/>
  <c r="AB12" i="34"/>
  <c r="AC37" i="33"/>
  <c r="W46" i="33"/>
  <c r="U44" i="33"/>
  <c r="AB44" i="33"/>
  <c r="S30" i="33"/>
  <c r="AA30" i="33"/>
  <c r="AC14" i="33"/>
  <c r="W14" i="33"/>
  <c r="AC30" i="33"/>
  <c r="W30" i="33"/>
  <c r="S11" i="33"/>
  <c r="S44" i="21"/>
  <c r="AB42"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W30" i="21"/>
  <c r="S46" i="21"/>
  <c r="H45" i="21"/>
  <c r="U45" i="21" s="1"/>
  <c r="F29" i="21"/>
  <c r="AA29" i="21" s="1"/>
  <c r="F13" i="21"/>
  <c r="AA13" i="21" s="1"/>
  <c r="AC38" i="21"/>
  <c r="H32" i="21"/>
  <c r="U32" i="21" s="1"/>
  <c r="H9" i="21"/>
  <c r="U9" i="21" s="1"/>
  <c r="J9" i="21"/>
  <c r="AC9" i="21" s="1"/>
  <c r="J32" i="21"/>
  <c r="W32" i="21" s="1"/>
  <c r="F32" i="21"/>
  <c r="AA32" i="21" s="1"/>
  <c r="U17" i="21"/>
  <c r="S19" i="21"/>
  <c r="S9" i="21"/>
  <c r="AA9" i="21"/>
  <c r="K141" i="21"/>
  <c r="K144" i="21"/>
  <c r="K143" i="21"/>
  <c r="U27" i="21"/>
  <c r="AB25" i="21"/>
  <c r="AB44" i="21"/>
  <c r="AA30" i="21"/>
  <c r="W13" i="21"/>
  <c r="W42" i="21"/>
  <c r="F10" i="21"/>
  <c r="AA10" i="21" s="1"/>
  <c r="K145" i="21"/>
  <c r="W25" i="21"/>
  <c r="W31" i="21"/>
  <c r="S17" i="21"/>
  <c r="AA15" i="21"/>
  <c r="AC26"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67"/>
  <c r="S39" i="40"/>
  <c r="J32" i="39"/>
  <c r="AC32" i="39" s="1"/>
  <c r="H32" i="39"/>
  <c r="AB32" i="39" s="1"/>
  <c r="AA32" i="39"/>
  <c r="AB21" i="39"/>
  <c r="U21" i="39"/>
  <c r="AC17" i="37"/>
  <c r="J19" i="37"/>
  <c r="W19" i="37" s="1"/>
  <c r="AA19" i="37"/>
  <c r="J23" i="37"/>
  <c r="W23" i="37" s="1"/>
  <c r="J10" i="37"/>
  <c r="W10" i="37" s="1"/>
  <c r="G63" i="37"/>
  <c r="H63" i="37" s="1"/>
  <c r="I63" i="37" s="1"/>
  <c r="H11" i="37"/>
  <c r="AB11" i="37" s="1"/>
  <c r="G70" i="34"/>
  <c r="H11" i="34"/>
  <c r="U11" i="34" s="1"/>
  <c r="J10" i="34"/>
  <c r="AC10" i="34" s="1"/>
  <c r="J27" i="33"/>
  <c r="AC27" i="33" s="1"/>
  <c r="J25" i="33"/>
  <c r="W25" i="33" s="1"/>
  <c r="F23" i="33"/>
  <c r="H19" i="33"/>
  <c r="U19" i="33" s="1"/>
  <c r="H17" i="33"/>
  <c r="U17" i="33" s="1"/>
  <c r="F17" i="33"/>
  <c r="S17" i="33" s="1"/>
  <c r="J23" i="21"/>
  <c r="W23" i="21" s="1"/>
  <c r="H23" i="21"/>
  <c r="U23" i="21" s="1"/>
  <c r="AP7" i="1"/>
  <c r="AB45" i="21"/>
  <c r="AB9" i="21"/>
  <c r="S32" i="21"/>
  <c r="W9" i="21"/>
  <c r="AB32" i="21"/>
  <c r="U32" i="39"/>
  <c r="J63" i="37"/>
  <c r="K63" i="37" s="1"/>
  <c r="L63" i="37" s="1"/>
  <c r="M63" i="37" s="1"/>
  <c r="J11" i="37"/>
  <c r="AC11" i="37" s="1"/>
  <c r="H70" i="34"/>
  <c r="I70" i="34" s="1"/>
  <c r="J70" i="34" s="1"/>
  <c r="K70" i="34" s="1"/>
  <c r="L70" i="34" s="1"/>
  <c r="M70" i="34" s="1"/>
  <c r="J11" i="34"/>
  <c r="W11" i="34" s="1"/>
  <c r="H109" i="9"/>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E9" i="76"/>
  <c r="E11" i="76"/>
  <c r="F3" i="73"/>
  <c r="F20" i="31"/>
  <c r="B10" i="76"/>
  <c r="B13" i="76"/>
  <c r="E10" i="76"/>
  <c r="B7" i="76"/>
  <c r="E12" i="76"/>
  <c r="E2" i="69"/>
  <c r="B9" i="76"/>
  <c r="B12" i="76"/>
  <c r="F6" i="73"/>
  <c r="E8" i="76"/>
  <c r="E7" i="76"/>
  <c r="E2" i="68"/>
  <c r="B11" i="76"/>
  <c r="F7" i="73"/>
  <c r="E13" i="76"/>
  <c r="B8" i="76"/>
  <c r="F4" i="73"/>
  <c r="F5" i="73"/>
  <c r="M6" i="67"/>
  <c r="U9" i="34" l="1"/>
  <c r="AB9" i="34"/>
  <c r="AB13" i="36"/>
  <c r="U13" i="36"/>
  <c r="AZ391" i="3"/>
  <c r="AZ380" i="3"/>
  <c r="AZ369" i="3"/>
  <c r="AZ325" i="3"/>
  <c r="AZ501" i="3"/>
  <c r="H31" i="21"/>
  <c r="F31" i="21"/>
  <c r="F28" i="34"/>
  <c r="J28" i="34"/>
  <c r="W28" i="34" s="1"/>
  <c r="H28" i="34"/>
  <c r="AB41" i="33"/>
  <c r="AC15" i="21"/>
  <c r="S20" i="35"/>
  <c r="AZ534" i="3"/>
  <c r="AA12" i="36"/>
  <c r="U38" i="21"/>
  <c r="AB38" i="21"/>
  <c r="BA587" i="3"/>
  <c r="J28" i="21"/>
  <c r="H28" i="21"/>
  <c r="F28" i="21"/>
  <c r="F13" i="33"/>
  <c r="J13" i="33"/>
  <c r="F31" i="33"/>
  <c r="H31" i="33"/>
  <c r="J31" i="33"/>
  <c r="AC31" i="33" s="1"/>
  <c r="J30" i="34"/>
  <c r="F30" i="34"/>
  <c r="H46" i="34"/>
  <c r="U46" i="34" s="1"/>
  <c r="F46" i="34"/>
  <c r="J11" i="35"/>
  <c r="F11" i="35"/>
  <c r="AZ318" i="3"/>
  <c r="S11" i="39"/>
  <c r="AA11" i="39"/>
  <c r="W11" i="40"/>
  <c r="AC28" i="35"/>
  <c r="W28" i="35"/>
  <c r="H45" i="39"/>
  <c r="F45" i="39"/>
  <c r="AA38" i="39"/>
  <c r="S38" i="39"/>
  <c r="AZ497" i="3"/>
  <c r="AC27" i="39"/>
  <c r="W27" i="39"/>
  <c r="AB34" i="34"/>
  <c r="U34" i="34"/>
  <c r="J27" i="34"/>
  <c r="H27" i="34"/>
  <c r="J13" i="36"/>
  <c r="F13" i="36"/>
  <c r="J24" i="36"/>
  <c r="F24" i="36"/>
  <c r="H34" i="36"/>
  <c r="F34" i="36"/>
  <c r="AB26" i="37"/>
  <c r="U26" i="37"/>
  <c r="H14" i="40"/>
  <c r="AB14" i="40" s="1"/>
  <c r="J14" i="40"/>
  <c r="F14" i="40"/>
  <c r="S14" i="40" s="1"/>
  <c r="S34" i="37"/>
  <c r="AA34" i="37"/>
  <c r="AA31" i="35"/>
  <c r="S31" i="35"/>
  <c r="H35" i="39"/>
  <c r="J35" i="39"/>
  <c r="AC35" i="39" s="1"/>
  <c r="BL584" i="3"/>
  <c r="BL582" i="3"/>
  <c r="AZ582" i="3" s="1"/>
  <c r="BL580" i="3"/>
  <c r="BL579" i="3"/>
  <c r="BA579" i="3"/>
  <c r="BA577" i="3"/>
  <c r="BA576" i="3"/>
  <c r="BA575" i="3"/>
  <c r="BL574" i="3"/>
  <c r="BL572" i="3"/>
  <c r="BA572" i="3"/>
  <c r="BA571" i="3"/>
  <c r="BL570" i="3"/>
  <c r="BA570" i="3"/>
  <c r="AZ570" i="3" s="1"/>
  <c r="BL567" i="3"/>
  <c r="BA567" i="3"/>
  <c r="BA565" i="3"/>
  <c r="BA563" i="3"/>
  <c r="AZ563" i="3" s="1"/>
  <c r="BA562" i="3"/>
  <c r="BL561" i="3"/>
  <c r="BA560" i="3"/>
  <c r="BL558" i="3"/>
  <c r="AZ558" i="3" s="1"/>
  <c r="BG5" i="3"/>
  <c r="BA556" i="3"/>
  <c r="AZ556" i="3" s="1"/>
  <c r="BS5" i="3"/>
  <c r="BA555" i="3"/>
  <c r="AZ555" i="3" s="1"/>
  <c r="BL554" i="3"/>
  <c r="BA554" i="3"/>
  <c r="BA553" i="3"/>
  <c r="BL549" i="3"/>
  <c r="AZ549" i="3" s="1"/>
  <c r="BO5" i="3"/>
  <c r="BF5" i="3"/>
  <c r="BL533" i="3"/>
  <c r="AZ504" i="3"/>
  <c r="AZ503" i="3"/>
  <c r="AZ379" i="3"/>
  <c r="AZ373" i="3"/>
  <c r="AZ378" i="3"/>
  <c r="F123" i="33"/>
  <c r="G123" i="33" s="1"/>
  <c r="H123" i="33" s="1"/>
  <c r="I123" i="33" s="1"/>
  <c r="J123" i="33" s="1"/>
  <c r="K123" i="33" s="1"/>
  <c r="L123" i="33" s="1"/>
  <c r="M123" i="33" s="1"/>
  <c r="BL505" i="3"/>
  <c r="AZ505" i="3" s="1"/>
  <c r="BL515" i="3"/>
  <c r="AZ515" i="3" s="1"/>
  <c r="BL523" i="3"/>
  <c r="BL531" i="3"/>
  <c r="BL537" i="3"/>
  <c r="AZ537" i="3" s="1"/>
  <c r="BL543" i="3"/>
  <c r="BL551" i="3"/>
  <c r="BL565" i="3"/>
  <c r="BL571" i="3"/>
  <c r="AZ571" i="3" s="1"/>
  <c r="BL557" i="3"/>
  <c r="W31" i="34"/>
  <c r="AC40" i="37"/>
  <c r="S14" i="34"/>
  <c r="AC40" i="33"/>
  <c r="W40" i="33"/>
  <c r="E115" i="33"/>
  <c r="F115" i="33" s="1"/>
  <c r="G115" i="33" s="1"/>
  <c r="H115" i="33" s="1"/>
  <c r="I115" i="33" s="1"/>
  <c r="J115" i="33" s="1"/>
  <c r="K115" i="33" s="1"/>
  <c r="L115" i="33" s="1"/>
  <c r="M115" i="33" s="1"/>
  <c r="J38" i="33"/>
  <c r="AC38" i="33" s="1"/>
  <c r="J12" i="33"/>
  <c r="H14" i="34"/>
  <c r="J14" i="34"/>
  <c r="J43" i="39"/>
  <c r="H43" i="39"/>
  <c r="AC32" i="40"/>
  <c r="W32" i="40"/>
  <c r="BA584" i="3"/>
  <c r="AZ584" i="3" s="1"/>
  <c r="BL511" i="3"/>
  <c r="BL517" i="3"/>
  <c r="BL521" i="3"/>
  <c r="BL525" i="3"/>
  <c r="AZ525" i="3" s="1"/>
  <c r="BL539" i="3"/>
  <c r="BL545" i="3"/>
  <c r="BL553" i="3"/>
  <c r="BL573" i="3"/>
  <c r="AZ573" i="3" s="1"/>
  <c r="BA586" i="3"/>
  <c r="J14" i="21"/>
  <c r="F14" i="21"/>
  <c r="J29" i="21"/>
  <c r="H29" i="21"/>
  <c r="J28" i="33"/>
  <c r="W28" i="33" s="1"/>
  <c r="H28" i="33"/>
  <c r="U28" i="33" s="1"/>
  <c r="H14" i="37"/>
  <c r="AB14" i="37" s="1"/>
  <c r="F14" i="37"/>
  <c r="BL546" i="3"/>
  <c r="BL544" i="3"/>
  <c r="BA543" i="3"/>
  <c r="BA540" i="3"/>
  <c r="BA535" i="3"/>
  <c r="AZ535" i="3" s="1"/>
  <c r="BA530" i="3"/>
  <c r="BL528" i="3"/>
  <c r="AZ528" i="3" s="1"/>
  <c r="BA527" i="3"/>
  <c r="BL526" i="3"/>
  <c r="BA520" i="3"/>
  <c r="BA517" i="3"/>
  <c r="AZ517" i="3" s="1"/>
  <c r="BL510" i="3"/>
  <c r="BA510" i="3"/>
  <c r="AZ510" i="3" s="1"/>
  <c r="BA507" i="3"/>
  <c r="BA502" i="3"/>
  <c r="AZ502" i="3" s="1"/>
  <c r="BA499" i="3"/>
  <c r="BL498" i="3"/>
  <c r="AZ498" i="3" s="1"/>
  <c r="BA494" i="3"/>
  <c r="AZ494" i="3" s="1"/>
  <c r="BL569" i="3"/>
  <c r="AZ569" i="3" s="1"/>
  <c r="BL577" i="3"/>
  <c r="BL583" i="3"/>
  <c r="H23" i="36"/>
  <c r="F23" i="36"/>
  <c r="BA402" i="3"/>
  <c r="BL402" i="3"/>
  <c r="BA406" i="3"/>
  <c r="BA410" i="3"/>
  <c r="AZ410" i="3" s="1"/>
  <c r="BA433" i="3"/>
  <c r="AZ433" i="3" s="1"/>
  <c r="BL447" i="3"/>
  <c r="BL451" i="3"/>
  <c r="BL464" i="3"/>
  <c r="BL487" i="3"/>
  <c r="BL350" i="3"/>
  <c r="G228" i="3"/>
  <c r="BA250" i="3"/>
  <c r="BL283" i="3"/>
  <c r="BL284" i="3"/>
  <c r="G138" i="3"/>
  <c r="G41" i="3"/>
  <c r="BA70" i="3"/>
  <c r="BL72" i="3"/>
  <c r="BA95" i="3"/>
  <c r="BA97" i="3"/>
  <c r="G103" i="3"/>
  <c r="BA103" i="3"/>
  <c r="U29" i="39"/>
  <c r="X36" i="71"/>
  <c r="C43" i="71"/>
  <c r="G556" i="3"/>
  <c r="G535" i="3"/>
  <c r="G527" i="3"/>
  <c r="G510" i="3"/>
  <c r="G496" i="3"/>
  <c r="BL399" i="3"/>
  <c r="G400" i="3"/>
  <c r="G408" i="3"/>
  <c r="G409" i="3"/>
  <c r="G424" i="3"/>
  <c r="G425" i="3"/>
  <c r="BL427" i="3"/>
  <c r="G429" i="3"/>
  <c r="G430" i="3"/>
  <c r="BA431" i="3"/>
  <c r="AZ431" i="3" s="1"/>
  <c r="G434" i="3"/>
  <c r="G438" i="3"/>
  <c r="BA443" i="3"/>
  <c r="BA457" i="3"/>
  <c r="G459" i="3"/>
  <c r="G460" i="3"/>
  <c r="BA460" i="3"/>
  <c r="BA461" i="3"/>
  <c r="AZ461" i="3" s="1"/>
  <c r="G467" i="3"/>
  <c r="BA473" i="3"/>
  <c r="BA485" i="3"/>
  <c r="G492" i="3"/>
  <c r="G351" i="3"/>
  <c r="G358" i="3"/>
  <c r="G362" i="3"/>
  <c r="G366" i="3"/>
  <c r="G374" i="3"/>
  <c r="G382" i="3"/>
  <c r="G387" i="3"/>
  <c r="G213" i="3"/>
  <c r="BA214" i="3"/>
  <c r="G217" i="3"/>
  <c r="G235" i="3"/>
  <c r="BA242" i="3"/>
  <c r="AZ242" i="3" s="1"/>
  <c r="BL252" i="3"/>
  <c r="BL255" i="3"/>
  <c r="G257" i="3"/>
  <c r="BL278" i="3"/>
  <c r="G279" i="3"/>
  <c r="BA133" i="3"/>
  <c r="BL135" i="3"/>
  <c r="AZ135" i="3" s="1"/>
  <c r="G136" i="3"/>
  <c r="G144" i="3"/>
  <c r="BL173" i="3"/>
  <c r="BL175" i="3"/>
  <c r="AZ175" i="3" s="1"/>
  <c r="G176" i="3"/>
  <c r="BA194" i="3"/>
  <c r="BA25" i="3"/>
  <c r="G31" i="3"/>
  <c r="G32" i="3"/>
  <c r="G35" i="3"/>
  <c r="BL44" i="3"/>
  <c r="BA65" i="3"/>
  <c r="G68" i="3"/>
  <c r="D55" i="43"/>
  <c r="AC21" i="21"/>
  <c r="E79" i="71"/>
  <c r="E78" i="71" s="1"/>
  <c r="O68" i="71"/>
  <c r="AB34" i="71"/>
  <c r="AB35" i="71"/>
  <c r="Y35" i="71"/>
  <c r="Z35" i="71" s="1"/>
  <c r="C59" i="71"/>
  <c r="D59" i="71" s="1"/>
  <c r="G403" i="3"/>
  <c r="G411" i="3"/>
  <c r="BL411" i="3"/>
  <c r="BA420" i="3"/>
  <c r="BA422" i="3"/>
  <c r="G432" i="3"/>
  <c r="BA435" i="3"/>
  <c r="G445" i="3"/>
  <c r="G450" i="3"/>
  <c r="BA456" i="3"/>
  <c r="BA463" i="3"/>
  <c r="G466" i="3"/>
  <c r="G474" i="3"/>
  <c r="G478" i="3"/>
  <c r="BL208" i="3"/>
  <c r="G212" i="3"/>
  <c r="BL224" i="3"/>
  <c r="G225" i="3"/>
  <c r="BA226" i="3"/>
  <c r="G229" i="3"/>
  <c r="BA231" i="3"/>
  <c r="BL237" i="3"/>
  <c r="G238" i="3"/>
  <c r="G243" i="3"/>
  <c r="BA248" i="3"/>
  <c r="G260" i="3"/>
  <c r="G270" i="3"/>
  <c r="BA275" i="3"/>
  <c r="BA132" i="3"/>
  <c r="AZ132" i="3" s="1"/>
  <c r="G135" i="3"/>
  <c r="G143" i="3"/>
  <c r="BA156" i="3"/>
  <c r="AZ156" i="3" s="1"/>
  <c r="BL158" i="3"/>
  <c r="G159" i="3"/>
  <c r="G163" i="3"/>
  <c r="BL163" i="3"/>
  <c r="AZ163" i="3" s="1"/>
  <c r="BL166" i="3"/>
  <c r="BA168" i="3"/>
  <c r="AZ168" i="3" s="1"/>
  <c r="G171" i="3"/>
  <c r="G175" i="3"/>
  <c r="G180" i="3"/>
  <c r="BA201" i="3"/>
  <c r="G204" i="3"/>
  <c r="G18" i="3"/>
  <c r="G22" i="3"/>
  <c r="BA36" i="3"/>
  <c r="G46" i="3"/>
  <c r="G63" i="3"/>
  <c r="G92" i="3"/>
  <c r="G112" i="3"/>
  <c r="X26" i="71"/>
  <c r="Y29" i="71"/>
  <c r="Z29" i="71" s="1"/>
  <c r="X34" i="71"/>
  <c r="B43" i="71"/>
  <c r="B44" i="71" s="1"/>
  <c r="S44" i="71" s="1"/>
  <c r="U72" i="71"/>
  <c r="S76" i="71"/>
  <c r="AZ14" i="3"/>
  <c r="AZ509" i="3"/>
  <c r="AZ530" i="3"/>
  <c r="AA28" i="34"/>
  <c r="S28" i="34"/>
  <c r="AA35" i="39"/>
  <c r="S35" i="39"/>
  <c r="F38" i="40"/>
  <c r="AA38" i="40" s="1"/>
  <c r="H38" i="40"/>
  <c r="BA582" i="3"/>
  <c r="BL578" i="3"/>
  <c r="BL576" i="3"/>
  <c r="AZ576" i="3" s="1"/>
  <c r="BA574" i="3"/>
  <c r="AZ574" i="3" s="1"/>
  <c r="BA566" i="3"/>
  <c r="BL562" i="3"/>
  <c r="BL560" i="3"/>
  <c r="AZ560" i="3" s="1"/>
  <c r="BA558" i="3"/>
  <c r="BA542" i="3"/>
  <c r="BL538" i="3"/>
  <c r="AZ538" i="3" s="1"/>
  <c r="BA532" i="3"/>
  <c r="AZ532" i="3" s="1"/>
  <c r="BA526" i="3"/>
  <c r="BL522" i="3"/>
  <c r="BA518" i="3"/>
  <c r="BL502" i="3"/>
  <c r="BL500" i="3"/>
  <c r="AZ500" i="3" s="1"/>
  <c r="AB23" i="21"/>
  <c r="AA40" i="34"/>
  <c r="G7" i="33"/>
  <c r="E7" i="33"/>
  <c r="I7" i="33"/>
  <c r="AC23" i="37"/>
  <c r="S13" i="21"/>
  <c r="AA23" i="21"/>
  <c r="S17" i="37"/>
  <c r="S12" i="33"/>
  <c r="AB35" i="37"/>
  <c r="S23" i="39"/>
  <c r="S31" i="40"/>
  <c r="AB17" i="37"/>
  <c r="AA22" i="36"/>
  <c r="AA27" i="40"/>
  <c r="AB27" i="40"/>
  <c r="AC27" i="40"/>
  <c r="AA12" i="40"/>
  <c r="AZ356" i="3"/>
  <c r="AZ347" i="3"/>
  <c r="W15" i="37"/>
  <c r="W47" i="34"/>
  <c r="H42" i="33"/>
  <c r="AB42" i="33" s="1"/>
  <c r="F42" i="33"/>
  <c r="AA42" i="33" s="1"/>
  <c r="AC28" i="34"/>
  <c r="AZ511" i="3"/>
  <c r="AZ523" i="3"/>
  <c r="AZ531" i="3"/>
  <c r="AZ547" i="3"/>
  <c r="AZ577" i="3"/>
  <c r="AZ583" i="3"/>
  <c r="AZ499" i="3"/>
  <c r="AZ527" i="3"/>
  <c r="AZ543" i="3"/>
  <c r="AZ553" i="3"/>
  <c r="AZ522" i="3"/>
  <c r="AZ568" i="3"/>
  <c r="AA45" i="33"/>
  <c r="S45" i="33"/>
  <c r="U34" i="40"/>
  <c r="S41" i="21"/>
  <c r="E117" i="33"/>
  <c r="F117" i="33" s="1"/>
  <c r="G117" i="33" s="1"/>
  <c r="H39" i="33"/>
  <c r="AB39" i="33" s="1"/>
  <c r="J39" i="33"/>
  <c r="AC39" i="33" s="1"/>
  <c r="F9" i="34"/>
  <c r="AA9" i="34" s="1"/>
  <c r="J9" i="34"/>
  <c r="AC9" i="34" s="1"/>
  <c r="J12" i="34"/>
  <c r="F12" i="34"/>
  <c r="S12" i="34" s="1"/>
  <c r="AB34" i="35"/>
  <c r="U34" i="35"/>
  <c r="AC22" i="35"/>
  <c r="W22" i="35"/>
  <c r="AC31" i="37"/>
  <c r="W31" i="37"/>
  <c r="J27" i="21"/>
  <c r="F27" i="21"/>
  <c r="BA552" i="3"/>
  <c r="AZ552" i="3" s="1"/>
  <c r="BL540" i="3"/>
  <c r="BA536" i="3"/>
  <c r="AZ536" i="3" s="1"/>
  <c r="BL518" i="3"/>
  <c r="C33" i="33"/>
  <c r="F33" i="33" s="1"/>
  <c r="AA33" i="33" s="1"/>
  <c r="B14" i="74"/>
  <c r="C33" i="82"/>
  <c r="D3" i="82"/>
  <c r="AC23" i="21"/>
  <c r="W17" i="21"/>
  <c r="AA39" i="39"/>
  <c r="AA33" i="34"/>
  <c r="AZ493" i="3"/>
  <c r="AZ371" i="3"/>
  <c r="AZ355" i="3"/>
  <c r="AZ329" i="3"/>
  <c r="AB37" i="39"/>
  <c r="AA25" i="21"/>
  <c r="AC45" i="33"/>
  <c r="AZ516" i="3"/>
  <c r="AZ554" i="3"/>
  <c r="AZ544" i="3"/>
  <c r="AC35" i="40"/>
  <c r="S44" i="33"/>
  <c r="AA44" i="33"/>
  <c r="F77" i="33"/>
  <c r="G77" i="33" s="1"/>
  <c r="F15" i="33"/>
  <c r="AA15" i="33" s="1"/>
  <c r="J15" i="33"/>
  <c r="AC15" i="33" s="1"/>
  <c r="AB9" i="40"/>
  <c r="U9" i="40"/>
  <c r="G585" i="3"/>
  <c r="BL586" i="3"/>
  <c r="AZ586" i="3" s="1"/>
  <c r="H38" i="33"/>
  <c r="AB38" i="33" s="1"/>
  <c r="G570" i="3"/>
  <c r="G566" i="3"/>
  <c r="G14" i="3"/>
  <c r="F20" i="6" s="1"/>
  <c r="E20" i="6" s="1"/>
  <c r="K7" i="1" s="1"/>
  <c r="M7" i="1" s="1"/>
  <c r="O7" i="1" s="1"/>
  <c r="P7" i="1" s="1"/>
  <c r="BL16" i="3"/>
  <c r="AZ16" i="3" s="1"/>
  <c r="BA400" i="3"/>
  <c r="G404" i="3"/>
  <c r="BL413" i="3"/>
  <c r="G415" i="3"/>
  <c r="G422" i="3"/>
  <c r="BA424" i="3"/>
  <c r="AZ424" i="3" s="1"/>
  <c r="G433" i="3"/>
  <c r="G436" i="3"/>
  <c r="G441" i="3"/>
  <c r="BL441" i="3"/>
  <c r="BL442" i="3"/>
  <c r="BA444" i="3"/>
  <c r="AZ444" i="3" s="1"/>
  <c r="BL444" i="3"/>
  <c r="G446" i="3"/>
  <c r="G447" i="3"/>
  <c r="BL455" i="3"/>
  <c r="BA459" i="3"/>
  <c r="G463" i="3"/>
  <c r="G469" i="3"/>
  <c r="BA469" i="3"/>
  <c r="BA470" i="3"/>
  <c r="G475" i="3"/>
  <c r="BL480" i="3"/>
  <c r="G482" i="3"/>
  <c r="G486" i="3"/>
  <c r="G489" i="3"/>
  <c r="BA489" i="3"/>
  <c r="G318" i="3"/>
  <c r="BL340" i="3"/>
  <c r="AZ340" i="3" s="1"/>
  <c r="G343" i="3"/>
  <c r="G347" i="3"/>
  <c r="BA348" i="3"/>
  <c r="BA350" i="3"/>
  <c r="AZ350" i="3" s="1"/>
  <c r="BA354" i="3"/>
  <c r="BL381" i="3"/>
  <c r="AZ381" i="3" s="1"/>
  <c r="BA385" i="3"/>
  <c r="BL211" i="3"/>
  <c r="BA212" i="3"/>
  <c r="BL216" i="3"/>
  <c r="G218" i="3"/>
  <c r="G223" i="3"/>
  <c r="BA225" i="3"/>
  <c r="AZ225" i="3" s="1"/>
  <c r="BA229" i="3"/>
  <c r="AZ229" i="3" s="1"/>
  <c r="BL229" i="3"/>
  <c r="BL231" i="3"/>
  <c r="G233" i="3"/>
  <c r="BA240" i="3"/>
  <c r="AZ240" i="3" s="1"/>
  <c r="BL240" i="3"/>
  <c r="G244" i="3"/>
  <c r="G251" i="3"/>
  <c r="G255" i="3"/>
  <c r="BA257" i="3"/>
  <c r="BA260" i="3"/>
  <c r="BA146" i="3"/>
  <c r="BA150" i="3"/>
  <c r="A15" i="62"/>
  <c r="B61" i="72" s="1"/>
  <c r="BL412" i="3"/>
  <c r="BL419" i="3"/>
  <c r="AZ419" i="3" s="1"/>
  <c r="BL430" i="3"/>
  <c r="BL440" i="3"/>
  <c r="BA451" i="3"/>
  <c r="AZ451" i="3" s="1"/>
  <c r="BA452" i="3"/>
  <c r="BA454" i="3"/>
  <c r="BA458" i="3"/>
  <c r="AZ458" i="3" s="1"/>
  <c r="BL458" i="3"/>
  <c r="BL462" i="3"/>
  <c r="AZ462" i="3" s="1"/>
  <c r="BL467" i="3"/>
  <c r="BL468" i="3"/>
  <c r="BL470" i="3"/>
  <c r="BL479" i="3"/>
  <c r="BL484" i="3"/>
  <c r="BL490" i="3"/>
  <c r="BL308" i="3"/>
  <c r="AZ308" i="3" s="1"/>
  <c r="BA331" i="3"/>
  <c r="AZ331" i="3" s="1"/>
  <c r="BA335" i="3"/>
  <c r="AZ335" i="3" s="1"/>
  <c r="BA339" i="3"/>
  <c r="AZ339" i="3" s="1"/>
  <c r="BL367" i="3"/>
  <c r="BL375" i="3"/>
  <c r="AZ375" i="3" s="1"/>
  <c r="BL386" i="3"/>
  <c r="G392" i="3"/>
  <c r="BL395" i="3"/>
  <c r="G396" i="3"/>
  <c r="BA397" i="3"/>
  <c r="BL397" i="3"/>
  <c r="BL214" i="3"/>
  <c r="AZ214" i="3" s="1"/>
  <c r="G216" i="3"/>
  <c r="BL222" i="3"/>
  <c r="G227" i="3"/>
  <c r="BA228" i="3"/>
  <c r="BL230" i="3"/>
  <c r="G231" i="3"/>
  <c r="BA235" i="3"/>
  <c r="BA237" i="3"/>
  <c r="AZ237" i="3" s="1"/>
  <c r="G249" i="3"/>
  <c r="BL254" i="3"/>
  <c r="BA255" i="3"/>
  <c r="BL259" i="3"/>
  <c r="G266" i="3"/>
  <c r="BA273" i="3"/>
  <c r="G276" i="3"/>
  <c r="BA280" i="3"/>
  <c r="AZ280" i="3" s="1"/>
  <c r="BA283" i="3"/>
  <c r="AZ283" i="3" s="1"/>
  <c r="BA294" i="3"/>
  <c r="BL127" i="3"/>
  <c r="AZ127" i="3" s="1"/>
  <c r="G134" i="3"/>
  <c r="BL137" i="3"/>
  <c r="BA149" i="3"/>
  <c r="BA157" i="3"/>
  <c r="BL181" i="3"/>
  <c r="G186" i="3"/>
  <c r="BA188" i="3"/>
  <c r="AZ188" i="3" s="1"/>
  <c r="G190" i="3"/>
  <c r="G199" i="3"/>
  <c r="BL205" i="3"/>
  <c r="G558" i="3"/>
  <c r="G552" i="3"/>
  <c r="G551" i="3"/>
  <c r="G542" i="3"/>
  <c r="H5" i="3"/>
  <c r="BI5" i="3"/>
  <c r="F6" i="1"/>
  <c r="BL400" i="3"/>
  <c r="G407" i="3"/>
  <c r="BL408" i="3"/>
  <c r="BA413" i="3"/>
  <c r="AZ413" i="3" s="1"/>
  <c r="BL416" i="3"/>
  <c r="G418" i="3"/>
  <c r="G419" i="3"/>
  <c r="G421" i="3"/>
  <c r="BL423" i="3"/>
  <c r="BA437" i="3"/>
  <c r="BL437" i="3"/>
  <c r="G439" i="3"/>
  <c r="G440" i="3"/>
  <c r="BL443" i="3"/>
  <c r="G448" i="3"/>
  <c r="G449" i="3"/>
  <c r="G454" i="3"/>
  <c r="BA462" i="3"/>
  <c r="BL465" i="3"/>
  <c r="BL469" i="3"/>
  <c r="G470" i="3"/>
  <c r="BA476" i="3"/>
  <c r="BL476" i="3"/>
  <c r="BL477" i="3"/>
  <c r="BL478" i="3"/>
  <c r="G479" i="3"/>
  <c r="BA480" i="3"/>
  <c r="AZ480" i="3" s="1"/>
  <c r="BA487" i="3"/>
  <c r="AZ487" i="3" s="1"/>
  <c r="BA488" i="3"/>
  <c r="AZ488" i="3" s="1"/>
  <c r="G490" i="3"/>
  <c r="BA319" i="3"/>
  <c r="AZ319" i="3" s="1"/>
  <c r="BL324" i="3"/>
  <c r="AZ324" i="3" s="1"/>
  <c r="BL328" i="3"/>
  <c r="AZ328" i="3" s="1"/>
  <c r="G329" i="3"/>
  <c r="G349" i="3"/>
  <c r="BL359" i="3"/>
  <c r="AZ359" i="3" s="1"/>
  <c r="BA366" i="3"/>
  <c r="AZ366" i="3" s="1"/>
  <c r="BL385" i="3"/>
  <c r="BA392" i="3"/>
  <c r="AZ392" i="3" s="1"/>
  <c r="G209" i="3"/>
  <c r="BA210" i="3"/>
  <c r="BL210" i="3"/>
  <c r="BL212" i="3"/>
  <c r="G214" i="3"/>
  <c r="BA217" i="3"/>
  <c r="BL219" i="3"/>
  <c r="G220" i="3"/>
  <c r="G221" i="3"/>
  <c r="BA224" i="3"/>
  <c r="AZ224" i="3" s="1"/>
  <c r="BL227" i="3"/>
  <c r="BA233" i="3"/>
  <c r="G237" i="3"/>
  <c r="G239" i="3"/>
  <c r="BA245" i="3"/>
  <c r="BL245" i="3"/>
  <c r="G247" i="3"/>
  <c r="G253" i="3"/>
  <c r="BL257" i="3"/>
  <c r="BL258" i="3"/>
  <c r="G259" i="3"/>
  <c r="G265" i="3"/>
  <c r="BL269" i="3"/>
  <c r="G271" i="3"/>
  <c r="BA278" i="3"/>
  <c r="G281" i="3"/>
  <c r="G287" i="3"/>
  <c r="G292" i="3"/>
  <c r="BA293" i="3"/>
  <c r="BA120" i="3"/>
  <c r="AZ120" i="3" s="1"/>
  <c r="BL122" i="3"/>
  <c r="G123" i="3"/>
  <c r="BA124" i="3"/>
  <c r="AZ124" i="3" s="1"/>
  <c r="G127" i="3"/>
  <c r="BA128" i="3"/>
  <c r="AZ128" i="3" s="1"/>
  <c r="BA40" i="3"/>
  <c r="C60" i="71"/>
  <c r="F7" i="1"/>
  <c r="G7" i="1" s="1"/>
  <c r="G44" i="43"/>
  <c r="F16" i="4"/>
  <c r="A18" i="51" s="1"/>
  <c r="B13" i="72" s="1"/>
  <c r="AZ406" i="3"/>
  <c r="BL161" i="3"/>
  <c r="G167" i="3"/>
  <c r="BL167" i="3"/>
  <c r="AZ167" i="3" s="1"/>
  <c r="BL169" i="3"/>
  <c r="BL35" i="3"/>
  <c r="BL38" i="3"/>
  <c r="BA39" i="3"/>
  <c r="BA43" i="3"/>
  <c r="D56" i="43"/>
  <c r="C21" i="68"/>
  <c r="AB21" i="37"/>
  <c r="P67" i="71"/>
  <c r="Y27" i="71"/>
  <c r="Z27" i="71" s="1"/>
  <c r="N68" i="71"/>
  <c r="F35" i="71"/>
  <c r="F36" i="71" s="1"/>
  <c r="V36" i="71" s="1"/>
  <c r="AA35" i="71"/>
  <c r="AA38" i="71"/>
  <c r="S68" i="71"/>
  <c r="V68" i="71"/>
  <c r="F71" i="71"/>
  <c r="F70" i="71" s="1"/>
  <c r="C5" i="68"/>
  <c r="BL52" i="3"/>
  <c r="BA53" i="3"/>
  <c r="BA54" i="3"/>
  <c r="BL68" i="3"/>
  <c r="BA69" i="3"/>
  <c r="BA78" i="3"/>
  <c r="BA88" i="3"/>
  <c r="BL96" i="3"/>
  <c r="BA98" i="3"/>
  <c r="BL100" i="3"/>
  <c r="G106" i="3"/>
  <c r="BA106" i="3"/>
  <c r="BL108" i="3"/>
  <c r="F8" i="1"/>
  <c r="G8" i="1" s="1"/>
  <c r="B22" i="71"/>
  <c r="B21" i="71" s="1"/>
  <c r="B20" i="71" s="1"/>
  <c r="G261" i="3"/>
  <c r="BL265" i="3"/>
  <c r="AZ265" i="3" s="1"/>
  <c r="G267" i="3"/>
  <c r="BA270" i="3"/>
  <c r="BL272" i="3"/>
  <c r="G273" i="3"/>
  <c r="G283" i="3"/>
  <c r="BL289" i="3"/>
  <c r="G291" i="3"/>
  <c r="BA291" i="3"/>
  <c r="G294" i="3"/>
  <c r="BL295" i="3"/>
  <c r="G299" i="3"/>
  <c r="BL300" i="3"/>
  <c r="BL134" i="3"/>
  <c r="BL146" i="3"/>
  <c r="BA148" i="3"/>
  <c r="AZ148" i="3" s="1"/>
  <c r="BL154" i="3"/>
  <c r="G155" i="3"/>
  <c r="BA162" i="3"/>
  <c r="G170" i="3"/>
  <c r="G184" i="3"/>
  <c r="BA185" i="3"/>
  <c r="BA189" i="3"/>
  <c r="BL191" i="3"/>
  <c r="AZ191" i="3" s="1"/>
  <c r="G192" i="3"/>
  <c r="BA193" i="3"/>
  <c r="G202" i="3"/>
  <c r="G203" i="3"/>
  <c r="BA205" i="3"/>
  <c r="BA22" i="3"/>
  <c r="BL24" i="3"/>
  <c r="G26" i="3"/>
  <c r="BA30" i="3"/>
  <c r="BL34" i="3"/>
  <c r="G42" i="3"/>
  <c r="G45" i="3"/>
  <c r="G51" i="3"/>
  <c r="G52" i="3"/>
  <c r="BA52" i="3"/>
  <c r="G66" i="3"/>
  <c r="G67" i="3"/>
  <c r="G71" i="3"/>
  <c r="BL76" i="3"/>
  <c r="BL79" i="3"/>
  <c r="G89" i="3"/>
  <c r="BA92" i="3"/>
  <c r="BL93" i="3"/>
  <c r="G95" i="3"/>
  <c r="BL99" i="3"/>
  <c r="BA105" i="3"/>
  <c r="BA109" i="3"/>
  <c r="C58" i="82"/>
  <c r="D58" i="82" s="1"/>
  <c r="E58" i="82" s="1"/>
  <c r="F58" i="82" s="1"/>
  <c r="G58" i="82" s="1"/>
  <c r="H58" i="82" s="1"/>
  <c r="I58" i="82" s="1"/>
  <c r="J58" i="82" s="1"/>
  <c r="K58" i="82" s="1"/>
  <c r="L58" i="82" s="1"/>
  <c r="M58" i="82" s="1"/>
  <c r="N58" i="82" s="1"/>
  <c r="O58" i="82" s="1"/>
  <c r="I7" i="82"/>
  <c r="E7" i="82"/>
  <c r="G7" i="82"/>
  <c r="H7" i="82" s="1"/>
  <c r="D51" i="43"/>
  <c r="C40" i="68"/>
  <c r="U21" i="34"/>
  <c r="W29" i="39"/>
  <c r="B68" i="43"/>
  <c r="AA3" i="71"/>
  <c r="C87" i="71"/>
  <c r="D76" i="71"/>
  <c r="U68" i="71"/>
  <c r="C38" i="71"/>
  <c r="D38" i="71" s="1"/>
  <c r="C30" i="71"/>
  <c r="D30" i="71" s="1"/>
  <c r="Y26" i="71"/>
  <c r="Z26" i="71" s="1"/>
  <c r="AB36" i="71"/>
  <c r="E39" i="71"/>
  <c r="E40" i="71" s="1"/>
  <c r="U40" i="71" s="1"/>
  <c r="Y38" i="71"/>
  <c r="Z38" i="71" s="1"/>
  <c r="E47" i="71"/>
  <c r="E48" i="71" s="1"/>
  <c r="U48" i="71" s="1"/>
  <c r="C23" i="71"/>
  <c r="G164" i="3"/>
  <c r="G172" i="3"/>
  <c r="G178" i="3"/>
  <c r="BL178" i="3"/>
  <c r="BA180" i="3"/>
  <c r="AZ180" i="3" s="1"/>
  <c r="BL182" i="3"/>
  <c r="G183" i="3"/>
  <c r="BL186" i="3"/>
  <c r="G187" i="3"/>
  <c r="G195" i="3"/>
  <c r="BL195" i="3"/>
  <c r="AZ195" i="3" s="1"/>
  <c r="BA196" i="3"/>
  <c r="AZ196" i="3" s="1"/>
  <c r="G206" i="3"/>
  <c r="BA207" i="3"/>
  <c r="G20" i="3"/>
  <c r="BL20" i="3"/>
  <c r="BA21" i="3"/>
  <c r="BL23" i="3"/>
  <c r="G24" i="3"/>
  <c r="BA26" i="3"/>
  <c r="G28" i="3"/>
  <c r="BL28" i="3"/>
  <c r="BA29" i="3"/>
  <c r="BA33" i="3"/>
  <c r="G36" i="3"/>
  <c r="G40" i="3"/>
  <c r="BA47" i="3"/>
  <c r="BL47" i="3"/>
  <c r="G49" i="3"/>
  <c r="G54" i="3"/>
  <c r="BA62" i="3"/>
  <c r="BL62" i="3"/>
  <c r="BL63" i="3"/>
  <c r="BL74" i="3"/>
  <c r="G75" i="3"/>
  <c r="BL75" i="3"/>
  <c r="BA77" i="3"/>
  <c r="G79" i="3"/>
  <c r="BA80" i="3"/>
  <c r="G84" i="3"/>
  <c r="BL84" i="3"/>
  <c r="BL91" i="3"/>
  <c r="G93" i="3"/>
  <c r="BA94" i="3"/>
  <c r="G99" i="3"/>
  <c r="BL103" i="3"/>
  <c r="BA104" i="3"/>
  <c r="G107" i="3"/>
  <c r="BL110" i="3"/>
  <c r="BL111" i="3"/>
  <c r="D53" i="43"/>
  <c r="S18" i="36"/>
  <c r="P27" i="6"/>
  <c r="D80" i="71"/>
  <c r="C75" i="71"/>
  <c r="Q68" i="71"/>
  <c r="B28" i="71"/>
  <c r="B27" i="71" s="1"/>
  <c r="B26" i="71" s="1"/>
  <c r="AB32" i="71"/>
  <c r="AA34" i="71"/>
  <c r="C51" i="71"/>
  <c r="B71" i="71"/>
  <c r="B70" i="71" s="1"/>
  <c r="H36" i="33"/>
  <c r="U36" i="33" s="1"/>
  <c r="G111" i="33"/>
  <c r="H111" i="33" s="1"/>
  <c r="I111" i="33" s="1"/>
  <c r="J111" i="33" s="1"/>
  <c r="K111" i="33" s="1"/>
  <c r="L111" i="33" s="1"/>
  <c r="M111" i="33" s="1"/>
  <c r="J36" i="33"/>
  <c r="W36" i="33" s="1"/>
  <c r="H33" i="33"/>
  <c r="U33" i="33" s="1"/>
  <c r="C18" i="9"/>
  <c r="D18" i="9" s="1"/>
  <c r="U35" i="33"/>
  <c r="U38" i="33"/>
  <c r="F38" i="33"/>
  <c r="AA38" i="33" s="1"/>
  <c r="F29" i="33"/>
  <c r="H29" i="33"/>
  <c r="S36" i="33"/>
  <c r="A24" i="51"/>
  <c r="B18" i="72" s="1"/>
  <c r="AC21" i="33"/>
  <c r="S39" i="33"/>
  <c r="S28" i="33"/>
  <c r="AC28" i="33"/>
  <c r="K6" i="1"/>
  <c r="F29" i="6"/>
  <c r="E29" i="6" s="1"/>
  <c r="K15" i="1" s="1"/>
  <c r="G1" i="69"/>
  <c r="G1" i="15"/>
  <c r="K1" i="12"/>
  <c r="D52" i="43"/>
  <c r="E50" i="43" s="1"/>
  <c r="B48" i="43" s="1"/>
  <c r="W42" i="33"/>
  <c r="U37" i="33"/>
  <c r="AA37" i="33"/>
  <c r="U27" i="33"/>
  <c r="W26" i="33"/>
  <c r="AC25" i="33"/>
  <c r="S43" i="33"/>
  <c r="W43" i="33"/>
  <c r="U42" i="33"/>
  <c r="S42" i="33"/>
  <c r="W39" i="33"/>
  <c r="U39" i="33"/>
  <c r="AA35" i="33"/>
  <c r="W35" i="33"/>
  <c r="AB34" i="33"/>
  <c r="W32" i="33"/>
  <c r="U32" i="33"/>
  <c r="S32" i="33"/>
  <c r="W27" i="33"/>
  <c r="S27" i="33"/>
  <c r="S25" i="33"/>
  <c r="AB25" i="33"/>
  <c r="U23" i="33"/>
  <c r="AA19" i="33"/>
  <c r="W19" i="33"/>
  <c r="W17" i="33"/>
  <c r="W15" i="33"/>
  <c r="U15" i="33"/>
  <c r="AC11" i="33"/>
  <c r="W8" i="33"/>
  <c r="F34" i="15"/>
  <c r="F62" i="15" s="1"/>
  <c r="M20" i="67"/>
  <c r="M18" i="15"/>
  <c r="C40" i="69"/>
  <c r="G29" i="6"/>
  <c r="J1" i="73"/>
  <c r="A118" i="9"/>
  <c r="A2" i="9"/>
  <c r="A4" i="52"/>
  <c r="B41" i="72" s="1"/>
  <c r="H111" i="9"/>
  <c r="D126" i="9" s="1"/>
  <c r="H112" i="9"/>
  <c r="D21" i="53" s="1"/>
  <c r="B39" i="72" s="1"/>
  <c r="AA11" i="36"/>
  <c r="S11" i="36"/>
  <c r="U45" i="33"/>
  <c r="AB45" i="33"/>
  <c r="BL587" i="3"/>
  <c r="BA585" i="3"/>
  <c r="B101" i="43"/>
  <c r="B79" i="43"/>
  <c r="AC31" i="40"/>
  <c r="W31" i="40"/>
  <c r="AB19" i="33"/>
  <c r="AB15" i="21"/>
  <c r="W32" i="39"/>
  <c r="S20" i="36"/>
  <c r="AZ313" i="3"/>
  <c r="AZ306" i="3"/>
  <c r="AZ521" i="3"/>
  <c r="AZ541" i="3"/>
  <c r="AZ579" i="3"/>
  <c r="AZ542" i="3"/>
  <c r="S29" i="35"/>
  <c r="AA29" i="35"/>
  <c r="S21" i="39"/>
  <c r="F54" i="9"/>
  <c r="F52" i="9"/>
  <c r="S32" i="37"/>
  <c r="AA17" i="33"/>
  <c r="S37" i="21"/>
  <c r="D68" i="9"/>
  <c r="F30" i="69"/>
  <c r="F48" i="69" s="1"/>
  <c r="F31" i="12"/>
  <c r="AB20" i="35"/>
  <c r="AB35" i="34"/>
  <c r="S36" i="37"/>
  <c r="AB40" i="37"/>
  <c r="AB13" i="35"/>
  <c r="S14" i="36"/>
  <c r="S15" i="39"/>
  <c r="AC34" i="33"/>
  <c r="AC17" i="34"/>
  <c r="AC11" i="39"/>
  <c r="AZ334" i="3"/>
  <c r="AZ372" i="3"/>
  <c r="AZ337" i="3"/>
  <c r="AZ394" i="3"/>
  <c r="AC12" i="37"/>
  <c r="U11" i="33"/>
  <c r="AC36" i="34"/>
  <c r="AZ512" i="3"/>
  <c r="AZ520" i="3"/>
  <c r="AB30" i="21"/>
  <c r="U33" i="40"/>
  <c r="AB33" i="40"/>
  <c r="U40" i="33"/>
  <c r="C25" i="39"/>
  <c r="H9" i="33"/>
  <c r="F9" i="33"/>
  <c r="AA9" i="33" s="1"/>
  <c r="J9" i="33"/>
  <c r="F32" i="15"/>
  <c r="F60" i="15" s="1"/>
  <c r="F30" i="68"/>
  <c r="F48" i="68" s="1"/>
  <c r="AC39" i="34"/>
  <c r="AA34" i="33"/>
  <c r="D6" i="52"/>
  <c r="AA23" i="37"/>
  <c r="F28" i="15"/>
  <c r="C28" i="15" s="1"/>
  <c r="F32" i="67"/>
  <c r="F60" i="67" s="1"/>
  <c r="F28" i="67"/>
  <c r="C28" i="67" s="1"/>
  <c r="S37" i="37"/>
  <c r="W38" i="37"/>
  <c r="AC29" i="37"/>
  <c r="AB19" i="40"/>
  <c r="AZ387" i="3"/>
  <c r="AZ362" i="3"/>
  <c r="AZ390" i="3"/>
  <c r="AZ351" i="3"/>
  <c r="AZ336" i="3"/>
  <c r="AZ305" i="3"/>
  <c r="AZ376" i="3"/>
  <c r="AZ309" i="3"/>
  <c r="U14" i="40"/>
  <c r="AZ533" i="3"/>
  <c r="AZ561" i="3"/>
  <c r="AZ557" i="3"/>
  <c r="AZ513" i="3"/>
  <c r="AZ575" i="3"/>
  <c r="AZ566" i="3"/>
  <c r="AZ540" i="3"/>
  <c r="S44" i="34"/>
  <c r="AB46" i="34"/>
  <c r="W31" i="33"/>
  <c r="U26" i="33"/>
  <c r="S41" i="33"/>
  <c r="U17" i="34"/>
  <c r="AB17" i="34"/>
  <c r="J45" i="21"/>
  <c r="F45" i="21"/>
  <c r="AC25" i="37"/>
  <c r="W25" i="37"/>
  <c r="AZ360" i="3"/>
  <c r="AZ539" i="3"/>
  <c r="AZ529" i="3"/>
  <c r="AZ518" i="3"/>
  <c r="AZ526" i="3"/>
  <c r="AZ546" i="3"/>
  <c r="AZ564" i="3"/>
  <c r="AZ580" i="3"/>
  <c r="S35" i="34"/>
  <c r="F33" i="36"/>
  <c r="AB12" i="35"/>
  <c r="W8" i="40"/>
  <c r="U31" i="35"/>
  <c r="W40" i="39"/>
  <c r="AA34" i="39"/>
  <c r="U39" i="40"/>
  <c r="H25" i="37"/>
  <c r="F25" i="37"/>
  <c r="AB30" i="36"/>
  <c r="AB8" i="39"/>
  <c r="C15" i="39"/>
  <c r="F26" i="33"/>
  <c r="W9" i="34"/>
  <c r="U31" i="36"/>
  <c r="U30" i="37"/>
  <c r="J44" i="39"/>
  <c r="G587" i="3"/>
  <c r="J12" i="35"/>
  <c r="J12" i="36"/>
  <c r="F44" i="39"/>
  <c r="J38" i="40"/>
  <c r="AZ443" i="3"/>
  <c r="J45" i="39"/>
  <c r="W45" i="39" s="1"/>
  <c r="BL585" i="3"/>
  <c r="B75" i="43"/>
  <c r="H23" i="35"/>
  <c r="J9" i="36"/>
  <c r="H24" i="36"/>
  <c r="BL550" i="3"/>
  <c r="AZ469" i="3"/>
  <c r="BL398" i="3"/>
  <c r="G402" i="3"/>
  <c r="BL403" i="3"/>
  <c r="G405" i="3"/>
  <c r="G406" i="3"/>
  <c r="BA408" i="3"/>
  <c r="AZ408" i="3" s="1"/>
  <c r="BA409" i="3"/>
  <c r="AZ409" i="3" s="1"/>
  <c r="BA411" i="3"/>
  <c r="AZ411" i="3" s="1"/>
  <c r="BL414" i="3"/>
  <c r="BL415" i="3"/>
  <c r="BA417" i="3"/>
  <c r="BL421" i="3"/>
  <c r="BL422" i="3"/>
  <c r="AZ422" i="3" s="1"/>
  <c r="BL425" i="3"/>
  <c r="BL426" i="3"/>
  <c r="BA428" i="3"/>
  <c r="BA429" i="3"/>
  <c r="BA430" i="3"/>
  <c r="AZ430" i="3" s="1"/>
  <c r="BA432" i="3"/>
  <c r="BA434" i="3"/>
  <c r="BA436" i="3"/>
  <c r="BA438" i="3"/>
  <c r="G442" i="3"/>
  <c r="G443" i="3"/>
  <c r="BA446" i="3"/>
  <c r="BA450" i="3"/>
  <c r="BA453" i="3"/>
  <c r="BA455" i="3"/>
  <c r="AZ455" i="3" s="1"/>
  <c r="BL457" i="3"/>
  <c r="BL460" i="3"/>
  <c r="BL461" i="3"/>
  <c r="BL463" i="3"/>
  <c r="G465" i="3"/>
  <c r="BA471" i="3"/>
  <c r="BL15" i="3"/>
  <c r="AZ15" i="3" s="1"/>
  <c r="BA398" i="3"/>
  <c r="BA399" i="3"/>
  <c r="AZ399" i="3" s="1"/>
  <c r="BL401" i="3"/>
  <c r="BL404" i="3"/>
  <c r="BL405" i="3"/>
  <c r="BL407" i="3"/>
  <c r="AZ407" i="3" s="1"/>
  <c r="BA412" i="3"/>
  <c r="AZ412" i="3" s="1"/>
  <c r="BA414" i="3"/>
  <c r="BA415" i="3"/>
  <c r="BA416" i="3"/>
  <c r="BA418" i="3"/>
  <c r="BA421" i="3"/>
  <c r="AZ421" i="3" s="1"/>
  <c r="BA423" i="3"/>
  <c r="BA425" i="3"/>
  <c r="BA426" i="3"/>
  <c r="BA427" i="3"/>
  <c r="AZ427" i="3" s="1"/>
  <c r="BL448" i="3"/>
  <c r="AZ448" i="3" s="1"/>
  <c r="AZ460" i="3"/>
  <c r="BL466" i="3"/>
  <c r="G468" i="3"/>
  <c r="BA483" i="3"/>
  <c r="BL483" i="3"/>
  <c r="BA486" i="3"/>
  <c r="BL489" i="3"/>
  <c r="BL491" i="3"/>
  <c r="BL492" i="3"/>
  <c r="BA551" i="3"/>
  <c r="AZ551" i="3" s="1"/>
  <c r="BA550" i="3"/>
  <c r="BL548" i="3"/>
  <c r="AZ548" i="3" s="1"/>
  <c r="BA401" i="3"/>
  <c r="BA403" i="3"/>
  <c r="BA404" i="3"/>
  <c r="BA405" i="3"/>
  <c r="AZ405" i="3" s="1"/>
  <c r="BL410" i="3"/>
  <c r="G412" i="3"/>
  <c r="BL431" i="3"/>
  <c r="BL434" i="3"/>
  <c r="G437" i="3"/>
  <c r="BL438" i="3"/>
  <c r="BL439" i="3"/>
  <c r="BA441" i="3"/>
  <c r="BL445" i="3"/>
  <c r="AZ445" i="3" s="1"/>
  <c r="BL446" i="3"/>
  <c r="BL449" i="3"/>
  <c r="BL450" i="3"/>
  <c r="BL452" i="3"/>
  <c r="G455" i="3"/>
  <c r="BL456" i="3"/>
  <c r="BA464" i="3"/>
  <c r="AZ466" i="3"/>
  <c r="BL473" i="3"/>
  <c r="AZ473" i="3" s="1"/>
  <c r="BL474" i="3"/>
  <c r="BA482" i="3"/>
  <c r="BA484" i="3"/>
  <c r="AZ484" i="3" s="1"/>
  <c r="G491" i="3"/>
  <c r="BA303" i="3"/>
  <c r="AZ303" i="3" s="1"/>
  <c r="BA307" i="3"/>
  <c r="AZ307" i="3" s="1"/>
  <c r="G416" i="3"/>
  <c r="BL417" i="3"/>
  <c r="BL418" i="3"/>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A467" i="3"/>
  <c r="AZ467" i="3" s="1"/>
  <c r="BA468" i="3"/>
  <c r="BL471" i="3"/>
  <c r="BL475" i="3"/>
  <c r="BA477" i="3"/>
  <c r="AZ477" i="3" s="1"/>
  <c r="BA478" i="3"/>
  <c r="BA481" i="3"/>
  <c r="G484" i="3"/>
  <c r="BA491" i="3"/>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G116" i="3"/>
  <c r="BA117" i="3"/>
  <c r="BA126" i="3"/>
  <c r="BL317" i="3"/>
  <c r="BA349" i="3"/>
  <c r="AZ349" i="3" s="1"/>
  <c r="BA353" i="3"/>
  <c r="BL353" i="3"/>
  <c r="BA358" i="3"/>
  <c r="AZ358" i="3" s="1"/>
  <c r="BL365" i="3"/>
  <c r="AZ365" i="3" s="1"/>
  <c r="BA368" i="3"/>
  <c r="BL368" i="3"/>
  <c r="BA374" i="3"/>
  <c r="AZ374" i="3" s="1"/>
  <c r="BA388" i="3"/>
  <c r="AZ388" i="3" s="1"/>
  <c r="BA396" i="3"/>
  <c r="BA209" i="3"/>
  <c r="BL217" i="3"/>
  <c r="BA219" i="3"/>
  <c r="AZ219" i="3" s="1"/>
  <c r="BA221" i="3"/>
  <c r="BA223" i="3"/>
  <c r="BL228" i="3"/>
  <c r="AZ228" i="3" s="1"/>
  <c r="BA230" i="3"/>
  <c r="BL232" i="3"/>
  <c r="BL234" i="3"/>
  <c r="BA236" i="3"/>
  <c r="BA238" i="3"/>
  <c r="BA243" i="3"/>
  <c r="BL248" i="3"/>
  <c r="AZ248" i="3" s="1"/>
  <c r="G250" i="3"/>
  <c r="BL250" i="3"/>
  <c r="G252" i="3"/>
  <c r="G254" i="3"/>
  <c r="BA259" i="3"/>
  <c r="AZ259" i="3" s="1"/>
  <c r="BL261" i="3"/>
  <c r="BA263" i="3"/>
  <c r="BA267" i="3"/>
  <c r="AZ267" i="3" s="1"/>
  <c r="BA269" i="3"/>
  <c r="AZ269" i="3" s="1"/>
  <c r="BA271" i="3"/>
  <c r="BL271" i="3"/>
  <c r="BA274" i="3"/>
  <c r="BL274" i="3"/>
  <c r="BA276" i="3"/>
  <c r="BA279" i="3"/>
  <c r="BA281" i="3"/>
  <c r="G286" i="3"/>
  <c r="BL286" i="3"/>
  <c r="AZ286" i="3" s="1"/>
  <c r="G289" i="3"/>
  <c r="G290" i="3"/>
  <c r="BA296" i="3"/>
  <c r="BA301" i="3"/>
  <c r="BA302" i="3"/>
  <c r="G115" i="3"/>
  <c r="BA116" i="3"/>
  <c r="AZ116" i="3" s="1"/>
  <c r="BA121" i="3"/>
  <c r="BL121" i="3"/>
  <c r="BA125" i="3"/>
  <c r="G128" i="3"/>
  <c r="BA315" i="3"/>
  <c r="AZ315" i="3" s="1"/>
  <c r="BA333" i="3"/>
  <c r="BL346" i="3"/>
  <c r="AZ346" i="3" s="1"/>
  <c r="BA384" i="3"/>
  <c r="AZ384" i="3" s="1"/>
  <c r="BA395" i="3"/>
  <c r="AZ395" i="3" s="1"/>
  <c r="BA208" i="3"/>
  <c r="AZ208" i="3" s="1"/>
  <c r="BA211" i="3"/>
  <c r="AZ211" i="3" s="1"/>
  <c r="BL213" i="3"/>
  <c r="BL215" i="3"/>
  <c r="BA222" i="3"/>
  <c r="AZ222" i="3" s="1"/>
  <c r="BA134" i="3"/>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L233" i="3"/>
  <c r="AZ233" i="3" s="1"/>
  <c r="BL235" i="3"/>
  <c r="AZ235" i="3" s="1"/>
  <c r="BL236" i="3"/>
  <c r="BL238" i="3"/>
  <c r="BL243" i="3"/>
  <c r="BA247" i="3"/>
  <c r="BL247" i="3"/>
  <c r="BA249" i="3"/>
  <c r="BL249" i="3"/>
  <c r="BA251" i="3"/>
  <c r="BL251" i="3"/>
  <c r="BA253" i="3"/>
  <c r="BL260" i="3"/>
  <c r="G262" i="3"/>
  <c r="BL263" i="3"/>
  <c r="G264" i="3"/>
  <c r="BL270" i="3"/>
  <c r="AZ270" i="3" s="1"/>
  <c r="BA272" i="3"/>
  <c r="AZ272" i="3" s="1"/>
  <c r="BL275" i="3"/>
  <c r="G277" i="3"/>
  <c r="G280" i="3"/>
  <c r="G282" i="3"/>
  <c r="BL285" i="3"/>
  <c r="BL287" i="3"/>
  <c r="BA290" i="3"/>
  <c r="AZ290" i="3" s="1"/>
  <c r="G297" i="3"/>
  <c r="BL301" i="3"/>
  <c r="BL302" i="3"/>
  <c r="BA114" i="3"/>
  <c r="BL123" i="3"/>
  <c r="AZ123" i="3" s="1"/>
  <c r="G126" i="3"/>
  <c r="AZ52"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BA68" i="3"/>
  <c r="C44" i="71"/>
  <c r="D43" i="71"/>
  <c r="C52" i="71"/>
  <c r="D51" i="71"/>
  <c r="BA130" i="3"/>
  <c r="BL130" i="3"/>
  <c r="BA137" i="3"/>
  <c r="BL138" i="3"/>
  <c r="BA140" i="3"/>
  <c r="AZ140" i="3" s="1"/>
  <c r="BA142" i="3"/>
  <c r="BL149" i="3"/>
  <c r="AZ149" i="3" s="1"/>
  <c r="BL150" i="3"/>
  <c r="AZ150" i="3" s="1"/>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G194" i="3"/>
  <c r="BL194" i="3"/>
  <c r="AZ194" i="3" s="1"/>
  <c r="BA198" i="3"/>
  <c r="AZ198" i="3" s="1"/>
  <c r="BL206" i="3"/>
  <c r="BA19" i="3"/>
  <c r="AZ19" i="3" s="1"/>
  <c r="G25" i="3"/>
  <c r="G27" i="3"/>
  <c r="BA27" i="3"/>
  <c r="G30" i="3"/>
  <c r="BL30" i="3"/>
  <c r="BL31" i="3"/>
  <c r="G37" i="3"/>
  <c r="BL40" i="3"/>
  <c r="BL41" i="3"/>
  <c r="BL45" i="3"/>
  <c r="BA48" i="3"/>
  <c r="BA49" i="3"/>
  <c r="AZ49" i="3" s="1"/>
  <c r="BA51" i="3"/>
  <c r="G55" i="3"/>
  <c r="BL56" i="3"/>
  <c r="BA58" i="3"/>
  <c r="BL59" i="3"/>
  <c r="BL60" i="3"/>
  <c r="AZ60" i="3" s="1"/>
  <c r="BA61" i="3"/>
  <c r="AZ61" i="3" s="1"/>
  <c r="BL69" i="3"/>
  <c r="AZ69" i="3" s="1"/>
  <c r="G70" i="3"/>
  <c r="BL70" i="3"/>
  <c r="AZ70" i="3" s="1"/>
  <c r="BL71" i="3"/>
  <c r="BL86" i="3"/>
  <c r="C47" i="71"/>
  <c r="D47" i="71" s="1"/>
  <c r="D46" i="7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AZ18" i="3" s="1"/>
  <c r="G21" i="3"/>
  <c r="BL21" i="3"/>
  <c r="AZ21" i="3" s="1"/>
  <c r="G23" i="3"/>
  <c r="G29" i="3"/>
  <c r="BL29" i="3"/>
  <c r="G33" i="3"/>
  <c r="G34" i="3"/>
  <c r="BA37" i="3"/>
  <c r="G39" i="3"/>
  <c r="BL39" i="3"/>
  <c r="AZ39" i="3" s="1"/>
  <c r="G43" i="3"/>
  <c r="G44" i="3"/>
  <c r="BA45" i="3"/>
  <c r="BA46" i="3"/>
  <c r="BL49" i="3"/>
  <c r="BL50" i="3"/>
  <c r="AZ50" i="3" s="1"/>
  <c r="BL51" i="3"/>
  <c r="G53" i="3"/>
  <c r="BL53" i="3"/>
  <c r="AZ53" i="3" s="1"/>
  <c r="BL64" i="3"/>
  <c r="G65" i="3"/>
  <c r="BL65" i="3"/>
  <c r="AZ65" i="3" s="1"/>
  <c r="BL66" i="3"/>
  <c r="BL67" i="3"/>
  <c r="AZ67" i="3" s="1"/>
  <c r="G69" i="3"/>
  <c r="BA72" i="3"/>
  <c r="AZ72" i="3" s="1"/>
  <c r="BA73" i="3"/>
  <c r="P65" i="71"/>
  <c r="P66" i="71"/>
  <c r="C55" i="71"/>
  <c r="D54" i="71"/>
  <c r="N67" i="71"/>
  <c r="B66" i="71"/>
  <c r="F66" i="71"/>
  <c r="Q67" i="71"/>
  <c r="V24" i="71"/>
  <c r="E23" i="71"/>
  <c r="E22" i="71" s="1"/>
  <c r="E21" i="71" s="1"/>
  <c r="E20" i="71" s="1"/>
  <c r="G72" i="3"/>
  <c r="BL73" i="3"/>
  <c r="BA74" i="3"/>
  <c r="AZ74" i="3" s="1"/>
  <c r="BA75" i="3"/>
  <c r="AZ75" i="3" s="1"/>
  <c r="G81" i="3"/>
  <c r="G85" i="3"/>
  <c r="BL85" i="3"/>
  <c r="BA86" i="3"/>
  <c r="BA87" i="3"/>
  <c r="BA91" i="3"/>
  <c r="AZ91" i="3" s="1"/>
  <c r="G96" i="3"/>
  <c r="BL97" i="3"/>
  <c r="BL101" i="3"/>
  <c r="BL102" i="3"/>
  <c r="G104" i="3"/>
  <c r="G105" i="3"/>
  <c r="BL106" i="3"/>
  <c r="BA108" i="3"/>
  <c r="AZ108" i="3" s="1"/>
  <c r="BA110" i="3"/>
  <c r="AZ110" i="3" s="1"/>
  <c r="F3" i="35"/>
  <c r="S21" i="33"/>
  <c r="S21" i="37"/>
  <c r="B77" i="43"/>
  <c r="AA18" i="35"/>
  <c r="O67" i="71"/>
  <c r="AA28" i="71"/>
  <c r="AB27" i="71"/>
  <c r="E75" i="71"/>
  <c r="E74" i="71" s="1"/>
  <c r="AB25" i="71"/>
  <c r="Y25" i="71"/>
  <c r="Z25" i="71" s="1"/>
  <c r="X38" i="71"/>
  <c r="C35" i="71"/>
  <c r="X33" i="71"/>
  <c r="AB37" i="71"/>
  <c r="AZ103" i="3"/>
  <c r="C66" i="71"/>
  <c r="AA27" i="71"/>
  <c r="AB26" i="71"/>
  <c r="S28" i="71"/>
  <c r="C83" i="71"/>
  <c r="C79" i="71"/>
  <c r="C71" i="71"/>
  <c r="C39" i="71"/>
  <c r="X25" i="71"/>
  <c r="Y28" i="71"/>
  <c r="Z28" i="71" s="1"/>
  <c r="C28" i="71"/>
  <c r="Y37" i="71"/>
  <c r="Z37" i="71" s="1"/>
  <c r="X35" i="71"/>
  <c r="AA37" i="71"/>
  <c r="Y30" i="71"/>
  <c r="Z30" i="71" s="1"/>
  <c r="X28" i="71"/>
  <c r="X32" i="71"/>
  <c r="F40" i="71"/>
  <c r="V40" i="71" s="1"/>
  <c r="AB38" i="71"/>
  <c r="AA39" i="71"/>
  <c r="F75" i="71"/>
  <c r="F74" i="71"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1" i="3"/>
  <c r="BA82" i="3"/>
  <c r="AZ82" i="3" s="1"/>
  <c r="BL83" i="3"/>
  <c r="BA90" i="3"/>
  <c r="BL94" i="3"/>
  <c r="AZ94" i="3" s="1"/>
  <c r="BA100" i="3"/>
  <c r="AZ100" i="3" s="1"/>
  <c r="BA102" i="3"/>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E19" i="71"/>
  <c r="E18" i="71" s="1"/>
  <c r="E17" i="71" s="1"/>
  <c r="E16" i="71" s="1"/>
  <c r="V20" i="71"/>
  <c r="AB17" i="33"/>
  <c r="S29" i="21"/>
  <c r="AB44" i="34"/>
  <c r="S39" i="34"/>
  <c r="AZ382" i="3"/>
  <c r="AZ321" i="3"/>
  <c r="AZ343" i="3"/>
  <c r="AZ562" i="3"/>
  <c r="AZ578" i="3"/>
  <c r="AC13" i="36"/>
  <c r="W13" i="36"/>
  <c r="AB31" i="33"/>
  <c r="U31" i="33"/>
  <c r="S15" i="34"/>
  <c r="AB33" i="35"/>
  <c r="U33" i="35"/>
  <c r="AB43" i="33"/>
  <c r="U43" i="33"/>
  <c r="AZ54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2" i="3"/>
  <c r="AZ449" i="3"/>
  <c r="AZ452" i="3"/>
  <c r="AZ456" i="3"/>
  <c r="AZ468" i="3"/>
  <c r="AZ470" i="3"/>
  <c r="W35" i="39"/>
  <c r="F27" i="34"/>
  <c r="C21" i="39"/>
  <c r="U9" i="36"/>
  <c r="H12" i="21"/>
  <c r="G526" i="3"/>
  <c r="AZ420"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8" i="3"/>
  <c r="BA479" i="3"/>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AZ285" i="3" s="1"/>
  <c r="BA287" i="3"/>
  <c r="AZ287" i="3" s="1"/>
  <c r="AZ134" i="3"/>
  <c r="AZ207" i="3"/>
  <c r="BA289" i="3"/>
  <c r="AZ289" i="3" s="1"/>
  <c r="G293" i="3"/>
  <c r="G296" i="3"/>
  <c r="BL296" i="3"/>
  <c r="AZ296" i="3" s="1"/>
  <c r="G301" i="3"/>
  <c r="G114" i="3"/>
  <c r="BL114" i="3"/>
  <c r="BL117" i="3"/>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BL202" i="3"/>
  <c r="AZ202" i="3" s="1"/>
  <c r="AZ30" i="3"/>
  <c r="BL36" i="3"/>
  <c r="AZ36" i="3" s="1"/>
  <c r="AZ40" i="3"/>
  <c r="AZ48" i="3"/>
  <c r="AZ68" i="3"/>
  <c r="AZ73" i="3"/>
  <c r="AZ106" i="3"/>
  <c r="G200" i="3"/>
  <c r="G207" i="3"/>
  <c r="BA23" i="3"/>
  <c r="AZ23" i="3" s="1"/>
  <c r="BA24" i="3"/>
  <c r="BL26" i="3"/>
  <c r="AZ26" i="3" s="1"/>
  <c r="BL32" i="3"/>
  <c r="BA34" i="3"/>
  <c r="AZ34" i="3" s="1"/>
  <c r="BA35" i="3"/>
  <c r="AZ35" i="3" s="1"/>
  <c r="BL37" i="3"/>
  <c r="BL42" i="3"/>
  <c r="BA44" i="3"/>
  <c r="AZ44" i="3" s="1"/>
  <c r="AZ56" i="3"/>
  <c r="BA206" i="3"/>
  <c r="AZ206" i="3" s="1"/>
  <c r="BL22" i="3"/>
  <c r="AZ22" i="3" s="1"/>
  <c r="BL33" i="3"/>
  <c r="AZ33" i="3" s="1"/>
  <c r="BL43" i="3"/>
  <c r="BL46" i="3"/>
  <c r="AZ46" i="3" s="1"/>
  <c r="AZ54" i="3"/>
  <c r="AZ90" i="3"/>
  <c r="AZ92" i="3"/>
  <c r="BL78" i="3"/>
  <c r="AZ78" i="3" s="1"/>
  <c r="BA83" i="3"/>
  <c r="AZ83" i="3" s="1"/>
  <c r="G91" i="3"/>
  <c r="BL95" i="3"/>
  <c r="BL98" i="3"/>
  <c r="AZ98" i="3" s="1"/>
  <c r="BL109" i="3"/>
  <c r="AZ109" i="3" s="1"/>
  <c r="AB21" i="21"/>
  <c r="AZ95" i="3"/>
  <c r="G77" i="3"/>
  <c r="BA81" i="3"/>
  <c r="AZ81" i="3" s="1"/>
  <c r="BA85" i="3"/>
  <c r="BL89" i="3"/>
  <c r="AZ89" i="3" s="1"/>
  <c r="G94" i="3"/>
  <c r="G97" i="3"/>
  <c r="G100" i="3"/>
  <c r="BA107" i="3"/>
  <c r="BA112" i="3"/>
  <c r="AC21" i="34"/>
  <c r="E27" i="71"/>
  <c r="E26" i="71" s="1"/>
  <c r="V28" i="71"/>
  <c r="BA76" i="3"/>
  <c r="BL80" i="3"/>
  <c r="AZ80" i="3" s="1"/>
  <c r="BL87" i="3"/>
  <c r="AZ87" i="3" s="1"/>
  <c r="BA93" i="3"/>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G30" i="6"/>
  <c r="G31" i="6"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S32" i="80"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M26" i="67"/>
  <c r="F38" i="67"/>
  <c r="F6" i="15"/>
  <c r="M6" i="15"/>
  <c r="L48" i="15"/>
  <c r="D7" i="73"/>
  <c r="M9" i="15"/>
  <c r="M24" i="15"/>
  <c r="M22" i="67"/>
  <c r="C76" i="15"/>
  <c r="F26" i="67"/>
  <c r="F43" i="15"/>
  <c r="F38" i="15"/>
  <c r="M28" i="67"/>
  <c r="M23" i="15"/>
  <c r="M29" i="67"/>
  <c r="M22" i="15"/>
  <c r="D9" i="69"/>
  <c r="F36" i="15"/>
  <c r="M24" i="67"/>
  <c r="M8" i="67"/>
  <c r="L47" i="67"/>
  <c r="J15" i="67"/>
  <c r="L47" i="15"/>
  <c r="F13" i="67"/>
  <c r="M26" i="15"/>
  <c r="M9" i="67"/>
  <c r="F7" i="15"/>
  <c r="F40" i="15"/>
  <c r="M28" i="15"/>
  <c r="F27" i="69"/>
  <c r="F43" i="67"/>
  <c r="C36" i="69"/>
  <c r="F26" i="15"/>
  <c r="F9" i="15"/>
  <c r="F6" i="67"/>
  <c r="F16" i="67"/>
  <c r="F37" i="15"/>
  <c r="F42" i="15"/>
  <c r="M29" i="15"/>
  <c r="F9" i="67"/>
  <c r="F40" i="67"/>
  <c r="M23" i="67"/>
  <c r="F8" i="15"/>
  <c r="F37" i="67"/>
  <c r="F42" i="67"/>
  <c r="D3" i="73"/>
  <c r="J15" i="15"/>
  <c r="F7" i="67"/>
  <c r="L48" i="67"/>
  <c r="M8" i="15"/>
  <c r="F13" i="15"/>
  <c r="D6" i="73"/>
  <c r="D5" i="73"/>
  <c r="F8" i="67"/>
  <c r="C76" i="67"/>
  <c r="F36" i="67"/>
  <c r="D4" i="73"/>
  <c r="F16" i="15"/>
  <c r="F11" i="89" l="1"/>
  <c r="M11" i="89"/>
  <c r="J10" i="89" s="1"/>
  <c r="J5" i="89" s="1"/>
  <c r="AB28" i="33"/>
  <c r="F11" i="84"/>
  <c r="M11" i="84"/>
  <c r="J10" i="84" s="1"/>
  <c r="J5" i="84" s="1"/>
  <c r="F66" i="67"/>
  <c r="AA23" i="36"/>
  <c r="S23" i="36"/>
  <c r="AC29" i="21"/>
  <c r="W29" i="21"/>
  <c r="AC24" i="36"/>
  <c r="W24" i="36"/>
  <c r="W27" i="34"/>
  <c r="AC27" i="34"/>
  <c r="S46" i="34"/>
  <c r="AA46" i="34"/>
  <c r="AA13" i="33"/>
  <c r="S13" i="33"/>
  <c r="AB28" i="34"/>
  <c r="U28" i="34"/>
  <c r="AB31" i="21"/>
  <c r="U31" i="21"/>
  <c r="AZ76" i="3"/>
  <c r="AZ112" i="3"/>
  <c r="AZ42" i="3"/>
  <c r="AZ32" i="3"/>
  <c r="AZ174" i="3"/>
  <c r="AZ117" i="3"/>
  <c r="AZ396" i="3"/>
  <c r="AZ232" i="3"/>
  <c r="AZ333" i="3"/>
  <c r="AZ130" i="3"/>
  <c r="AZ31" i="3"/>
  <c r="AZ249" i="3"/>
  <c r="AZ121" i="3"/>
  <c r="AZ271" i="3"/>
  <c r="AZ250" i="3"/>
  <c r="AZ230" i="3"/>
  <c r="AZ244" i="3"/>
  <c r="AZ239" i="3"/>
  <c r="AZ464" i="3"/>
  <c r="AZ441" i="3"/>
  <c r="S38" i="40"/>
  <c r="AZ587" i="3"/>
  <c r="J33" i="33"/>
  <c r="AC33" i="33" s="1"/>
  <c r="W38" i="33"/>
  <c r="AZ278" i="3"/>
  <c r="AA14" i="40"/>
  <c r="U23" i="36"/>
  <c r="AB23" i="36"/>
  <c r="S14" i="21"/>
  <c r="AA14" i="21"/>
  <c r="W14" i="34"/>
  <c r="AC14" i="34"/>
  <c r="AZ565" i="3"/>
  <c r="W14" i="40"/>
  <c r="AC14" i="40"/>
  <c r="S34" i="36"/>
  <c r="AA34" i="36"/>
  <c r="S13" i="36"/>
  <c r="AA13" i="36"/>
  <c r="AA28" i="21"/>
  <c r="S28" i="21"/>
  <c r="AZ93" i="3"/>
  <c r="AZ107" i="3"/>
  <c r="AZ43" i="3"/>
  <c r="AZ37" i="3"/>
  <c r="AZ114" i="3"/>
  <c r="AZ189" i="3"/>
  <c r="AZ275" i="3"/>
  <c r="AZ217" i="3"/>
  <c r="AZ416" i="3"/>
  <c r="AZ457" i="3"/>
  <c r="AZ429" i="3"/>
  <c r="J7" i="82"/>
  <c r="AZ205" i="3"/>
  <c r="W14" i="21"/>
  <c r="AC14" i="21"/>
  <c r="AB14" i="34"/>
  <c r="U14" i="34"/>
  <c r="AB34" i="36"/>
  <c r="U34" i="36"/>
  <c r="S45" i="39"/>
  <c r="AA45" i="39"/>
  <c r="S11" i="35"/>
  <c r="AA11" i="35"/>
  <c r="S30" i="34"/>
  <c r="AA30" i="34"/>
  <c r="S31" i="33"/>
  <c r="AA31" i="33"/>
  <c r="AB28" i="21"/>
  <c r="U28" i="21"/>
  <c r="AC43" i="39"/>
  <c r="W43" i="39"/>
  <c r="AZ104" i="3"/>
  <c r="AZ85" i="3"/>
  <c r="AZ24" i="3"/>
  <c r="AZ295" i="3"/>
  <c r="AZ142" i="3"/>
  <c r="AZ279" i="3"/>
  <c r="AZ266" i="3"/>
  <c r="AZ486" i="3"/>
  <c r="AZ479" i="3"/>
  <c r="U14" i="37"/>
  <c r="AZ97" i="3"/>
  <c r="AZ45" i="3"/>
  <c r="AZ29" i="3"/>
  <c r="AZ137" i="3"/>
  <c r="AZ64" i="3"/>
  <c r="AZ169" i="3"/>
  <c r="AZ423" i="3"/>
  <c r="S15" i="33"/>
  <c r="AZ402" i="3"/>
  <c r="S14" i="37"/>
  <c r="AA14" i="37"/>
  <c r="U29" i="21"/>
  <c r="AB29" i="21"/>
  <c r="AB43" i="39"/>
  <c r="U43" i="39"/>
  <c r="AC12" i="33"/>
  <c r="W12" i="33"/>
  <c r="AZ572" i="3"/>
  <c r="AB35" i="39"/>
  <c r="U35" i="39"/>
  <c r="AA24" i="36"/>
  <c r="S24" i="36"/>
  <c r="AB27" i="34"/>
  <c r="U27" i="34"/>
  <c r="U45" i="39"/>
  <c r="AB45" i="39"/>
  <c r="W11" i="35"/>
  <c r="AC11" i="35"/>
  <c r="AC13" i="33"/>
  <c r="W13" i="33"/>
  <c r="W28" i="21"/>
  <c r="AC28" i="21"/>
  <c r="S31" i="21"/>
  <c r="AA31" i="21"/>
  <c r="AB33" i="33"/>
  <c r="S33" i="33"/>
  <c r="C22" i="71"/>
  <c r="D23" i="71"/>
  <c r="AZ257" i="3"/>
  <c r="W12" i="34"/>
  <c r="AC12" i="34"/>
  <c r="E28" i="6"/>
  <c r="K14" i="1" s="1"/>
  <c r="AZ425" i="3"/>
  <c r="C31" i="12"/>
  <c r="C74" i="71"/>
  <c r="D74" i="71" s="1"/>
  <c r="D75" i="71"/>
  <c r="AZ62" i="3"/>
  <c r="AZ47" i="3"/>
  <c r="U7" i="82"/>
  <c r="AB7" i="82"/>
  <c r="B19" i="71"/>
  <c r="B18" i="71" s="1"/>
  <c r="B17" i="71" s="1"/>
  <c r="B16" i="71" s="1"/>
  <c r="S20" i="71"/>
  <c r="AZ245" i="3"/>
  <c r="AZ476" i="3"/>
  <c r="AZ437" i="3"/>
  <c r="AZ397" i="3"/>
  <c r="AA27" i="21"/>
  <c r="S27" i="21"/>
  <c r="AZ243" i="3"/>
  <c r="AZ368" i="3"/>
  <c r="AZ353" i="3"/>
  <c r="AZ277" i="3"/>
  <c r="AZ256" i="3"/>
  <c r="AZ491" i="3"/>
  <c r="AZ403" i="3"/>
  <c r="AZ415" i="3"/>
  <c r="C86" i="71"/>
  <c r="D86" i="71" s="1"/>
  <c r="D87" i="71"/>
  <c r="F7" i="82"/>
  <c r="C31" i="71"/>
  <c r="T60" i="71"/>
  <c r="D60" i="71"/>
  <c r="AZ210" i="3"/>
  <c r="AZ146" i="3"/>
  <c r="H33" i="82"/>
  <c r="J33" i="82"/>
  <c r="F33" i="82"/>
  <c r="W27" i="21"/>
  <c r="AC27" i="21"/>
  <c r="AZ238" i="3"/>
  <c r="AZ401" i="3"/>
  <c r="AZ483" i="3"/>
  <c r="AZ414" i="3"/>
  <c r="AZ432" i="3"/>
  <c r="AZ417" i="3"/>
  <c r="AC7" i="82"/>
  <c r="W7" i="82"/>
  <c r="AZ400" i="3"/>
  <c r="AB38" i="40"/>
  <c r="U38" i="40"/>
  <c r="AB36" i="33"/>
  <c r="AP6" i="1"/>
  <c r="S38" i="33"/>
  <c r="U29" i="33"/>
  <c r="AB29" i="33"/>
  <c r="S29" i="33"/>
  <c r="AA29" i="33"/>
  <c r="M6" i="1"/>
  <c r="O6" i="1" s="1"/>
  <c r="E59" i="40"/>
  <c r="N370" i="46"/>
  <c r="W33" i="33"/>
  <c r="N94" i="46"/>
  <c r="Q16" i="1"/>
  <c r="F28" i="12" s="1"/>
  <c r="C29" i="12" s="1"/>
  <c r="D28" i="12" s="1"/>
  <c r="G16" i="1"/>
  <c r="F10" i="39" s="1"/>
  <c r="J26" i="43"/>
  <c r="F30" i="6"/>
  <c r="F65" i="15"/>
  <c r="F64" i="15"/>
  <c r="Q71" i="15"/>
  <c r="C27" i="15"/>
  <c r="F51" i="15"/>
  <c r="M7" i="15"/>
  <c r="J6" i="15" s="1"/>
  <c r="J18" i="15" s="1"/>
  <c r="F50" i="15"/>
  <c r="F68" i="15"/>
  <c r="F66" i="15"/>
  <c r="J53" i="15"/>
  <c r="L56" i="15" s="1"/>
  <c r="J57" i="15"/>
  <c r="J55" i="15" s="1"/>
  <c r="J58" i="15" s="1"/>
  <c r="Q50" i="15" s="1"/>
  <c r="I54" i="15"/>
  <c r="F31" i="15"/>
  <c r="C6" i="15"/>
  <c r="F71" i="15"/>
  <c r="L59" i="15"/>
  <c r="Q61" i="15" s="1"/>
  <c r="N59" i="15"/>
  <c r="M59" i="15"/>
  <c r="L58" i="15"/>
  <c r="Q73" i="15" s="1"/>
  <c r="H16" i="1"/>
  <c r="F26" i="43"/>
  <c r="E26" i="43"/>
  <c r="H26" i="43"/>
  <c r="K16" i="1"/>
  <c r="P6" i="1"/>
  <c r="C13" i="12" s="1"/>
  <c r="J53" i="67"/>
  <c r="Q52" i="67" s="1"/>
  <c r="L56" i="67"/>
  <c r="I54" i="67"/>
  <c r="J57" i="67"/>
  <c r="J55" i="67" s="1"/>
  <c r="J58" i="67" s="1"/>
  <c r="Q50" i="67" s="1"/>
  <c r="F68" i="67"/>
  <c r="N59" i="67"/>
  <c r="L59" i="67"/>
  <c r="Q61" i="67" s="1"/>
  <c r="L58" i="67"/>
  <c r="Q73" i="67" s="1"/>
  <c r="M59" i="67"/>
  <c r="C27" i="67"/>
  <c r="F71" i="67"/>
  <c r="F65" i="67"/>
  <c r="M7" i="67"/>
  <c r="J6" i="67" s="1"/>
  <c r="J18" i="67" s="1"/>
  <c r="F50" i="67"/>
  <c r="C6" i="67"/>
  <c r="C32" i="67" s="1"/>
  <c r="F31" i="67"/>
  <c r="Q71" i="67"/>
  <c r="F51" i="67"/>
  <c r="F64" i="67"/>
  <c r="C40" i="71"/>
  <c r="D39" i="71"/>
  <c r="AZ58" i="3"/>
  <c r="AZ301" i="3"/>
  <c r="AZ404" i="3"/>
  <c r="AZ550" i="3"/>
  <c r="AZ398" i="3"/>
  <c r="AZ471" i="3"/>
  <c r="AB24" i="36"/>
  <c r="U24" i="36"/>
  <c r="AC38" i="40"/>
  <c r="W38" i="40"/>
  <c r="AZ585" i="3"/>
  <c r="T28" i="71"/>
  <c r="D28" i="71"/>
  <c r="U28" i="71" s="1"/>
  <c r="C27" i="71"/>
  <c r="C70" i="71"/>
  <c r="D70" i="71" s="1"/>
  <c r="D71" i="71"/>
  <c r="T52" i="71"/>
  <c r="D52" i="71"/>
  <c r="AZ27" i="3"/>
  <c r="AZ5" i="3" s="1"/>
  <c r="AY6" i="3" s="1"/>
  <c r="AZ118" i="3"/>
  <c r="AZ251" i="3"/>
  <c r="AZ247" i="3"/>
  <c r="AC9" i="36"/>
  <c r="W9" i="36"/>
  <c r="AA44" i="39"/>
  <c r="S44" i="39"/>
  <c r="W44" i="39"/>
  <c r="AC44" i="39"/>
  <c r="S26" i="33"/>
  <c r="AA26" i="33"/>
  <c r="AA45" i="21"/>
  <c r="S45" i="21"/>
  <c r="AB9" i="33"/>
  <c r="U9" i="33"/>
  <c r="J7" i="36"/>
  <c r="AZ102" i="3"/>
  <c r="D79" i="71"/>
  <c r="C78" i="71"/>
  <c r="D78" i="71" s="1"/>
  <c r="C56" i="71"/>
  <c r="D55" i="71"/>
  <c r="AZ197" i="3"/>
  <c r="AZ218" i="3"/>
  <c r="AZ125" i="3"/>
  <c r="AZ274" i="3"/>
  <c r="AZ223" i="3"/>
  <c r="AZ126" i="3"/>
  <c r="AZ297" i="3"/>
  <c r="AZ241" i="3"/>
  <c r="AZ418" i="3"/>
  <c r="AZ428" i="3"/>
  <c r="U23" i="35"/>
  <c r="AB23" i="35"/>
  <c r="W12" i="36"/>
  <c r="AC12" i="36"/>
  <c r="AA25" i="37"/>
  <c r="S25" i="37"/>
  <c r="AA33" i="36"/>
  <c r="S33" i="36"/>
  <c r="W45" i="21"/>
  <c r="AC45" i="21"/>
  <c r="J7" i="37"/>
  <c r="G5" i="3"/>
  <c r="B3" i="3" s="1"/>
  <c r="E536" i="3" s="1"/>
  <c r="D83" i="71"/>
  <c r="C82" i="71"/>
  <c r="D82" i="71" s="1"/>
  <c r="O65" i="71"/>
  <c r="D66" i="71"/>
  <c r="O66" i="71"/>
  <c r="C36" i="71"/>
  <c r="D35" i="71"/>
  <c r="AZ86" i="3"/>
  <c r="N65" i="71"/>
  <c r="N66" i="71"/>
  <c r="AZ51" i="3"/>
  <c r="D44" i="71"/>
  <c r="T44" i="71"/>
  <c r="AZ41" i="3"/>
  <c r="AZ302" i="3"/>
  <c r="AZ263" i="3"/>
  <c r="AZ453" i="3"/>
  <c r="W12" i="35"/>
  <c r="AC12" i="35"/>
  <c r="U25" i="37"/>
  <c r="AB25" i="37"/>
  <c r="AC9" i="33"/>
  <c r="W9" i="33"/>
  <c r="K1" i="73"/>
  <c r="E304" i="3"/>
  <c r="E586" i="3"/>
  <c r="E277" i="3"/>
  <c r="E509" i="3"/>
  <c r="E335" i="3"/>
  <c r="AA26" i="37"/>
  <c r="S26" i="37"/>
  <c r="BA5" i="3"/>
  <c r="E27" i="6" s="1"/>
  <c r="K26" i="6" s="1"/>
  <c r="M26" i="6" s="1"/>
  <c r="I26" i="6" s="1"/>
  <c r="S26" i="6" s="1"/>
  <c r="E240" i="3"/>
  <c r="W40" i="40"/>
  <c r="AC40" i="40"/>
  <c r="AC12" i="21"/>
  <c r="W12" i="21"/>
  <c r="AB12" i="21"/>
  <c r="U12" i="21"/>
  <c r="AA27" i="34"/>
  <c r="S27" i="34"/>
  <c r="AC26" i="37"/>
  <c r="W26" i="37"/>
  <c r="BL5" i="3"/>
  <c r="B15" i="71"/>
  <c r="B14" i="71" s="1"/>
  <c r="B13" i="71" s="1"/>
  <c r="B12" i="71" s="1"/>
  <c r="S16" i="71"/>
  <c r="F7" i="36"/>
  <c r="AA7" i="36" s="1"/>
  <c r="R36" i="36" s="1"/>
  <c r="H7" i="36"/>
  <c r="U7" i="36" s="1"/>
  <c r="E369"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S10" i="39"/>
  <c r="AA10" i="39"/>
  <c r="H7" i="33"/>
  <c r="J7" i="33"/>
  <c r="D65" i="40"/>
  <c r="E63" i="40"/>
  <c r="F48" i="35"/>
  <c r="AC7" i="37"/>
  <c r="W7" i="37"/>
  <c r="AB7" i="36"/>
  <c r="T36" i="36" s="1"/>
  <c r="G36" i="36" s="1"/>
  <c r="F7" i="33"/>
  <c r="E58" i="21"/>
  <c r="AC7" i="36"/>
  <c r="V36" i="36" s="1"/>
  <c r="I36" i="36" s="1"/>
  <c r="W7" i="36"/>
  <c r="F7" i="37"/>
  <c r="P28" i="43"/>
  <c r="B66" i="40" s="1"/>
  <c r="P25" i="43"/>
  <c r="P29" i="43"/>
  <c r="P27" i="43"/>
  <c r="B70" i="39" s="1"/>
  <c r="M11" i="67"/>
  <c r="J10" i="67" s="1"/>
  <c r="F11" i="15"/>
  <c r="M11" i="15"/>
  <c r="J10" i="15" s="1"/>
  <c r="F11" i="67"/>
  <c r="C32" i="15"/>
  <c r="AE11" i="1"/>
  <c r="AE9" i="1"/>
  <c r="AE12" i="1"/>
  <c r="AE10" i="1"/>
  <c r="AE7" i="1"/>
  <c r="C16" i="15"/>
  <c r="C16" i="67"/>
  <c r="AE8" i="1"/>
  <c r="F41" i="89" s="1"/>
  <c r="G1" i="73"/>
  <c r="F69" i="89" l="1"/>
  <c r="J26" i="89"/>
  <c r="J29" i="89" s="1"/>
  <c r="J24" i="89"/>
  <c r="C53" i="89"/>
  <c r="C48" i="89" s="1"/>
  <c r="C10" i="89"/>
  <c r="C5" i="89" s="1"/>
  <c r="J26" i="84"/>
  <c r="J24" i="84"/>
  <c r="C53" i="84"/>
  <c r="C48" i="84" s="1"/>
  <c r="C10" i="84"/>
  <c r="C5" i="84" s="1"/>
  <c r="E483" i="3"/>
  <c r="E557" i="3"/>
  <c r="E270" i="3"/>
  <c r="E100" i="3"/>
  <c r="E74" i="3"/>
  <c r="E44" i="3"/>
  <c r="S7" i="36"/>
  <c r="E94" i="3"/>
  <c r="E487" i="3"/>
  <c r="E563" i="3"/>
  <c r="E70" i="3"/>
  <c r="E133" i="3"/>
  <c r="E380" i="3"/>
  <c r="E457" i="3"/>
  <c r="AC33" i="82"/>
  <c r="W33" i="82"/>
  <c r="E117" i="3"/>
  <c r="AB33" i="82"/>
  <c r="T48" i="82" s="1"/>
  <c r="G48" i="82" s="1"/>
  <c r="U33" i="82"/>
  <c r="V48" i="82"/>
  <c r="I48" i="82" s="1"/>
  <c r="I52" i="82" s="1"/>
  <c r="J52" i="82" s="1"/>
  <c r="C32" i="71"/>
  <c r="D31" i="71"/>
  <c r="E139" i="3"/>
  <c r="E118" i="3"/>
  <c r="E385" i="3"/>
  <c r="AJ6" i="3"/>
  <c r="E146" i="3"/>
  <c r="E91" i="3"/>
  <c r="E162" i="3"/>
  <c r="E542" i="3"/>
  <c r="AA33" i="82"/>
  <c r="S33" i="82"/>
  <c r="S7" i="82"/>
  <c r="AA7" i="82"/>
  <c r="D22" i="71"/>
  <c r="C21" i="71"/>
  <c r="F27" i="68"/>
  <c r="C29" i="68" s="1"/>
  <c r="D27" i="68" s="1"/>
  <c r="F27" i="11"/>
  <c r="C29" i="11" s="1"/>
  <c r="D27" i="11" s="1"/>
  <c r="E296" i="3"/>
  <c r="E135" i="3"/>
  <c r="AB6" i="3"/>
  <c r="E217" i="3"/>
  <c r="Z6" i="3"/>
  <c r="E106" i="3"/>
  <c r="E181" i="3"/>
  <c r="E528" i="3"/>
  <c r="E143" i="3"/>
  <c r="E505" i="3"/>
  <c r="E229" i="3"/>
  <c r="E15" i="3"/>
  <c r="E142" i="3"/>
  <c r="E200" i="3"/>
  <c r="E161" i="3"/>
  <c r="E311" i="3"/>
  <c r="E182" i="3"/>
  <c r="E204" i="3"/>
  <c r="E587" i="3"/>
  <c r="E124" i="3"/>
  <c r="E261" i="3"/>
  <c r="E388" i="3"/>
  <c r="E111" i="3"/>
  <c r="E177" i="3"/>
  <c r="J5" i="15"/>
  <c r="J24" i="15" s="1"/>
  <c r="M17" i="15"/>
  <c r="Q52" i="15"/>
  <c r="C49" i="15"/>
  <c r="Q60" i="15"/>
  <c r="Q74" i="15"/>
  <c r="F59" i="15"/>
  <c r="E378" i="3"/>
  <c r="E248" i="3"/>
  <c r="E131" i="3"/>
  <c r="E132" i="3"/>
  <c r="AI6" i="3"/>
  <c r="E278" i="3"/>
  <c r="E201" i="3"/>
  <c r="E572" i="3"/>
  <c r="E345" i="3"/>
  <c r="E362" i="3"/>
  <c r="E406" i="3"/>
  <c r="E568" i="3"/>
  <c r="E180" i="3"/>
  <c r="E538" i="3"/>
  <c r="E508" i="3"/>
  <c r="E107" i="3"/>
  <c r="E193" i="3"/>
  <c r="E121" i="3"/>
  <c r="E317" i="3"/>
  <c r="E31" i="3"/>
  <c r="E85" i="3"/>
  <c r="E580" i="3"/>
  <c r="E537" i="3"/>
  <c r="E242" i="3"/>
  <c r="E119" i="3"/>
  <c r="X6" i="3"/>
  <c r="E423" i="3"/>
  <c r="E535" i="3"/>
  <c r="E189" i="3"/>
  <c r="M6" i="3"/>
  <c r="E247" i="3"/>
  <c r="E268" i="3"/>
  <c r="E377" i="3"/>
  <c r="E28" i="3"/>
  <c r="E485" i="3"/>
  <c r="E89" i="3"/>
  <c r="E315" i="3"/>
  <c r="E468" i="3"/>
  <c r="E472" i="3"/>
  <c r="E228" i="3"/>
  <c r="E347" i="3"/>
  <c r="E350" i="3"/>
  <c r="E503" i="3"/>
  <c r="E216" i="3"/>
  <c r="E561" i="3"/>
  <c r="E337" i="3"/>
  <c r="E343" i="3"/>
  <c r="E384" i="3"/>
  <c r="E27" i="3"/>
  <c r="E414" i="3"/>
  <c r="E271" i="3"/>
  <c r="E318" i="3"/>
  <c r="E433" i="3"/>
  <c r="E527" i="3"/>
  <c r="E45" i="3"/>
  <c r="E583" i="3"/>
  <c r="E415" i="3"/>
  <c r="E239" i="3"/>
  <c r="E581" i="3"/>
  <c r="E203" i="3"/>
  <c r="E434" i="3"/>
  <c r="E418" i="3"/>
  <c r="E403" i="3"/>
  <c r="E157" i="3"/>
  <c r="E149" i="3"/>
  <c r="E494" i="3"/>
  <c r="E219" i="3"/>
  <c r="E275" i="3"/>
  <c r="E148" i="3"/>
  <c r="E246" i="3"/>
  <c r="E263" i="3"/>
  <c r="E172" i="3"/>
  <c r="E215" i="3"/>
  <c r="E570" i="3"/>
  <c r="E579" i="3"/>
  <c r="E526" i="3"/>
  <c r="E273" i="3"/>
  <c r="E531" i="3"/>
  <c r="AO6" i="3"/>
  <c r="E368" i="3"/>
  <c r="E171" i="3"/>
  <c r="E577" i="3"/>
  <c r="E560" i="3"/>
  <c r="E545" i="3"/>
  <c r="E399" i="3"/>
  <c r="E301" i="3"/>
  <c r="E183" i="3"/>
  <c r="E231" i="3"/>
  <c r="AR6" i="3"/>
  <c r="E555" i="3"/>
  <c r="E530" i="3"/>
  <c r="E331" i="3"/>
  <c r="E476" i="3"/>
  <c r="E478" i="3"/>
  <c r="E269" i="3"/>
  <c r="E279" i="3"/>
  <c r="E450" i="3"/>
  <c r="E458" i="3"/>
  <c r="E511" i="3"/>
  <c r="E336" i="3"/>
  <c r="E294" i="3"/>
  <c r="E366" i="3"/>
  <c r="E448" i="3"/>
  <c r="E429" i="3"/>
  <c r="AN6" i="3"/>
  <c r="E97" i="3"/>
  <c r="U6" i="3"/>
  <c r="E504" i="3"/>
  <c r="E250" i="3"/>
  <c r="E175" i="3"/>
  <c r="E186" i="3"/>
  <c r="AS6" i="3"/>
  <c r="E515" i="3"/>
  <c r="E567" i="3"/>
  <c r="E150" i="3"/>
  <c r="E571" i="3"/>
  <c r="E519" i="3"/>
  <c r="E314" i="3"/>
  <c r="E382" i="3"/>
  <c r="E551" i="3"/>
  <c r="E334" i="3"/>
  <c r="E252" i="3"/>
  <c r="E481" i="3"/>
  <c r="E221" i="3"/>
  <c r="E328" i="3"/>
  <c r="E357" i="3"/>
  <c r="E459" i="3"/>
  <c r="E524" i="3"/>
  <c r="E578" i="3"/>
  <c r="E290" i="3"/>
  <c r="E395" i="3"/>
  <c r="E230" i="3"/>
  <c r="V6" i="3"/>
  <c r="E151" i="3"/>
  <c r="E516" i="3"/>
  <c r="E553" i="3"/>
  <c r="E30" i="3"/>
  <c r="E166" i="3"/>
  <c r="E444" i="3"/>
  <c r="P6" i="3"/>
  <c r="E164" i="3"/>
  <c r="E32" i="3"/>
  <c r="E256" i="3"/>
  <c r="E496" i="3"/>
  <c r="E424" i="3"/>
  <c r="E330" i="3"/>
  <c r="E128" i="3"/>
  <c r="E280" i="3"/>
  <c r="E254" i="3"/>
  <c r="E565" i="3"/>
  <c r="E321" i="3"/>
  <c r="E390" i="3"/>
  <c r="O6" i="3"/>
  <c r="E53" i="3"/>
  <c r="E71" i="3"/>
  <c r="E411" i="3"/>
  <c r="E93" i="3"/>
  <c r="E471" i="3"/>
  <c r="E532" i="3"/>
  <c r="E82" i="3"/>
  <c r="E488" i="3"/>
  <c r="E39" i="3"/>
  <c r="E375" i="3"/>
  <c r="E500" i="3"/>
  <c r="E552" i="3"/>
  <c r="E234" i="3"/>
  <c r="E452" i="3"/>
  <c r="D26" i="43"/>
  <c r="C25" i="43" s="1"/>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156" i="3"/>
  <c r="E402" i="3"/>
  <c r="E302" i="3"/>
  <c r="E169" i="3"/>
  <c r="E506" i="3"/>
  <c r="E285" i="3"/>
  <c r="E501" i="3"/>
  <c r="E291" i="3"/>
  <c r="E547" i="3"/>
  <c r="E207" i="3"/>
  <c r="E208" i="3"/>
  <c r="W6" i="3"/>
  <c r="E352" i="3"/>
  <c r="E413" i="3"/>
  <c r="Y6" i="3"/>
  <c r="E266" i="3"/>
  <c r="E284" i="3"/>
  <c r="E24" i="3"/>
  <c r="E147" i="3"/>
  <c r="AH6" i="3"/>
  <c r="E491" i="3"/>
  <c r="E253" i="3"/>
  <c r="E518" i="3"/>
  <c r="E61" i="3"/>
  <c r="E260" i="3"/>
  <c r="E130" i="3"/>
  <c r="E407" i="3"/>
  <c r="E358" i="3"/>
  <c r="E569" i="3"/>
  <c r="E282" i="3"/>
  <c r="E480" i="3"/>
  <c r="E295" i="3"/>
  <c r="E404" i="3"/>
  <c r="E443" i="3"/>
  <c r="E576" i="3"/>
  <c r="I6" i="3"/>
  <c r="E274" i="3"/>
  <c r="E55" i="3"/>
  <c r="E344" i="3"/>
  <c r="Q6" i="3"/>
  <c r="E262" i="3"/>
  <c r="AA6" i="3"/>
  <c r="E303" i="3"/>
  <c r="E213" i="3"/>
  <c r="E298" i="3"/>
  <c r="E523" i="3"/>
  <c r="E574" i="3"/>
  <c r="E319" i="3"/>
  <c r="E126" i="3"/>
  <c r="E548" i="3"/>
  <c r="E196" i="3"/>
  <c r="E168" i="3"/>
  <c r="E529" i="3"/>
  <c r="E122" i="3"/>
  <c r="E167" i="3"/>
  <c r="E462" i="3"/>
  <c r="E47" i="3"/>
  <c r="E138" i="3"/>
  <c r="E460" i="3"/>
  <c r="E123" i="3"/>
  <c r="E105" i="3"/>
  <c r="F1" i="15"/>
  <c r="E238" i="3"/>
  <c r="E353" i="3"/>
  <c r="E159" i="3"/>
  <c r="E17" i="3"/>
  <c r="E237" i="3"/>
  <c r="E338" i="3"/>
  <c r="S6" i="3"/>
  <c r="E359" i="3"/>
  <c r="E426" i="3"/>
  <c r="AM6" i="3"/>
  <c r="E92" i="3"/>
  <c r="E367" i="3"/>
  <c r="E145" i="3"/>
  <c r="E14" i="3"/>
  <c r="E54" i="3"/>
  <c r="E438" i="3"/>
  <c r="E306" i="3"/>
  <c r="E307" i="3"/>
  <c r="E195" i="3"/>
  <c r="E66" i="3"/>
  <c r="E373" i="3"/>
  <c r="E464" i="3"/>
  <c r="E520" i="3"/>
  <c r="E521" i="3"/>
  <c r="E62" i="3"/>
  <c r="E137" i="3"/>
  <c r="E80" i="3"/>
  <c r="F1" i="67"/>
  <c r="J5" i="67"/>
  <c r="J24" i="67" s="1"/>
  <c r="C49" i="67"/>
  <c r="M17" i="67"/>
  <c r="F59" i="67"/>
  <c r="E153" i="3"/>
  <c r="E29" i="3"/>
  <c r="E272" i="3"/>
  <c r="E546" i="3"/>
  <c r="E432" i="3"/>
  <c r="E379" i="3"/>
  <c r="E397" i="3"/>
  <c r="E257" i="3"/>
  <c r="E475" i="3"/>
  <c r="E288" i="3"/>
  <c r="E313" i="3"/>
  <c r="E461" i="3"/>
  <c r="E98" i="3"/>
  <c r="E154" i="3"/>
  <c r="E179" i="3"/>
  <c r="E259" i="3"/>
  <c r="E341" i="3"/>
  <c r="E582" i="3"/>
  <c r="E48" i="3"/>
  <c r="E312" i="3"/>
  <c r="E90" i="3"/>
  <c r="E365" i="3"/>
  <c r="AQ6" i="3"/>
  <c r="E202" i="3"/>
  <c r="E356" i="3"/>
  <c r="E226" i="3"/>
  <c r="E493" i="3"/>
  <c r="E428" i="3"/>
  <c r="E22" i="3"/>
  <c r="E474" i="3"/>
  <c r="E224" i="3"/>
  <c r="E136" i="3"/>
  <c r="E127" i="3"/>
  <c r="E187" i="3"/>
  <c r="E87" i="3"/>
  <c r="AD6" i="3"/>
  <c r="E163" i="3"/>
  <c r="E374" i="3"/>
  <c r="E584" i="3"/>
  <c r="E297" i="3"/>
  <c r="E19" i="3"/>
  <c r="E446" i="3"/>
  <c r="E244" i="3"/>
  <c r="E58" i="3"/>
  <c r="E141" i="3"/>
  <c r="E50" i="3"/>
  <c r="E392" i="3"/>
  <c r="E473" i="3"/>
  <c r="E376" i="3"/>
  <c r="E370" i="3"/>
  <c r="E497" i="3"/>
  <c r="E436" i="3"/>
  <c r="E323" i="3"/>
  <c r="E354" i="3"/>
  <c r="E110" i="3"/>
  <c r="E416" i="3"/>
  <c r="E222" i="3"/>
  <c r="E386" i="3"/>
  <c r="E348" i="3"/>
  <c r="E566" i="3"/>
  <c r="E165" i="3"/>
  <c r="E218" i="3"/>
  <c r="E364" i="3"/>
  <c r="E112" i="3"/>
  <c r="E339" i="3"/>
  <c r="E170" i="3"/>
  <c r="L6" i="3"/>
  <c r="E40" i="3"/>
  <c r="E507" i="3"/>
  <c r="E16" i="3"/>
  <c r="E342" i="3"/>
  <c r="E41" i="3"/>
  <c r="E512" i="3"/>
  <c r="AF6" i="3"/>
  <c r="E184" i="3"/>
  <c r="E286" i="3"/>
  <c r="E209" i="3"/>
  <c r="E57" i="3"/>
  <c r="E421" i="3"/>
  <c r="E51" i="3"/>
  <c r="E65" i="3"/>
  <c r="E155" i="3"/>
  <c r="E398" i="3"/>
  <c r="E101" i="3"/>
  <c r="E176" i="3"/>
  <c r="E340" i="3"/>
  <c r="E52" i="3"/>
  <c r="E299" i="3"/>
  <c r="E38" i="3"/>
  <c r="E372" i="3"/>
  <c r="E401" i="3"/>
  <c r="E486" i="3"/>
  <c r="E329" i="3"/>
  <c r="E220" i="3"/>
  <c r="E104" i="3"/>
  <c r="E405" i="3"/>
  <c r="E86" i="3"/>
  <c r="E84" i="3"/>
  <c r="E197" i="3"/>
  <c r="E391" i="3"/>
  <c r="E59" i="3"/>
  <c r="E265" i="3"/>
  <c r="E20" i="3"/>
  <c r="E289" i="3"/>
  <c r="E36" i="3"/>
  <c r="E325" i="3"/>
  <c r="E194" i="3"/>
  <c r="E79" i="3"/>
  <c r="E540" i="3"/>
  <c r="E333" i="3"/>
  <c r="E108" i="3"/>
  <c r="E419" i="3"/>
  <c r="E490" i="3"/>
  <c r="E543" i="3"/>
  <c r="E116" i="3"/>
  <c r="E83" i="3"/>
  <c r="E49" i="3"/>
  <c r="E190" i="3"/>
  <c r="E243" i="3"/>
  <c r="E420" i="3"/>
  <c r="E556" i="3"/>
  <c r="T6" i="3"/>
  <c r="E308" i="3"/>
  <c r="E174" i="3"/>
  <c r="E283" i="3"/>
  <c r="E371" i="3"/>
  <c r="E349" i="3"/>
  <c r="AP6" i="3"/>
  <c r="E539" i="3"/>
  <c r="E3" i="6"/>
  <c r="E455" i="3"/>
  <c r="E43" i="3"/>
  <c r="E276" i="3"/>
  <c r="E25" i="3"/>
  <c r="E498" i="3"/>
  <c r="E422" i="3"/>
  <c r="E564" i="3"/>
  <c r="E223" i="3"/>
  <c r="E158" i="3"/>
  <c r="E35" i="3"/>
  <c r="E78" i="3"/>
  <c r="E115" i="3"/>
  <c r="E470" i="3"/>
  <c r="E408" i="3"/>
  <c r="E173" i="3"/>
  <c r="E102" i="3"/>
  <c r="E482" i="3"/>
  <c r="E68" i="3"/>
  <c r="E160" i="3"/>
  <c r="E258" i="3"/>
  <c r="E430" i="3"/>
  <c r="E467" i="3"/>
  <c r="E37" i="3"/>
  <c r="E502" i="3"/>
  <c r="Q74" i="67"/>
  <c r="Q60" i="67"/>
  <c r="C26" i="71"/>
  <c r="D26" i="71" s="1"/>
  <c r="D27" i="71"/>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 i="3"/>
  <c r="E235" i="3"/>
  <c r="E18" i="3"/>
  <c r="AL6" i="3"/>
  <c r="E198" i="3"/>
  <c r="E309" i="3"/>
  <c r="E63" i="3"/>
  <c r="E233" i="3"/>
  <c r="E67" i="3"/>
  <c r="E310" i="3"/>
  <c r="E267" i="3"/>
  <c r="E64" i="3"/>
  <c r="E409" i="3"/>
  <c r="E389" i="3"/>
  <c r="E241" i="3"/>
  <c r="E95" i="3"/>
  <c r="E417" i="3"/>
  <c r="E554" i="3"/>
  <c r="E449" i="3"/>
  <c r="E442" i="3"/>
  <c r="E575" i="3"/>
  <c r="D56" i="71"/>
  <c r="T56" i="71"/>
  <c r="T40" i="71"/>
  <c r="D40" i="71"/>
  <c r="B40" i="1"/>
  <c r="F24" i="89"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6" i="1"/>
  <c r="F41" i="84" s="1"/>
  <c r="M27" i="67"/>
  <c r="F41" i="15"/>
  <c r="M27" i="15"/>
  <c r="C24" i="89" l="1"/>
  <c r="C23" i="89"/>
  <c r="C29" i="89" s="1"/>
  <c r="C38" i="89"/>
  <c r="C66" i="89"/>
  <c r="F69" i="84"/>
  <c r="C66" i="84"/>
  <c r="L36" i="43"/>
  <c r="L37" i="43" s="1"/>
  <c r="M37" i="43" s="1"/>
  <c r="F24" i="84"/>
  <c r="J29" i="84"/>
  <c r="C38" i="84"/>
  <c r="G52" i="82"/>
  <c r="H52" i="82" s="1"/>
  <c r="G53" i="82"/>
  <c r="H53" i="82" s="1"/>
  <c r="D21" i="71"/>
  <c r="C20" i="71"/>
  <c r="T32" i="71"/>
  <c r="D32" i="71"/>
  <c r="H6" i="3"/>
  <c r="R48" i="82"/>
  <c r="C47" i="68"/>
  <c r="D45" i="68" s="1"/>
  <c r="F45" i="68"/>
  <c r="C48" i="15"/>
  <c r="C66" i="15" s="1"/>
  <c r="C48" i="67"/>
  <c r="C66" i="67" s="1"/>
  <c r="V2" i="43"/>
  <c r="C6" i="69"/>
  <c r="C7" i="69" s="1"/>
  <c r="AC6" i="3"/>
  <c r="E6" i="3" s="1"/>
  <c r="D116" i="43"/>
  <c r="F24" i="67"/>
  <c r="C24" i="67" s="1"/>
  <c r="F22" i="11"/>
  <c r="C44" i="11" s="1"/>
  <c r="D41" i="11" s="1"/>
  <c r="F24" i="15"/>
  <c r="C24" i="15" s="1"/>
  <c r="F22" i="69"/>
  <c r="F41" i="69" s="1"/>
  <c r="F22" i="68"/>
  <c r="C26" i="68" s="1"/>
  <c r="D22" i="68" s="1"/>
  <c r="F25" i="12"/>
  <c r="C26" i="12" s="1"/>
  <c r="D25" i="12"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7" i="15"/>
  <c r="D10" i="69"/>
  <c r="C34" i="69"/>
  <c r="C17" i="67"/>
  <c r="C14" i="67"/>
  <c r="F41" i="67"/>
  <c r="Q49" i="89" l="1"/>
  <c r="C36" i="89"/>
  <c r="J14" i="89"/>
  <c r="C13" i="89"/>
  <c r="C57" i="89"/>
  <c r="C64" i="89" s="1"/>
  <c r="J59" i="89"/>
  <c r="J60" i="89" s="1"/>
  <c r="N37" i="43"/>
  <c r="P37" i="43"/>
  <c r="Q36" i="43"/>
  <c r="O37" i="43"/>
  <c r="P36" i="43"/>
  <c r="O36" i="43"/>
  <c r="Q37" i="43"/>
  <c r="M36" i="43"/>
  <c r="N36" i="43"/>
  <c r="C24" i="84"/>
  <c r="C23" i="84"/>
  <c r="R49" i="82"/>
  <c r="E48" i="82"/>
  <c r="D20" i="71"/>
  <c r="U20" i="71" s="1"/>
  <c r="C19" i="71"/>
  <c r="T20" i="71"/>
  <c r="F69" i="67"/>
  <c r="H21" i="6"/>
  <c r="C23" i="68"/>
  <c r="H25" i="6"/>
  <c r="C25" i="11"/>
  <c r="C23" i="11"/>
  <c r="C24" i="11"/>
  <c r="C26" i="11"/>
  <c r="D22" i="11" s="1"/>
  <c r="C44" i="69"/>
  <c r="D41" i="69" s="1"/>
  <c r="C26" i="69"/>
  <c r="D22" i="69" s="1"/>
  <c r="C44" i="68"/>
  <c r="D41" i="68" s="1"/>
  <c r="F41" i="68"/>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9"/>
  <c r="M21" i="89"/>
  <c r="B6" i="76"/>
  <c r="E6" i="76"/>
  <c r="C14" i="15"/>
  <c r="J20" i="89" l="1"/>
  <c r="F63" i="89"/>
  <c r="C56" i="89"/>
  <c r="C65" i="89" s="1"/>
  <c r="C58" i="89" s="1"/>
  <c r="C67" i="89" s="1"/>
  <c r="C68" i="89" s="1"/>
  <c r="C37" i="89"/>
  <c r="C75" i="89"/>
  <c r="Q70" i="89"/>
  <c r="J22" i="89"/>
  <c r="J16" i="89" s="1"/>
  <c r="J25" i="89" s="1"/>
  <c r="J13" i="89"/>
  <c r="J23" i="89" s="1"/>
  <c r="Q48" i="89"/>
  <c r="L46" i="89"/>
  <c r="C30" i="89"/>
  <c r="C39" i="89" s="1"/>
  <c r="C29" i="84"/>
  <c r="J14" i="84" s="1"/>
  <c r="D19" i="71"/>
  <c r="C18" i="71"/>
  <c r="I53" i="82"/>
  <c r="J53" i="82" s="1"/>
  <c r="E52" i="82"/>
  <c r="F52" i="82" s="1"/>
  <c r="E53" i="82"/>
  <c r="F53" i="82" s="1"/>
  <c r="C49" i="82"/>
  <c r="C48" i="82"/>
  <c r="E2" i="70"/>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59" i="84" l="1"/>
  <c r="J60" i="84" s="1"/>
  <c r="C71" i="89"/>
  <c r="C40" i="89"/>
  <c r="C45" i="89" s="1"/>
  <c r="C46" i="89" s="1"/>
  <c r="Q69" i="89"/>
  <c r="Q68" i="89" s="1"/>
  <c r="H39" i="89"/>
  <c r="C80" i="89"/>
  <c r="C79" i="89" s="1"/>
  <c r="C57" i="84"/>
  <c r="C64" i="84" s="1"/>
  <c r="Q49" i="84"/>
  <c r="C13" i="84"/>
  <c r="Q70" i="84" s="1"/>
  <c r="C36" i="84"/>
  <c r="Q48" i="84"/>
  <c r="L46" i="84"/>
  <c r="J22" i="84"/>
  <c r="J13" i="84"/>
  <c r="J23" i="84" s="1"/>
  <c r="B3" i="82"/>
  <c r="B2" i="82"/>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9"/>
  <c r="Q67" i="89" l="1"/>
  <c r="Q56" i="89"/>
  <c r="Q62" i="89" s="1"/>
  <c r="Q65" i="89"/>
  <c r="Q75" i="89" s="1"/>
  <c r="Q47" i="89"/>
  <c r="Q53" i="89" s="1"/>
  <c r="C43" i="89"/>
  <c r="D2" i="89"/>
  <c r="C83" i="89"/>
  <c r="C82" i="89" s="1"/>
  <c r="C56" i="84"/>
  <c r="C65" i="84" s="1"/>
  <c r="C58" i="84" s="1"/>
  <c r="C67" i="84" s="1"/>
  <c r="C68" i="84" s="1"/>
  <c r="C71" i="84" s="1"/>
  <c r="C37" i="84"/>
  <c r="C30" i="84" s="1"/>
  <c r="C39" i="84" s="1"/>
  <c r="C40" i="84" s="1"/>
  <c r="C75" i="84"/>
  <c r="J16" i="84"/>
  <c r="J25" i="84" s="1"/>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84"/>
  <c r="M21" i="84"/>
  <c r="L51" i="84"/>
  <c r="M21" i="67"/>
  <c r="M21" i="15"/>
  <c r="F35" i="67"/>
  <c r="F35" i="15"/>
  <c r="B2" i="89" l="1"/>
  <c r="B3" i="89"/>
  <c r="C80" i="84"/>
  <c r="C79" i="84" s="1"/>
  <c r="Q69" i="84"/>
  <c r="Q68" i="84" s="1"/>
  <c r="H39" i="84"/>
  <c r="Q67" i="84"/>
  <c r="J20" i="84"/>
  <c r="F63" i="84"/>
  <c r="D2" i="84"/>
  <c r="Q65" i="84"/>
  <c r="Q75" i="84" s="1"/>
  <c r="Q47" i="84"/>
  <c r="Q53" i="84" s="1"/>
  <c r="C43" i="84"/>
  <c r="Q56" i="84"/>
  <c r="Q62" i="84" s="1"/>
  <c r="C83" i="84"/>
  <c r="C82" i="84" s="1"/>
  <c r="C45" i="84"/>
  <c r="C46" i="84" s="1"/>
  <c r="M23" i="43"/>
  <c r="C15" i="71"/>
  <c r="T16"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B2" i="84" l="1"/>
  <c r="B3" i="84"/>
  <c r="I42" i="35"/>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19" i="87"/>
  <c r="D20" i="87"/>
  <c r="D2" i="21"/>
  <c r="D103" i="87" l="1"/>
  <c r="G20" i="87"/>
  <c r="C32" i="87" s="1"/>
  <c r="D102" i="87"/>
  <c r="D21" i="87"/>
  <c r="G19" i="87"/>
  <c r="G21" i="87" s="1"/>
  <c r="D22" i="87"/>
  <c r="D14" i="71"/>
  <c r="C13"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I118" i="87" l="1"/>
  <c r="D35" i="87"/>
  <c r="D34" i="87"/>
  <c r="C12" i="7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85"/>
  <c r="L51" i="15"/>
  <c r="D2" i="35"/>
  <c r="D2" i="34"/>
  <c r="C19" i="9"/>
  <c r="D19" i="9"/>
  <c r="D2" i="37"/>
  <c r="D2" i="36"/>
  <c r="C105" i="87" l="1"/>
  <c r="H118" i="87"/>
  <c r="H102" i="87"/>
  <c r="D21" i="85"/>
  <c r="D102" i="85"/>
  <c r="G19" i="85"/>
  <c r="G21" i="85" s="1"/>
  <c r="D22" i="85"/>
  <c r="D12" i="71"/>
  <c r="U12" i="71" s="1"/>
  <c r="C11" i="71"/>
  <c r="T12" i="71"/>
  <c r="C102" i="9"/>
  <c r="C21" i="9"/>
  <c r="B3" i="33"/>
  <c r="D102" i="9"/>
  <c r="G19" i="9"/>
  <c r="G21" i="9" s="1"/>
  <c r="D2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85"/>
  <c r="AO8" i="1"/>
  <c r="AO9" i="1"/>
  <c r="AO11" i="1"/>
  <c r="AO12" i="1"/>
  <c r="AO10" i="1"/>
  <c r="C20" i="9"/>
  <c r="AO6" i="1"/>
  <c r="AO7" i="1"/>
  <c r="D20" i="9"/>
  <c r="H119" i="87" l="1"/>
  <c r="H101" i="87"/>
  <c r="C104" i="87"/>
  <c r="D103" i="85"/>
  <c r="G20" i="85"/>
  <c r="C32" i="85" s="1"/>
  <c r="C10" i="71"/>
  <c r="D11" i="71"/>
  <c r="C103" i="9"/>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H107" i="87" l="1"/>
  <c r="M48" i="87"/>
  <c r="D45" i="87"/>
  <c r="I118" i="85"/>
  <c r="D35" i="85"/>
  <c r="D34" i="85"/>
  <c r="D10" i="71"/>
  <c r="C9" i="7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93" i="87" l="1"/>
  <c r="C86" i="87" s="1"/>
  <c r="C72" i="87"/>
  <c r="C64" i="87"/>
  <c r="C63" i="87" s="1"/>
  <c r="C67" i="87" s="1"/>
  <c r="D53" i="87"/>
  <c r="C78" i="87"/>
  <c r="C73" i="87" s="1"/>
  <c r="D52" i="87"/>
  <c r="C85" i="87"/>
  <c r="D55" i="87"/>
  <c r="M53" i="87" s="1"/>
  <c r="H108" i="87"/>
  <c r="M49" i="87"/>
  <c r="D122" i="87"/>
  <c r="D123" i="87" s="1"/>
  <c r="C105" i="85"/>
  <c r="H118" i="85"/>
  <c r="H102" i="85"/>
  <c r="C8" i="71"/>
  <c r="D9" i="71"/>
  <c r="C34" i="9"/>
  <c r="D34" i="9" s="1"/>
  <c r="C42" i="40"/>
  <c r="C43" i="40"/>
  <c r="E47" i="40"/>
  <c r="F47" i="40" s="1"/>
  <c r="E46" i="40"/>
  <c r="F46" i="40" s="1"/>
  <c r="I47" i="40"/>
  <c r="J47" i="40" s="1"/>
  <c r="C95" i="87" l="1"/>
  <c r="C96" i="87"/>
  <c r="E96" i="87" s="1"/>
  <c r="E97" i="87" s="1"/>
  <c r="D59" i="87"/>
  <c r="M55" i="87" s="1"/>
  <c r="C68" i="87"/>
  <c r="D54" i="87" s="1"/>
  <c r="L66" i="87"/>
  <c r="M66" i="87" s="1"/>
  <c r="L64" i="87"/>
  <c r="M64" i="87" s="1"/>
  <c r="L68" i="87"/>
  <c r="M68" i="87" s="1"/>
  <c r="L67" i="87"/>
  <c r="M67" i="87" s="1"/>
  <c r="L63" i="87"/>
  <c r="M63" i="87" s="1"/>
  <c r="L65" i="87"/>
  <c r="M65" i="87" s="1"/>
  <c r="C79" i="87"/>
  <c r="H119" i="85"/>
  <c r="H101" i="85"/>
  <c r="C104" i="85"/>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M69" i="87" l="1"/>
  <c r="N69" i="87" s="1"/>
  <c r="C97" i="87"/>
  <c r="D58" i="87" s="1"/>
  <c r="D56" i="87" s="1"/>
  <c r="M54" i="87" s="1"/>
  <c r="N57" i="87" s="1"/>
  <c r="C80" i="87"/>
  <c r="E80" i="87" s="1"/>
  <c r="E81" i="87" s="1"/>
  <c r="H107" i="85"/>
  <c r="M48" i="85"/>
  <c r="D45" i="85"/>
  <c r="C6" i="71"/>
  <c r="D7" i="71"/>
  <c r="G118" i="9"/>
  <c r="F118" i="9" s="1"/>
  <c r="I118" i="9"/>
  <c r="C81" i="87" l="1"/>
  <c r="P57" i="87"/>
  <c r="N58" i="87"/>
  <c r="N59" i="87"/>
  <c r="C72" i="85"/>
  <c r="C64" i="85"/>
  <c r="C63" i="85" s="1"/>
  <c r="C67" i="85" s="1"/>
  <c r="D53" i="85"/>
  <c r="C78" i="85"/>
  <c r="C73" i="85" s="1"/>
  <c r="D52" i="85"/>
  <c r="C93" i="85"/>
  <c r="C86" i="85" s="1"/>
  <c r="C85" i="85"/>
  <c r="D55" i="85"/>
  <c r="M53" i="85" s="1"/>
  <c r="D122" i="85"/>
  <c r="D123" i="85" s="1"/>
  <c r="H108" i="85"/>
  <c r="M49" i="85"/>
  <c r="C5" i="71"/>
  <c r="D5" i="71" s="1"/>
  <c r="M24" i="43" s="1"/>
  <c r="D6" i="71"/>
  <c r="I4" i="52"/>
  <c r="H118" i="9"/>
  <c r="C104" i="9" s="1"/>
  <c r="F119" i="9"/>
  <c r="F5" i="52" s="1"/>
  <c r="B53" i="72" s="1"/>
  <c r="F4" i="52"/>
  <c r="B51" i="72" s="1"/>
  <c r="E118" i="9"/>
  <c r="E4" i="52" s="1"/>
  <c r="B48" i="72" s="1"/>
  <c r="G4" i="52"/>
  <c r="B52" i="72" s="1"/>
  <c r="C105" i="9"/>
  <c r="H102" i="9"/>
  <c r="D7" i="53" s="1"/>
  <c r="B21" i="72" s="1"/>
  <c r="N60" i="87" l="1"/>
  <c r="N61" i="87"/>
  <c r="C95" i="85"/>
  <c r="C96" i="85" s="1"/>
  <c r="E96" i="85" s="1"/>
  <c r="E97" i="85" s="1"/>
  <c r="L66" i="85"/>
  <c r="M66" i="85" s="1"/>
  <c r="L64" i="85"/>
  <c r="M64" i="85" s="1"/>
  <c r="L68" i="85"/>
  <c r="M68" i="85" s="1"/>
  <c r="L67" i="85"/>
  <c r="M67" i="85" s="1"/>
  <c r="L65" i="85"/>
  <c r="M65" i="85" s="1"/>
  <c r="L63" i="85"/>
  <c r="M63" i="85" s="1"/>
  <c r="D59" i="85"/>
  <c r="M55" i="85" s="1"/>
  <c r="C68" i="85"/>
  <c r="D54" i="85" s="1"/>
  <c r="C79" i="85"/>
  <c r="H101" i="9"/>
  <c r="G14" i="74" s="1"/>
  <c r="B6" i="74" s="1"/>
  <c r="D6" i="74" s="1"/>
  <c r="H119" i="9"/>
  <c r="H5" i="52" s="1"/>
  <c r="H4" i="52"/>
  <c r="D118" i="9"/>
  <c r="D119" i="9" s="1"/>
  <c r="D5" i="52" s="1"/>
  <c r="B49" i="72" s="1"/>
  <c r="M69" i="85" l="1"/>
  <c r="N69" i="85" s="1"/>
  <c r="C80" i="85"/>
  <c r="E80" i="85" s="1"/>
  <c r="E81" i="85" s="1"/>
  <c r="C97" i="85"/>
  <c r="D58" i="85" s="1"/>
  <c r="D56" i="85" s="1"/>
  <c r="M54" i="85" s="1"/>
  <c r="N57" i="85" s="1"/>
  <c r="D14" i="74"/>
  <c r="E14" i="74" s="1"/>
  <c r="D5" i="53"/>
  <c r="D6" i="53" s="1"/>
  <c r="B22" i="72" s="1"/>
  <c r="D45" i="9"/>
  <c r="C72" i="9" s="1"/>
  <c r="H107" i="9"/>
  <c r="M49" i="9" s="1"/>
  <c r="M48" i="9"/>
  <c r="D4" i="52"/>
  <c r="B47" i="72" s="1"/>
  <c r="N58" i="85" l="1"/>
  <c r="P57" i="85"/>
  <c r="N59" i="85"/>
  <c r="C81" i="85"/>
  <c r="B5" i="74"/>
  <c r="C5" i="74" s="1"/>
  <c r="B20" i="72"/>
  <c r="F14" i="74"/>
  <c r="D55" i="9"/>
  <c r="M53" i="9" s="1"/>
  <c r="C93" i="9"/>
  <c r="C86" i="9" s="1"/>
  <c r="D52" i="9"/>
  <c r="C78" i="9"/>
  <c r="C73" i="9" s="1"/>
  <c r="C79" i="9" s="1"/>
  <c r="C64" i="9"/>
  <c r="C63" i="9" s="1"/>
  <c r="C67" i="9" s="1"/>
  <c r="D59" i="9" s="1"/>
  <c r="M55" i="9" s="1"/>
  <c r="C85" i="9"/>
  <c r="D53" i="9"/>
  <c r="D122" i="9"/>
  <c r="D123" i="9" s="1"/>
  <c r="D9" i="52" s="1"/>
  <c r="D13" i="53"/>
  <c r="D14" i="53" s="1"/>
  <c r="B32" i="72" s="1"/>
  <c r="H108" i="9"/>
  <c r="C6" i="74" s="1"/>
  <c r="L68" i="9"/>
  <c r="M68" i="9" s="1"/>
  <c r="L64" i="9"/>
  <c r="M64" i="9" s="1"/>
  <c r="L66" i="9"/>
  <c r="M66" i="9" s="1"/>
  <c r="L65" i="9"/>
  <c r="M65" i="9" s="1"/>
  <c r="L67" i="9"/>
  <c r="M67" i="9" s="1"/>
  <c r="L63" i="9"/>
  <c r="M63" i="9" s="1"/>
  <c r="N61" i="85" l="1"/>
  <c r="N60" i="85"/>
  <c r="D5" i="74"/>
  <c r="C95" i="9"/>
  <c r="C96" i="9" s="1"/>
  <c r="E96" i="9" s="1"/>
  <c r="E97" i="9" s="1"/>
  <c r="B30" i="72"/>
  <c r="C68" i="9"/>
  <c r="D54" i="9" s="1"/>
  <c r="D8" i="52"/>
  <c r="D15" i="53"/>
  <c r="B31" i="72" s="1"/>
  <c r="M69" i="9"/>
  <c r="N69"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C9F22BA7-D322-41FC-BFCE-335BDD8EEDAF}">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37F113B-BA12-488A-94A7-437294B9C963}">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255C755-598A-4F5D-A3A4-E63D0DD7E9AD}">
      <text>
        <r>
          <rPr>
            <sz val="11"/>
            <color indexed="81"/>
            <rFont val="宋体"/>
            <family val="3"/>
            <charset val="134"/>
          </rPr>
          <t>需在下方列示计算过程</t>
        </r>
        <r>
          <rPr>
            <sz val="9"/>
            <color indexed="81"/>
            <rFont val="宋体"/>
            <family val="3"/>
            <charset val="134"/>
          </rPr>
          <t xml:space="preserve">
</t>
        </r>
      </text>
    </comment>
    <comment ref="H75" authorId="2" shapeId="0" xr:uid="{C77A4866-86BB-4A22-96BC-8FDDFA477C58}">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B75A4E3A-0293-47F4-A6E5-08788B7A8A63}">
      <text>
        <r>
          <rPr>
            <b/>
            <sz val="9"/>
            <color indexed="81"/>
            <rFont val="宋体"/>
            <family val="3"/>
            <charset val="134"/>
          </rPr>
          <t>权重验证</t>
        </r>
        <r>
          <rPr>
            <sz val="9"/>
            <color indexed="81"/>
            <rFont val="宋体"/>
            <family val="3"/>
            <charset val="134"/>
          </rPr>
          <t xml:space="preserve">
</t>
        </r>
      </text>
    </comment>
    <comment ref="C58" authorId="1" shapeId="0" xr:uid="{5B180AB4-12C8-4FA3-AB60-CAE974610218}">
      <text>
        <r>
          <rPr>
            <b/>
            <sz val="12"/>
            <color indexed="81"/>
            <rFont val="宋体"/>
            <family val="3"/>
            <charset val="134"/>
          </rPr>
          <t>价值时点所在月度</t>
        </r>
        <r>
          <rPr>
            <sz val="12"/>
            <color indexed="81"/>
            <rFont val="宋体"/>
            <family val="3"/>
            <charset val="134"/>
          </rPr>
          <t xml:space="preserve">
</t>
        </r>
      </text>
    </comment>
    <comment ref="B102" authorId="1" shapeId="0" xr:uid="{CBCD555C-1161-4A28-9C9F-E56226313D1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7FAA28F-9F0D-4FD5-9E98-06069DB06FC6}">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F55E5E1-608C-461F-8EDD-421A43AAA93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5F0D03D-B348-4EF0-AF82-81A6078B6F3F}">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48988DDC-556A-4F15-AA8C-0B2233662A5D}">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3B3D9D7-68A7-48FD-93D3-BCECD2D7542A}">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B212EFAE-5B66-4F95-8A52-BDA72856A4A7}">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DA7C1B31-511A-449E-8345-84B0E70AF3C5}">
      <text>
        <r>
          <rPr>
            <sz val="11"/>
            <color indexed="81"/>
            <rFont val="宋体"/>
            <family val="3"/>
            <charset val="134"/>
          </rPr>
          <t>需在下方列示计算过程</t>
        </r>
        <r>
          <rPr>
            <sz val="9"/>
            <color indexed="81"/>
            <rFont val="宋体"/>
            <family val="3"/>
            <charset val="134"/>
          </rPr>
          <t xml:space="preserve">
</t>
        </r>
      </text>
    </comment>
    <comment ref="H75" authorId="2" shapeId="0" xr:uid="{57F91AB6-30DB-493F-B3A8-F5A34EF30BAF}">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EBFD6D8-E4B7-4359-B7D5-B9600BDE0C2D}">
      <text>
        <r>
          <rPr>
            <b/>
            <sz val="9"/>
            <color indexed="81"/>
            <rFont val="宋体"/>
            <family val="3"/>
            <charset val="134"/>
          </rPr>
          <t>权重验证</t>
        </r>
        <r>
          <rPr>
            <sz val="9"/>
            <color indexed="81"/>
            <rFont val="宋体"/>
            <family val="3"/>
            <charset val="134"/>
          </rPr>
          <t xml:space="preserve">
</t>
        </r>
      </text>
    </comment>
    <comment ref="C58" authorId="1" shapeId="0" xr:uid="{9BBB5D6A-FC01-4BD0-A38D-026A16DAC5F8}">
      <text>
        <r>
          <rPr>
            <b/>
            <sz val="12"/>
            <color indexed="81"/>
            <rFont val="宋体"/>
            <family val="3"/>
            <charset val="134"/>
          </rPr>
          <t>价值时点所在月度</t>
        </r>
        <r>
          <rPr>
            <sz val="12"/>
            <color indexed="81"/>
            <rFont val="宋体"/>
            <family val="3"/>
            <charset val="134"/>
          </rPr>
          <t xml:space="preserve">
</t>
        </r>
      </text>
    </comment>
    <comment ref="B102" authorId="1" shapeId="0" xr:uid="{F4DF5782-8B42-4DFF-8DAE-85B2913F152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FB30D5EC-F3AA-42E4-8332-6409B842367D}">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EB4CA0A7-0BA6-4B55-867F-D43531654D84}">
      <text>
        <r>
          <rPr>
            <sz val="10"/>
            <color indexed="81"/>
            <rFont val="宋体"/>
            <family val="3"/>
            <charset val="134"/>
          </rPr>
          <t xml:space="preserve">需注意，采用基准地价系数修正法中土地结果计算时，土地报酬率应采用该方法中报酬率（还原率）。
</t>
        </r>
      </text>
    </comment>
    <comment ref="L55" authorId="0" shapeId="0" xr:uid="{225345AC-8B79-47C2-9981-C475A5C018A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990805C-F5A9-4DD7-988D-2CAF19B2ACF1}">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<sst xmlns="http://schemas.openxmlformats.org/spreadsheetml/2006/main" count="10709" uniqueCount="3615">
  <si>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</si>
  <si>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</si>
  <si>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</si>
  <si>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</si>
  <si>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</si>
  <si>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</si>
  <si>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</si>
  <si>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</si>
  <si>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</si>
  <si>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</si>
  <si>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</si>
  <si>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</si>
  <si>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</si>
  <si>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</si>
  <si>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</si>
  <si>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</si>
  <si>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</si>
  <si>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</si>
  <si>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</si>
  <si>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</si>
  <si>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</si>
  <si>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</si>
  <si>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</si>
  <si>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</si>
  <si>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</si>
  <si>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</si>
  <si>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</si>
  <si>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</si>
  <si>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</si>
  <si>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</si>
  <si>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</si>
  <si>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</si>
  <si>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</si>
  <si>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</si>
  <si>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</si>
  <si>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</si>
  <si>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</si>
  <si>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</si>
  <si>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</si>
  <si>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</si>
  <si>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</si>
  <si>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</si>
  <si>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</si>
  <si>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</si>
  <si>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</si>
  <si>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</si>
  <si>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</si>
  <si>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</si>
  <si>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</si>
  <si>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</si>
  <si>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</si>
  <si>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</si>
  <si>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</si>
  <si>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</si>
  <si>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</si>
  <si>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</si>
  <si>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</si>
  <si>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</si>
  <si>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</si>
  <si>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</si>
  <si>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</si>
  <si>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</si>
  <si>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</si>
  <si>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</si>
  <si>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</si>
  <si>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</si>
  <si>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</si>
  <si>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</si>
  <si>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</si>
  <si>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</si>
  <si>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</si>
  <si>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</si>
  <si>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</si>
  <si>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</si>
  <si>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</si>
  <si>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</si>
  <si>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</si>
  <si>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</si>
  <si>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</si>
  <si>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</si>
  <si>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</si>
  <si>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</si>
  <si>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</si>
  <si>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</si>
  <si>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</si>
  <si>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</si>
  <si>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</si>
  <si>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</si>
  <si>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</si>
  <si>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</si>
  <si>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</si>
  <si>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</si>
  <si>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</si>
  <si>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</si>
  <si>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</si>
  <si>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</si>
  <si>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</si>
  <si>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</si>
  <si>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</si>
  <si>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</si>
  <si>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</si>
  <si>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</si>
  <si>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</si>
  <si>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</si>
  <si>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</si>
  <si>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</si>
  <si>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</si>
  <si>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</si>
  <si>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</si>
  <si>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</si>
  <si>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</si>
  <si>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</si>
  <si>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</si>
  <si>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</si>
  <si>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</si>
  <si>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</si>
  <si>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</si>
  <si>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</si>
  <si>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</si>
  <si>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</si>
  <si>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</si>
  <si>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</si>
  <si>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</si>
  <si>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</si>
  <si>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</si>
  <si>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</si>
  <si>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</si>
  <si>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</si>
  <si>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</si>
  <si>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</si>
  <si>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</si>
  <si>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</si>
  <si>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</si>
  <si>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</si>
  <si>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</si>
  <si>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</si>
  <si>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</si>
  <si>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</si>
  <si>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</si>
  <si>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</si>
  <si>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</si>
  <si>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</si>
  <si>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</si>
  <si>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</si>
  <si>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</si>
  <si>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</si>
  <si>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</si>
  <si>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</si>
  <si>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</si>
  <si>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</si>
  <si>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</si>
  <si>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</si>
  <si>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</si>
  <si>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</si>
  <si>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</si>
  <si>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</si>
  <si>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</si>
  <si>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</si>
  <si>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</si>
  <si>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</si>
  <si>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</si>
  <si>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</si>
  <si>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</si>
  <si>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</si>
  <si>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</si>
  <si>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</si>
  <si>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</si>
  <si>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</si>
  <si>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</si>
  <si>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</si>
  <si>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</si>
  <si>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</si>
  <si>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</si>
  <si>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</si>
  <si>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</si>
  <si>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</si>
  <si>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</si>
  <si>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</si>
  <si>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</si>
  <si>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</si>
  <si>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</si>
  <si>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</si>
  <si>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</si>
  <si>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</si>
  <si>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</si>
  <si>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</si>
  <si>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</si>
  <si>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</si>
  <si>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</si>
  <si>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</si>
  <si>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</si>
  <si>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</si>
  <si>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</si>
  <si>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</si>
  <si>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</si>
  <si>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</si>
  <si>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</si>
  <si>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</si>
  <si>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</si>
  <si>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</si>
  <si>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</si>
  <si>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</si>
  <si>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</si>
  <si>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</si>
  <si>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</si>
  <si>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</si>
  <si>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</si>
  <si>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</si>
  <si>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</si>
  <si>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</si>
  <si>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</si>
  <si>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</si>
  <si>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</si>
  <si>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</si>
  <si>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</si>
  <si>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</si>
  <si>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</si>
  <si>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</si>
  <si>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</si>
  <si>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</si>
  <si>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</si>
  <si>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</si>
  <si>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</si>
  <si>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</si>
  <si>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</si>
  <si>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</si>
  <si>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</si>
  <si>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</si>
  <si>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</si>
  <si>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</si>
  <si>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</si>
  <si>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</si>
  <si>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</si>
  <si>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</si>
  <si>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</si>
  <si>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</si>
  <si>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</si>
  <si>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</si>
  <si>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</si>
  <si>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</si>
  <si>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</si>
  <si>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</si>
  <si>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</si>
  <si>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</si>
  <si>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</si>
  <si>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</si>
  <si>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</si>
  <si>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</si>
  <si>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</si>
  <si>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</si>
  <si>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</si>
  <si>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</si>
  <si>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</si>
  <si>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</si>
  <si>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</si>
  <si>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</si>
  <si>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</si>
  <si>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</si>
  <si>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</si>
  <si>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</si>
  <si>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</si>
  <si>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</si>
  <si>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</si>
  <si>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</si>
  <si>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</si>
  <si>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</si>
  <si>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</si>
  <si>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</si>
  <si>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</si>
  <si>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</si>
  <si>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</si>
  <si>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</si>
  <si>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</si>
  <si>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</si>
  <si>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</si>
  <si>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</si>
  <si>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</si>
  <si>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</si>
  <si>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</si>
  <si>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</si>
  <si>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</si>
  <si>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</si>
  <si>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</si>
  <si>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</si>
  <si>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</si>
  <si>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</si>
  <si>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</si>
  <si>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</si>
  <si>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</si>
  <si>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</si>
  <si>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</si>
  <si>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</si>
  <si>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</si>
  <si>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</si>
  <si>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</si>
  <si>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</si>
  <si>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</si>
  <si>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</si>
  <si>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</si>
  <si>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</si>
  <si>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</si>
  <si>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</si>
  <si>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</si>
  <si>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</si>
  <si>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</si>
  <si>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</si>
  <si>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</si>
  <si>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</si>
  <si>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</si>
  <si>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</si>
  <si>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</si>
  <si>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</si>
  <si>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</si>
  <si>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</si>
  <si>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</si>
  <si>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</si>
  <si>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</si>
  <si>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</si>
  <si>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</si>
  <si>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</si>
  <si>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</si>
  <si>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</si>
  <si>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</si>
  <si>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</si>
  <si>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</si>
  <si>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</si>
  <si>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</si>
  <si>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</si>
  <si>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</si>
  <si>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</si>
  <si>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</si>
  <si>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</si>
  <si>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</si>
  <si>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</si>
  <si>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</si>
  <si>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</si>
  <si>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</si>
  <si>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</si>
  <si>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</si>
  <si>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</si>
  <si>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</si>
  <si>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</si>
  <si>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</si>
  <si>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</si>
  <si>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</si>
  <si>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</si>
  <si>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</si>
  <si>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</si>
  <si>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</si>
  <si>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</si>
  <si>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</si>
  <si>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</si>
  <si>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</si>
  <si>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</si>
  <si>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</si>
  <si>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</si>
  <si>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</si>
  <si>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</si>
  <si>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</si>
  <si>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</si>
  <si>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</si>
  <si>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</si>
  <si>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</si>
  <si>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</si>
  <si>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</si>
  <si>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</si>
  <si>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</si>
  <si>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</si>
  <si>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</si>
  <si>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</si>
  <si>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</si>
  <si>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</si>
  <si>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</si>
  <si>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</si>
  <si>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</si>
  <si>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</si>
  <si>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</si>
  <si>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</si>
  <si>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</si>
  <si>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</si>
  <si>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</si>
  <si>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</si>
  <si>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</si>
  <si>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</si>
  <si>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</si>
  <si>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</si>
  <si>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</si>
  <si>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</si>
  <si>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</si>
  <si>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</si>
  <si>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</si>
  <si>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</si>
  <si>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</si>
  <si>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</si>
  <si>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</si>
  <si>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</si>
  <si>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</si>
  <si>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</si>
  <si>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</si>
  <si>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</si>
  <si>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</si>
  <si>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</si>
  <si>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</si>
  <si>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</si>
  <si>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</si>
  <si>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</si>
  <si>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</si>
  <si>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</si>
  <si>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</si>
  <si>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</si>
  <si>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</si>
  <si>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</si>
  <si>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</si>
  <si>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</si>
  <si>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</si>
  <si>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</si>
  <si>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</si>
  <si>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</si>
  <si>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</si>
  <si>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</si>
  <si>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</si>
  <si>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</si>
  <si>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</si>
  <si>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</si>
  <si>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</si>
  <si>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</si>
  <si>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</si>
  <si>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</si>
  <si>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</si>
  <si>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</si>
  <si>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</si>
  <si>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</si>
  <si>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</si>
  <si>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</si>
  <si>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</si>
  <si>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</si>
  <si>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</si>
  <si>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</si>
  <si>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</si>
  <si>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</si>
  <si>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</si>
  <si>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</si>
  <si>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</si>
  <si>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</si>
  <si>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</si>
  <si>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</si>
  <si>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</si>
  <si>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</si>
  <si>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</si>
  <si>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</si>
  <si>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</si>
  <si>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</si>
  <si>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</si>
  <si>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</si>
  <si>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</si>
  <si>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</si>
  <si>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</si>
  <si>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</si>
  <si>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</si>
  <si>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</si>
  <si>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</si>
  <si>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</si>
  <si>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</si>
  <si>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</si>
  <si>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</si>
  <si>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</si>
  <si>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</si>
  <si>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</si>
  <si>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</si>
  <si>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</si>
  <si>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</si>
  <si>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</si>
  <si>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</si>
  <si>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</si>
  <si>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</si>
  <si>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</si>
  <si>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</si>
  <si>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</si>
  <si>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</si>
  <si>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</si>
  <si>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</si>
  <si>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</si>
  <si>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</si>
  <si>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</si>
  <si>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</si>
  <si>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</si>
  <si>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</si>
  <si>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</si>
  <si>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</si>
  <si>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</si>
  <si>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</si>
  <si>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</si>
  <si>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</si>
  <si>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</si>
  <si>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</si>
  <si>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</si>
  <si>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</si>
  <si>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</si>
  <si>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</si>
  <si>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</si>
  <si>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</si>
  <si>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</si>
  <si>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</si>
  <si>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</si>
  <si>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</si>
  <si>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</si>
  <si>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</si>
  <si>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</si>
  <si>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</si>
  <si>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</si>
  <si>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</si>
  <si>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</si>
  <si>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</si>
  <si>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</si>
  <si>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</si>
  <si>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</si>
  <si>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</si>
  <si>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</si>
  <si>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</si>
  <si>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</si>
  <si>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</si>
  <si>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</si>
  <si>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</si>
  <si>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</si>
  <si>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</si>
  <si>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</si>
  <si>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</si>
  <si>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</si>
  <si>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</si>
  <si>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</si>
  <si>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</si>
  <si>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</si>
  <si>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</si>
  <si>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</si>
  <si>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</si>
  <si>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</si>
  <si>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</si>
  <si>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</si>
  <si>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</si>
  <si>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</si>
  <si>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</si>
  <si>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</si>
  <si>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</si>
  <si>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</si>
  <si>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</si>
  <si>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</si>
  <si>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</si>
  <si>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</si>
  <si>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</si>
  <si>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</si>
  <si>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</si>
  <si>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</si>
  <si>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</si>
  <si>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</si>
  <si>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</si>
  <si>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</si>
  <si>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</si>
  <si>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</si>
  <si>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</si>
  <si>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</si>
  <si>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</si>
  <si>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</si>
  <si>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</si>
  <si>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</si>
  <si>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</si>
  <si>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</si>
  <si>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</si>
  <si>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</si>
  <si>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</si>
  <si>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</si>
  <si>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</si>
  <si>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</si>
  <si>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</si>
  <si>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</si>
  <si>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</si>
  <si>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</si>
  <si>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</si>
  <si>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</si>
  <si>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</si>
  <si>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</si>
  <si>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</si>
  <si>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</si>
  <si>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</si>
  <si>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</si>
  <si>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</si>
  <si>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</si>
  <si>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</si>
  <si>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</si>
  <si>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</si>
  <si>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</si>
  <si>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</si>
  <si>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</si>
  <si>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</si>
  <si>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</si>
  <si>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</si>
  <si>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</si>
  <si>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</si>
  <si>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</si>
  <si>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</si>
  <si>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</si>
  <si>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</si>
  <si>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</si>
  <si>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</si>
  <si>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</si>
  <si>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</si>
  <si>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</si>
  <si>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</si>
  <si>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</si>
  <si>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</si>
  <si>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</si>
  <si>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</si>
  <si>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</si>
  <si>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</si>
  <si>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</si>
  <si>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</si>
  <si>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</si>
  <si>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</si>
  <si>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</si>
  <si>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</si>
  <si>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</si>
  <si>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</si>
  <si>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</si>
  <si>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</si>
  <si>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</si>
  <si>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</si>
  <si>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</si>
  <si>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</si>
  <si>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</si>
  <si>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</si>
  <si>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</si>
  <si>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</si>
  <si>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</si>
  <si>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</si>
  <si>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</si>
  <si>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</si>
  <si>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</si>
  <si>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</si>
  <si>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</si>
  <si>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</si>
  <si>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</si>
  <si>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</si>
  <si>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</si>
  <si>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</si>
  <si>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</si>
  <si>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</si>
  <si>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</si>
  <si>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</si>
  <si>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</si>
  <si>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</si>
  <si>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</si>
  <si>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</si>
  <si>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</si>
  <si>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</si>
  <si>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</si>
  <si>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</si>
  <si>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</si>
  <si>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</si>
  <si>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</si>
  <si>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</si>
  <si>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</si>
  <si>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</si>
  <si>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</si>
  <si>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</si>
  <si>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</si>
  <si>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</si>
  <si>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</si>
  <si>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</si>
  <si>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</si>
  <si>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</si>
  <si>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</si>
  <si>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</si>
  <si>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</si>
  <si>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</si>
  <si>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</si>
  <si>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</si>
  <si>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</si>
  <si>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</si>
  <si>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</si>
  <si>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</si>
  <si>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</si>
  <si>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</si>
  <si>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</si>
  <si>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</si>
  <si>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</si>
  <si>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</si>
  <si>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</si>
  <si>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</si>
  <si>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</si>
  <si>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</si>
  <si>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</si>
  <si>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</si>
  <si>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</si>
  <si>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</si>
  <si>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</si>
  <si>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</si>
  <si>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</si>
  <si>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</si>
  <si>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</si>
  <si>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</si>
  <si>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</si>
  <si>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</si>
  <si>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</si>
  <si>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</si>
  <si>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</si>
  <si>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</si>
  <si>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</si>
  <si>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</si>
  <si>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</si>
  <si>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</si>
  <si>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</si>
  <si>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</si>
  <si>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</si>
  <si>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</si>
  <si>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</si>
  <si>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</si>
  <si>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</si>
  <si>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</si>
  <si>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</si>
  <si>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</si>
  <si>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</si>
  <si>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</si>
  <si>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</si>
  <si>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</si>
  <si>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</si>
  <si>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</si>
  <si>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</si>
  <si>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</si>
  <si>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</si>
  <si>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</si>
  <si>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</si>
  <si>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</si>
  <si>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</si>
  <si>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</si>
  <si>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</si>
  <si>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</si>
  <si>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</si>
  <si>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</si>
  <si>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</si>
  <si>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</si>
  <si>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</si>
  <si>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</si>
  <si>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</si>
  <si>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</si>
  <si>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</si>
  <si>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</si>
  <si>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</si>
  <si>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</si>
  <si>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</si>
  <si>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</si>
  <si>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</si>
  <si>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</si>
  <si>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</si>
  <si>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</si>
  <si>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</si>
  <si>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</si>
  <si>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</si>
  <si>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</si>
  <si>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</si>
  <si>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</si>
  <si>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</si>
  <si>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</si>
  <si>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</si>
  <si>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</si>
  <si>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</si>
  <si>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</si>
  <si>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</si>
  <si>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</si>
  <si>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</si>
  <si>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</si>
  <si>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</si>
  <si>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</si>
  <si>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</si>
  <si>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</si>
  <si>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</si>
  <si>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</si>
  <si>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</si>
  <si>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</si>
  <si>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</si>
  <si>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</si>
  <si>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</si>
  <si>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</si>
  <si>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</si>
  <si>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</si>
  <si>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</si>
  <si>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</si>
  <si>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</si>
  <si>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</si>
  <si>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</si>
  <si>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</si>
  <si>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</si>
  <si>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</si>
  <si>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</si>
  <si>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</si>
  <si>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</si>
  <si>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</si>
  <si>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</si>
  <si>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</si>
  <si>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</si>
  <si>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</si>
  <si>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</si>
  <si>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</si>
  <si>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</si>
  <si>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</si>
  <si>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</si>
  <si>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</si>
  <si>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</si>
  <si>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</si>
  <si>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</si>
  <si>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</si>
  <si>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</si>
  <si>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</si>
  <si>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</si>
  <si>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</si>
  <si>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</si>
  <si>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</si>
  <si>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</si>
  <si>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</si>
  <si>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</si>
  <si>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</si>
  <si>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</si>
  <si>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</si>
  <si>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</si>
  <si>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</si>
  <si>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</si>
  <si>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</si>
  <si>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</si>
  <si>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</si>
  <si>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</si>
  <si>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</si>
  <si>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</si>
  <si>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</si>
  <si>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</si>
  <si>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</si>
  <si>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</si>
  <si>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</si>
  <si>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</si>
  <si>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</si>
  <si>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</si>
  <si>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</si>
  <si>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</si>
  <si>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</si>
  <si>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</si>
  <si>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</si>
  <si>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</si>
  <si>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</si>
  <si>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</si>
  <si>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</si>
  <si>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</si>
  <si>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</si>
  <si>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</si>
  <si>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</si>
  <si>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</si>
  <si>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</si>
  <si>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</si>
  <si>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</si>
  <si>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</si>
  <si>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</si>
  <si>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</si>
  <si>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</si>
  <si>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</si>
  <si>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</si>
  <si>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</si>
  <si>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</si>
  <si>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</si>
  <si>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</si>
  <si>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</si>
  <si>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</si>
  <si>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</si>
  <si>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</si>
  <si>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</si>
  <si>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</si>
  <si>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</si>
  <si>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</si>
  <si>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</si>
  <si>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</si>
  <si>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</si>
  <si>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</si>
  <si>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</si>
  <si>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</si>
  <si>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</si>
  <si>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</si>
  <si>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</si>
  <si>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</si>
  <si>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</si>
  <si>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</si>
  <si>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</si>
  <si>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</si>
  <si>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</si>
  <si>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</si>
  <si>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</si>
  <si>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</si>
  <si>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</si>
  <si>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</si>
  <si>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</si>
  <si>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</si>
  <si>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</si>
  <si>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</si>
  <si>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</si>
  <si>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</si>
  <si>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</si>
  <si>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</si>
  <si>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</si>
  <si>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</si>
  <si>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</si>
  <si>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</si>
  <si>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</si>
  <si>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</si>
  <si>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</si>
  <si>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</si>
  <si>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</si>
  <si>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</si>
  <si>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</si>
  <si>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</si>
  <si>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</si>
  <si>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</si>
  <si>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</si>
  <si>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</si>
  <si>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</si>
  <si>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</si>
  <si>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</si>
  <si>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</si>
  <si>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</si>
  <si>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</si>
  <si>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</si>
  <si>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</si>
  <si>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</si>
  <si>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</si>
  <si>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</si>
  <si>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</si>
  <si>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</si>
  <si>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</si>
  <si>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</si>
  <si>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</si>
  <si>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</si>
  <si>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</si>
  <si>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</si>
  <si>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</si>
  <si>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</si>
  <si>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</si>
  <si>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</si>
  <si>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</si>
  <si>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</si>
  <si>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</si>
  <si>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</si>
  <si>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</si>
  <si>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</si>
  <si>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</si>
  <si>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</si>
  <si>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</si>
  <si>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</si>
  <si>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</si>
  <si>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</si>
  <si>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</si>
  <si>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</si>
  <si>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</si>
  <si>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</si>
  <si>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</si>
  <si>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</si>
  <si>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</si>
  <si>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</si>
  <si>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</si>
  <si>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</si>
  <si>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</si>
  <si>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</si>
  <si>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</si>
  <si>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</si>
  <si>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</si>
  <si>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</si>
  <si>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</si>
  <si>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</si>
  <si>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</si>
  <si>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</si>
  <si>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</si>
  <si>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</si>
  <si>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</si>
  <si>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</si>
  <si>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</si>
  <si>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</si>
  <si>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</si>
  <si>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</si>
  <si>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</si>
  <si>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</si>
  <si>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</si>
  <si>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</si>
  <si>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</si>
  <si>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</si>
  <si>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</si>
  <si>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</si>
  <si>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</si>
  <si>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</si>
  <si>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</si>
  <si>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</si>
  <si>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</si>
  <si>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</si>
  <si>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</si>
  <si>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</si>
  <si>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</si>
  <si>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</si>
  <si>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</si>
  <si>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</si>
  <si>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</si>
  <si>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</si>
  <si>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</si>
  <si>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</si>
  <si>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</si>
  <si>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</si>
  <si>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</si>
  <si>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</si>
  <si>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</si>
  <si>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</si>
  <si>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</si>
  <si>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</si>
  <si>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</si>
  <si>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</si>
  <si>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</si>
  <si>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</si>
  <si>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</si>
  <si>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</si>
  <si>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</si>
  <si>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</si>
  <si>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</si>
  <si>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</si>
  <si>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</si>
  <si>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</si>
  <si>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</si>
  <si>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</si>
  <si>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</si>
  <si>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</si>
  <si>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</si>
  <si>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</si>
  <si>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</si>
  <si>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</si>
  <si>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</si>
  <si>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</si>
  <si>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</si>
  <si>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</si>
  <si>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</si>
  <si>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</si>
  <si>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</si>
  <si>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</si>
  <si>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</si>
  <si>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</si>
  <si>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</si>
  <si>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</si>
  <si>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</si>
  <si>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</si>
  <si>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</si>
  <si>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</si>
  <si>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</si>
  <si>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</si>
  <si>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</si>
  <si>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</si>
  <si>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</si>
  <si>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</si>
  <si>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</si>
  <si>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</si>
  <si>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</si>
  <si>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</si>
  <si>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</si>
  <si>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</si>
  <si>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</si>
  <si>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</si>
  <si>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</si>
  <si>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</si>
  <si>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</si>
  <si>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</si>
  <si>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</si>
  <si>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</si>
  <si>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</si>
  <si>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</si>
  <si>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</si>
  <si>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</si>
  <si>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</si>
  <si>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</si>
  <si>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</si>
  <si>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</si>
  <si>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</si>
  <si>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</si>
  <si>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</si>
  <si>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</si>
  <si>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</si>
  <si>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</si>
  <si>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</si>
  <si>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</si>
  <si>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</si>
  <si>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</si>
  <si>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</si>
  <si>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</si>
  <si>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</si>
  <si>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</si>
  <si>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</si>
  <si>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</si>
  <si>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</si>
  <si>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</si>
  <si>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</si>
  <si>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</si>
  <si>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</si>
  <si>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</si>
  <si>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</si>
  <si>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</si>
  <si>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</si>
  <si>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</si>
  <si>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</si>
  <si>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</si>
  <si>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</si>
  <si>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</si>
  <si>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</si>
  <si>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</si>
  <si>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</si>
  <si>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</si>
  <si>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</si>
  <si>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</si>
  <si>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</si>
  <si>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</si>
  <si>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</si>
  <si>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</si>
  <si>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</si>
  <si>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</si>
  <si>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</si>
  <si>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</si>
  <si>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</si>
  <si>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</si>
  <si>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</si>
  <si>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</si>
  <si>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</si>
  <si>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</si>
  <si>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</si>
  <si>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</si>
  <si>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</si>
  <si>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</si>
  <si>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</si>
  <si>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</si>
  <si>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</si>
  <si>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</si>
  <si>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</si>
  <si>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</si>
  <si>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</si>
  <si>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</si>
  <si>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</si>
  <si>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</si>
  <si>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</si>
  <si>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</si>
  <si>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</si>
  <si>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</si>
  <si>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</si>
  <si>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</si>
  <si>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</si>
  <si>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</si>
  <si>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</si>
  <si>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</si>
  <si>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</si>
  <si>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</si>
  <si>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</si>
  <si>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</si>
  <si>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</si>
  <si>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</si>
  <si>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</si>
  <si>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</si>
  <si>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</si>
  <si>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</si>
  <si>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</si>
  <si>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</si>
  <si>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</si>
  <si>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</si>
  <si>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</si>
  <si>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</si>
  <si>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</si>
  <si>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</si>
  <si>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</si>
  <si>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</si>
  <si>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</si>
  <si>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</si>
  <si>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</si>
  <si>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</si>
  <si>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</si>
  <si>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</si>
  <si>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</si>
  <si>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</si>
  <si>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</si>
  <si>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</si>
  <si>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</si>
  <si>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</si>
  <si>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</si>
  <si>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</si>
  <si>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</si>
  <si>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</si>
  <si>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</si>
  <si>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</si>
  <si>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</si>
  <si>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</si>
  <si>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</si>
  <si>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</si>
  <si>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</si>
  <si>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</si>
  <si>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</si>
  <si>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</si>
  <si>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</si>
  <si>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</si>
  <si>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</si>
  <si>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</si>
  <si>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</si>
  <si>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</si>
  <si>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</si>
  <si>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</si>
  <si>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</si>
  <si>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</si>
  <si>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</si>
  <si>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</si>
  <si>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</si>
  <si>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</si>
  <si>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</si>
  <si>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</si>
  <si>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</si>
  <si>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</si>
  <si>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</si>
  <si>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</si>
  <si>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</si>
  <si>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</si>
  <si>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</si>
  <si>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</si>
  <si>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</si>
  <si>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</si>
  <si>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</si>
  <si>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</si>
  <si>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</si>
  <si>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</si>
  <si>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</si>
  <si>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</si>
  <si>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</si>
  <si>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</si>
  <si>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</si>
  <si>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</si>
  <si>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</si>
  <si>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</si>
  <si>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</si>
  <si>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</si>
  <si>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</si>
  <si>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</si>
  <si>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</si>
  <si>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</si>
  <si>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</si>
  <si>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</si>
  <si>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</si>
  <si>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</si>
  <si>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</si>
  <si>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</si>
  <si>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</si>
  <si>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</si>
  <si>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</si>
  <si>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</si>
  <si>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</si>
  <si>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</si>
  <si>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</si>
  <si>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</si>
  <si>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</si>
  <si>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</si>
  <si>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</si>
  <si>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</si>
  <si>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</si>
  <si>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</si>
  <si>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</si>
  <si>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</si>
  <si>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</si>
  <si>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</si>
  <si>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</si>
  <si>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</si>
  <si>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</si>
  <si>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</si>
  <si>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</si>
  <si>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</si>
  <si>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</si>
  <si>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</si>
  <si>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</si>
  <si>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</si>
  <si>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</si>
  <si>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</si>
  <si>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</si>
  <si>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</si>
  <si>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</si>
  <si>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</si>
  <si>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</si>
  <si>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</si>
  <si>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</si>
  <si>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</si>
  <si>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</si>
  <si>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</si>
  <si>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</si>
  <si>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</si>
  <si>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</si>
  <si>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</si>
  <si>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</si>
  <si>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</si>
  <si>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</si>
  <si>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</si>
  <si>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</si>
  <si>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</si>
  <si>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</si>
  <si>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</si>
  <si>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</si>
  <si>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</si>
  <si>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</si>
  <si>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</si>
  <si>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</si>
  <si>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</si>
  <si>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</si>
  <si>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</si>
  <si>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</si>
  <si>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</si>
  <si>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</si>
  <si>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</si>
  <si>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</si>
  <si>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</si>
  <si>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</si>
  <si>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</si>
  <si>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</si>
  <si>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</si>
  <si>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</si>
  <si>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</si>
  <si>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</si>
  <si>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</si>
  <si>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</si>
  <si>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</si>
  <si>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</si>
  <si>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</si>
  <si>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</si>
  <si>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</si>
  <si>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</si>
  <si>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</si>
  <si>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</si>
  <si>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</si>
  <si>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</si>
  <si>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</si>
  <si>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</si>
  <si>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</si>
  <si>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</si>
  <si>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</si>
  <si>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</si>
  <si>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</si>
  <si>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</si>
  <si>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</si>
  <si>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</si>
  <si>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</si>
  <si>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</si>
  <si>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</si>
  <si>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</si>
  <si>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</si>
  <si>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</si>
  <si>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</si>
  <si>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</si>
  <si>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</si>
  <si>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</si>
  <si>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</si>
  <si>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</si>
  <si>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</si>
  <si>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</si>
  <si>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</si>
  <si>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</si>
  <si>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</si>
  <si>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</si>
  <si>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</si>
  <si>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</si>
  <si>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</si>
  <si>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</si>
  <si>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</si>
  <si>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</si>
  <si>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</si>
  <si>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</si>
  <si>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</si>
  <si>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</si>
  <si>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</si>
  <si>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</si>
  <si>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</si>
  <si>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</si>
  <si>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</si>
  <si>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</si>
  <si>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</si>
  <si>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</si>
  <si>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</si>
  <si>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</si>
  <si>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</si>
  <si>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</si>
  <si>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</si>
  <si>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</si>
  <si>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</si>
  <si>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</si>
  <si>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</si>
  <si>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</si>
  <si>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</si>
  <si>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</si>
  <si>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</si>
  <si>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</si>
  <si>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</si>
  <si>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</si>
  <si>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</si>
  <si>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</si>
  <si>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</si>
  <si>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</si>
  <si>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</si>
  <si>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</si>
  <si>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</si>
  <si>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</si>
  <si>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</si>
  <si>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</si>
  <si>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</si>
  <si>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</si>
  <si>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</si>
  <si>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</si>
  <si>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</si>
  <si>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</si>
  <si>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</si>
  <si>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</si>
  <si>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</si>
  <si>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</si>
  <si>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</si>
  <si>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</si>
  <si>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</si>
  <si>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</si>
  <si>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</si>
  <si>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</si>
  <si>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</si>
  <si>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</si>
  <si>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</si>
  <si>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</si>
  <si>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</si>
  <si>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</si>
  <si>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</si>
  <si>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</si>
  <si>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</si>
  <si>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</si>
  <si>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</si>
  <si>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</si>
  <si>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</si>
  <si>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</si>
  <si>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</si>
  <si>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</si>
  <si>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</si>
  <si>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</si>
  <si>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</si>
  <si>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</si>
  <si>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</si>
  <si>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</si>
  <si>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</si>
  <si>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</si>
  <si>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</si>
  <si>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</si>
  <si>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</si>
  <si>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</si>
  <si>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</si>
  <si>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</si>
  <si>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</si>
  <si>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</si>
  <si>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</si>
  <si>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</si>
  <si>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</si>
  <si>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</si>
  <si>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</si>
  <si>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</si>
  <si>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</si>
  <si>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</si>
  <si>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</si>
  <si>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</si>
  <si>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</si>
  <si>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</si>
  <si>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</si>
  <si>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</si>
  <si>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</si>
  <si>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</si>
  <si>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</si>
  <si>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</si>
  <si>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</si>
  <si>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</si>
  <si>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</si>
  <si>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</si>
  <si>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</si>
  <si>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</si>
  <si>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</si>
  <si>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</si>
  <si>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</si>
  <si>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</si>
  <si>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</si>
  <si>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</si>
  <si>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</si>
  <si>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</si>
  <si>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</si>
  <si>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</si>
  <si>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</si>
  <si>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</si>
  <si>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</si>
  <si>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</si>
  <si>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</si>
  <si>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</si>
  <si>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</si>
  <si>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</si>
  <si>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</si>
  <si>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</si>
  <si>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</si>
  <si>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</si>
  <si>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</si>
  <si>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</si>
  <si>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</si>
  <si>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</si>
  <si>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</si>
  <si>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</si>
  <si>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</si>
  <si>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</si>
  <si>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</si>
  <si>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</si>
  <si>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</si>
  <si>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</si>
  <si>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</si>
  <si>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</si>
  <si>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</si>
  <si>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</si>
  <si>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</si>
  <si>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</si>
  <si>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</si>
  <si>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</si>
  <si>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</si>
  <si>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</si>
  <si>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</si>
  <si>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</si>
  <si>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</si>
  <si>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</si>
  <si>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</si>
  <si>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</si>
  <si>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</si>
  <si>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</si>
  <si>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</si>
  <si>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</si>
  <si>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</si>
  <si>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</si>
  <si>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</si>
  <si>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</si>
  <si>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</si>
  <si>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</si>
  <si>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</si>
  <si>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</si>
  <si>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</si>
  <si>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</si>
  <si>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</si>
  <si>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</si>
  <si>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</si>
  <si>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</si>
  <si>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</si>
  <si>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</si>
  <si>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</si>
  <si>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</si>
  <si>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</si>
  <si>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</si>
  <si>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</si>
  <si>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</si>
  <si>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</si>
  <si>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</si>
  <si>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</si>
  <si>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</si>
  <si>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</si>
  <si>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</si>
  <si>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</si>
  <si>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</si>
  <si>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</si>
  <si>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</si>
  <si>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</si>
  <si>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</si>
  <si>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</si>
  <si>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</si>
  <si>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</si>
  <si>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</si>
  <si>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</si>
  <si>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</si>
  <si>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</si>
  <si>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</si>
  <si>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</si>
  <si>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</si>
  <si>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</si>
  <si>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</si>
  <si>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</si>
  <si>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</si>
  <si>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</si>
  <si>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</si>
  <si>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</si>
  <si>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</si>
  <si>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</si>
  <si>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</si>
  <si>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</si>
  <si>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</si>
  <si>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</si>
  <si>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</si>
  <si>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</si>
  <si>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</si>
  <si>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</si>
  <si>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</si>
  <si>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</si>
  <si>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</si>
  <si>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</si>
  <si>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</si>
  <si>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</si>
  <si>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</si>
  <si>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</si>
  <si>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</si>
  <si>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</si>
  <si>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</si>
  <si>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</si>
  <si>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</si>
  <si>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</si>
  <si>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</si>
  <si>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</si>
  <si>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</si>
  <si>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</si>
  <si>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</si>
  <si>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</si>
  <si>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</si>
  <si>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</si>
  <si>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</si>
  <si>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</si>
  <si>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</si>
  <si>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</si>
  <si>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</si>
  <si>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</si>
  <si>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</si>
  <si>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</si>
  <si>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</si>
  <si>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</si>
  <si>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</si>
  <si>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</si>
  <si>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</si>
  <si>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</si>
  <si>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</si>
  <si>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</si>
  <si>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</si>
  <si>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</si>
  <si>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</si>
  <si>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</si>
  <si>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</si>
  <si>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</si>
  <si>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</si>
  <si>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</si>
  <si>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</si>
  <si>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</si>
  <si>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</si>
  <si>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</si>
  <si>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</si>
  <si>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</si>
  <si>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</si>
  <si>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</si>
  <si>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</si>
  <si>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</si>
  <si>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</si>
  <si>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</si>
  <si>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</si>
  <si>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</si>
  <si>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</si>
  <si>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</si>
  <si>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</si>
  <si>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</si>
  <si>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</si>
  <si>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</si>
  <si>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</si>
  <si>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</si>
  <si>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</si>
  <si>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</si>
  <si>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</si>
  <si>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</si>
  <si>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</si>
  <si>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</si>
  <si>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</si>
  <si>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</si>
  <si>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</si>
  <si>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</si>
  <si>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</si>
  <si>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</si>
  <si>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</si>
  <si>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</si>
  <si>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</si>
  <si>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</si>
  <si>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</si>
  <si>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</si>
  <si>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</si>
  <si>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</si>
  <si>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</si>
  <si>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</si>
  <si>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</si>
  <si>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</si>
  <si>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</si>
  <si>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</si>
  <si>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</si>
  <si>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</si>
  <si>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</si>
  <si>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</si>
  <si>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</si>
  <si>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</si>
  <si>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</si>
  <si>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</si>
  <si>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</si>
  <si>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</si>
  <si>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</si>
  <si>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</si>
  <si>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</si>
  <si>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</si>
  <si>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</si>
  <si>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</si>
  <si>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</si>
  <si>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</si>
  <si>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</si>
  <si>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</si>
  <si>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</si>
  <si>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</si>
  <si>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</si>
  <si>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</si>
  <si>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</si>
  <si>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</si>
  <si>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</si>
  <si>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</si>
  <si>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</si>
  <si>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</si>
  <si>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</si>
  <si>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</si>
  <si>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</si>
  <si>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</si>
  <si>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</si>
  <si>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</si>
  <si>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</si>
  <si>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</si>
  <si>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</si>
  <si>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</si>
  <si>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</si>
  <si>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</si>
  <si>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</si>
  <si>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</si>
  <si>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</si>
  <si>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</si>
  <si>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</si>
  <si>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</si>
  <si>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</si>
  <si>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</si>
  <si>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</si>
  <si>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</si>
  <si>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</si>
  <si>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</si>
  <si>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</si>
  <si>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</si>
  <si>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</si>
  <si>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</si>
  <si>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</si>
  <si>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</si>
  <si>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</si>
  <si>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</si>
  <si>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</si>
  <si>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</si>
  <si>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</si>
  <si>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</si>
  <si>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</si>
  <si>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</si>
  <si>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</si>
  <si>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</si>
  <si>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</si>
  <si>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</si>
  <si>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</si>
  <si>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</si>
  <si>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</si>
  <si>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</si>
  <si>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</si>
  <si>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</si>
  <si>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</si>
  <si>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</si>
  <si>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</si>
  <si>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</si>
  <si>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</si>
  <si>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</si>
  <si>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</si>
  <si>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</si>
  <si>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</si>
  <si>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</si>
  <si>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</si>
  <si>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</si>
  <si>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</si>
  <si>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</si>
  <si>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</si>
  <si>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</si>
  <si>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</si>
  <si>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</si>
  <si>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</si>
  <si>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</si>
  <si>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</si>
  <si>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</si>
  <si>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</si>
  <si>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</si>
  <si>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</si>
  <si>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</si>
  <si>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</si>
  <si>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</si>
  <si>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</si>
  <si>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</si>
  <si>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</si>
  <si>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</si>
  <si>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</si>
  <si>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</si>
  <si>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</si>
  <si>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</si>
  <si>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</si>
  <si>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</si>
  <si>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</si>
  <si>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</si>
  <si>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</si>
  <si>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</si>
  <si>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</si>
  <si>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</si>
  <si>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</si>
  <si>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</si>
  <si>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</si>
  <si>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</si>
  <si>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</si>
  <si>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</si>
  <si>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</si>
  <si>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</si>
  <si>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</si>
  <si>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</si>
  <si>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</si>
  <si>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</si>
  <si>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</si>
  <si>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</si>
  <si>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</si>
  <si>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</si>
  <si>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</si>
  <si>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</si>
  <si>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</si>
  <si>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</si>
  <si>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</si>
  <si>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</si>
  <si>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</si>
  <si>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</si>
  <si>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</si>
  <si>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</si>
  <si>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</si>
  <si>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</si>
  <si>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</si>
  <si>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</si>
  <si>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</si>
  <si>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</si>
  <si>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</si>
  <si>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</si>
  <si>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</si>
  <si>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</si>
  <si>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</si>
  <si>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</si>
  <si>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</si>
  <si>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</si>
  <si>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</si>
  <si>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</si>
  <si>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</si>
  <si>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</si>
  <si>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</si>
  <si>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</si>
  <si>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</si>
  <si>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</si>
  <si>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</si>
  <si>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</si>
  <si>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</si>
  <si>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</si>
  <si>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</si>
  <si>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</si>
  <si>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</si>
  <si>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</si>
  <si>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</si>
  <si>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</si>
  <si>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</si>
  <si>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</si>
  <si>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</si>
  <si>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</si>
  <si>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</si>
  <si>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</si>
  <si>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</si>
  <si>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</si>
  <si>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</si>
  <si>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</si>
  <si>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</si>
  <si>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</si>
  <si>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</si>
  <si>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</si>
  <si>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</si>
  <si>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</si>
  <si>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</si>
  <si>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</si>
  <si>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</si>
  <si>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</si>
  <si>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</si>
  <si>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</si>
  <si>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</si>
  <si>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</si>
  <si>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</si>
  <si>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</si>
  <si>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</si>
  <si>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</si>
  <si>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</si>
  <si>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</si>
  <si>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</si>
  <si>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</si>
  <si>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</si>
  <si>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</si>
  <si>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</si>
  <si>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</si>
  <si>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</si>
  <si>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</si>
  <si>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</si>
  <si>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</si>
  <si>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</si>
  <si>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</si>
  <si>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</si>
  <si>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</si>
  <si>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</si>
  <si>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</si>
  <si>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</si>
  <si>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</si>
  <si>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</si>
  <si>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</si>
  <si>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</si>
  <si>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</si>
  <si>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</si>
  <si>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</si>
  <si>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</si>
  <si>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</si>
  <si>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</si>
  <si>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</si>
  <si>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</si>
  <si>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</si>
  <si>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</si>
  <si>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</si>
  <si>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</si>
  <si>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</si>
  <si>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</si>
  <si>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</si>
  <si>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</si>
  <si>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</si>
  <si>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</si>
  <si>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</si>
  <si>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</si>
  <si>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</si>
  <si>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</si>
  <si>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</si>
  <si>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</si>
  <si>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</si>
  <si>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</si>
  <si>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</si>
  <si>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</si>
  <si>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</si>
  <si>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</si>
  <si>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</si>
  <si>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</si>
  <si>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</si>
  <si>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</si>
  <si>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</si>
  <si>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</si>
  <si>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</si>
  <si>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</si>
  <si>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</si>
  <si>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</si>
  <si>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</si>
  <si>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</si>
  <si>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</si>
  <si>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</si>
  <si>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</si>
  <si>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</si>
  <si>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</si>
  <si>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</si>
  <si>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</si>
  <si>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</si>
  <si>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</si>
  <si>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</si>
  <si>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</si>
  <si>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</si>
  <si>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</si>
  <si>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</si>
  <si>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</si>
  <si>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</si>
  <si>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</si>
  <si>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</si>
  <si>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</si>
  <si>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</si>
  <si>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</si>
  <si>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</si>
  <si>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</si>
  <si>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</si>
  <si>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</si>
  <si>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</si>
  <si>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</si>
  <si>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</si>
  <si>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</si>
  <si>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</si>
  <si>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</si>
  <si>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</si>
  <si>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</si>
  <si>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</si>
  <si>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</si>
  <si>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</si>
  <si>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</si>
  <si>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</si>
  <si>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</si>
  <si>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</si>
  <si>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</si>
  <si>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</si>
  <si>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</si>
  <si>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</si>
  <si>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</si>
  <si>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</si>
  <si>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</si>
  <si>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</si>
  <si>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</si>
  <si>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</si>
  <si>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</si>
  <si>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</si>
  <si>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</si>
  <si>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</si>
  <si>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</si>
  <si>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</si>
  <si>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</si>
  <si>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</si>
  <si>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</si>
  <si>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</si>
  <si>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</si>
  <si>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</si>
  <si>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</si>
  <si>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</si>
  <si>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</si>
  <si>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</si>
  <si>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</si>
  <si>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</si>
  <si>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</si>
  <si>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</si>
  <si>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</si>
  <si>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</si>
  <si>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</si>
  <si>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</si>
  <si>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</si>
  <si>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</si>
  <si>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</si>
  <si>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</si>
  <si>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</si>
  <si>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</si>
  <si>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</si>
  <si>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</si>
  <si>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</si>
  <si>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</si>
  <si>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</si>
  <si>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</si>
  <si>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</si>
  <si>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</si>
  <si>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</si>
  <si>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</si>
  <si>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</si>
  <si>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</si>
  <si>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</si>
  <si>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</si>
  <si>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</si>
  <si>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</si>
  <si>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</si>
  <si>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</si>
  <si>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</si>
  <si>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</si>
  <si>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</si>
  <si>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</si>
  <si>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</si>
  <si>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</si>
  <si>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</si>
  <si>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</si>
  <si>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</si>
  <si>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</si>
  <si>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</si>
  <si>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</si>
  <si>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</si>
  <si>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</si>
  <si>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</si>
  <si>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</si>
  <si>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</si>
  <si>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</si>
  <si>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</si>
  <si>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</si>
  <si>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</si>
  <si>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</si>
  <si>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</si>
  <si>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</si>
  <si>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</si>
  <si>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</si>
  <si>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</si>
  <si>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</si>
  <si>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</si>
  <si>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</si>
  <si>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</si>
  <si>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</si>
  <si>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</si>
  <si>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</si>
  <si>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</si>
  <si>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</si>
  <si>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</si>
  <si>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</si>
  <si>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</si>
  <si>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</si>
  <si>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</si>
  <si>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</si>
  <si>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</si>
  <si>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</si>
  <si>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</si>
  <si>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</si>
  <si>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</si>
  <si>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</si>
  <si>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</si>
  <si>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</si>
  <si>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</si>
  <si>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</si>
  <si>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</si>
  <si>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</si>
  <si>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</si>
  <si>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</si>
  <si>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</si>
  <si>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</si>
  <si>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</si>
  <si>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</si>
  <si>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</si>
  <si>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</si>
  <si>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</si>
  <si>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</si>
  <si>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</si>
  <si>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</si>
  <si>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</si>
  <si>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</si>
  <si>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</si>
  <si>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</si>
  <si>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</si>
  <si>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</si>
  <si>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</si>
  <si>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</si>
  <si>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</si>
  <si>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</si>
  <si>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</si>
  <si>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</si>
  <si>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</si>
  <si>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</si>
  <si>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</si>
  <si>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</si>
  <si>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</si>
  <si>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</si>
  <si>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</si>
  <si>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</si>
  <si>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</si>
  <si>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</si>
  <si>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</si>
  <si>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</si>
  <si>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</si>
  <si>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</si>
  <si>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</si>
  <si>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</si>
  <si>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</si>
  <si>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</si>
  <si>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</si>
  <si>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</si>
  <si>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</si>
  <si>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</si>
  <si>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</si>
  <si>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</si>
  <si>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</si>
  <si>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</si>
  <si>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</si>
  <si>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</si>
  <si>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</si>
  <si>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</si>
  <si>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</si>
  <si>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</si>
  <si>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</si>
  <si>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</si>
  <si>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</si>
  <si>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</si>
  <si>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</si>
  <si>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</si>
  <si>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</si>
  <si>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</si>
  <si>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</si>
  <si>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</si>
  <si>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</si>
  <si>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</si>
  <si>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</si>
  <si>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</si>
  <si>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</si>
  <si>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</si>
  <si>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</si>
  <si>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</si>
  <si>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</si>
  <si>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</si>
  <si>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</si>
  <si>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</si>
  <si>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</si>
  <si>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</si>
  <si>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</si>
  <si>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</si>
  <si>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</si>
  <si>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</si>
  <si>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</si>
  <si>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</si>
  <si>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</si>
  <si>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</si>
  <si>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</si>
  <si>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</si>
  <si>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</si>
  <si>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</si>
  <si>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</si>
  <si>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</si>
  <si>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</si>
  <si>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</si>
  <si>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</si>
  <si>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</si>
  <si>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</si>
  <si>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</si>
  <si>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</si>
  <si>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</si>
  <si>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</si>
  <si>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</si>
  <si>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</si>
  <si>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</si>
  <si>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</si>
  <si>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</si>
  <si>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</si>
  <si>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</si>
  <si>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</si>
  <si>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</si>
  <si>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</si>
  <si>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</si>
  <si>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</si>
  <si>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</si>
  <si>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</si>
  <si>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</si>
  <si>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</si>
  <si>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</si>
  <si>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</si>
  <si>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</si>
  <si>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</si>
  <si>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</si>
  <si>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</si>
  <si>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</si>
  <si>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</si>
  <si>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</si>
  <si>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</si>
  <si>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</si>
  <si>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</si>
  <si>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</si>
  <si>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</si>
  <si>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</si>
  <si>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</si>
  <si>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</si>
  <si>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</si>
  <si>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</si>
  <si>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</si>
  <si>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</si>
  <si>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</si>
  <si>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</si>
  <si>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</si>
  <si>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</si>
  <si>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</si>
  <si>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</si>
  <si>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</si>
  <si>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</si>
  <si>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</si>
  <si>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</si>
  <si>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</si>
  <si>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</si>
  <si>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</si>
  <si>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</si>
  <si>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</si>
  <si>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</si>
  <si>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</si>
  <si>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</si>
  <si>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</si>
  <si>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</si>
  <si>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</si>
  <si>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</si>
  <si>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</si>
  <si>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</si>
  <si>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</si>
  <si>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</si>
  <si>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</si>
  <si>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</si>
  <si>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</si>
  <si>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</si>
  <si>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</si>
  <si>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</si>
  <si>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</si>
  <si>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</si>
  <si>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</si>
  <si>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</si>
  <si>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</si>
  <si>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</si>
  <si>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</si>
  <si>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</si>
  <si>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</si>
  <si>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</si>
  <si>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</si>
  <si>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</si>
  <si>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</si>
  <si>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</si>
  <si>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</si>
  <si>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</si>
  <si>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</si>
  <si>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</si>
  <si>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</si>
  <si>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</si>
  <si>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</si>
  <si>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</si>
  <si>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</si>
  <si>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</si>
  <si>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</si>
  <si>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</si>
  <si>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</si>
  <si>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</si>
  <si>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</si>
  <si>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</si>
  <si>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</si>
  <si>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</si>
  <si>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</si>
  <si>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</si>
  <si>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</si>
  <si>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</si>
  <si>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</si>
  <si>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</si>
  <si>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</si>
  <si>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</si>
  <si>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</si>
  <si>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</si>
  <si>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</si>
  <si>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</si>
  <si>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</si>
  <si>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</si>
  <si>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</si>
  <si>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</si>
  <si>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</si>
  <si>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</si>
  <si>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</si>
  <si>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</si>
  <si>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</si>
  <si>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</si>
  <si>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</si>
  <si>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</si>
  <si>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</si>
  <si>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</si>
  <si>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</si>
  <si>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</si>
  <si>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</si>
  <si>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</si>
  <si>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</si>
  <si>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</si>
  <si>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</si>
  <si>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</si>
  <si>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</si>
  <si>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</si>
  <si>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</si>
  <si>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</si>
  <si>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</si>
  <si>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</si>
  <si>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</si>
  <si>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</si>
  <si>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</si>
  <si>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</si>
  <si>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</si>
  <si>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</si>
  <si>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</si>
  <si>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</si>
  <si>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</si>
  <si>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</si>
  <si>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</si>
  <si>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</si>
  <si>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</si>
  <si>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</si>
  <si>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</si>
  <si>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</si>
  <si>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</si>
  <si>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</si>
  <si>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</si>
  <si>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</si>
  <si>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</si>
  <si>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</si>
  <si>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</si>
  <si>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</si>
  <si>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</si>
  <si>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</si>
  <si>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</si>
  <si>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</si>
  <si>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</si>
  <si>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</si>
  <si>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</si>
  <si>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</si>
  <si>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</si>
  <si>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</si>
  <si>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</si>
  <si>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</si>
  <si>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</si>
  <si>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</si>
  <si>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</si>
  <si>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</si>
  <si>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</si>
  <si>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</si>
  <si>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</si>
  <si>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</si>
  <si>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</si>
  <si>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</si>
  <si>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</si>
  <si>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</si>
  <si>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</si>
  <si>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</si>
  <si>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</si>
  <si>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</si>
  <si>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</si>
  <si>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</si>
  <si>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</si>
  <si>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</si>
  <si>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</si>
  <si>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</si>
  <si>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</si>
  <si>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</si>
  <si>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</si>
  <si>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</si>
  <si>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</si>
  <si>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</si>
  <si>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</si>
  <si>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</si>
  <si>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</si>
  <si>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</si>
  <si>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</si>
  <si>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</si>
  <si>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</si>
  <si>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</si>
  <si>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</si>
  <si>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</si>
  <si>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</si>
  <si>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</si>
  <si>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</si>
  <si>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</si>
  <si>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</si>
  <si>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</si>
  <si>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</si>
  <si>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</si>
  <si>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</si>
  <si>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</si>
  <si>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</si>
  <si>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</si>
  <si>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</si>
  <si>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</si>
  <si>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</si>
  <si>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</si>
  <si>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</si>
  <si>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</si>
  <si>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</si>
  <si>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</si>
  <si>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</si>
  <si>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</si>
  <si>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</si>
  <si>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</si>
  <si>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</si>
  <si>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</si>
  <si>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</si>
  <si>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</si>
  <si>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</si>
  <si>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</si>
  <si>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</si>
  <si>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</si>
  <si>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</si>
  <si>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</si>
  <si>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</si>
  <si>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</si>
  <si>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</si>
  <si>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</si>
  <si>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</si>
  <si>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</si>
  <si>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</si>
  <si>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</si>
  <si>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</si>
  <si>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</si>
  <si>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</si>
  <si>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</si>
  <si>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</si>
  <si>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</si>
  <si>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</si>
  <si>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</si>
  <si>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</si>
  <si>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</si>
  <si>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</si>
  <si>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</si>
  <si>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</si>
  <si>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</si>
  <si>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</si>
  <si>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</si>
  <si>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</si>
  <si>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</si>
  <si>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</si>
  <si>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</si>
  <si>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</si>
  <si>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</si>
  <si>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</si>
  <si>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</si>
  <si>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</si>
  <si>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</si>
  <si>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</si>
  <si>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</si>
  <si>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</si>
  <si>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</si>
  <si>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</si>
  <si>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</si>
  <si>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</si>
  <si>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</si>
  <si>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</si>
  <si>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</si>
  <si>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</si>
  <si>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</si>
  <si>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</si>
  <si>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</si>
  <si>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</si>
  <si>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</si>
  <si>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</si>
  <si>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</si>
  <si>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</si>
  <si>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</si>
  <si>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</si>
  <si>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</si>
  <si>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</si>
  <si>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</si>
  <si>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</si>
  <si>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</si>
  <si>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</si>
  <si>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</si>
  <si>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</si>
  <si>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</si>
  <si>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</si>
  <si>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</si>
  <si>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</si>
  <si>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</si>
  <si>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</si>
  <si>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</si>
  <si>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</si>
  <si>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</si>
  <si>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</si>
  <si>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</si>
  <si>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</si>
  <si>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</si>
  <si>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</si>
  <si>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</si>
  <si>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</si>
  <si>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</si>
  <si>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</si>
  <si>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</si>
  <si>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</si>
  <si>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</si>
  <si>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</si>
  <si>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</si>
  <si>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</si>
  <si>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</si>
  <si>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</si>
  <si>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</si>
  <si>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</si>
  <si>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</si>
  <si>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</si>
  <si>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</si>
  <si>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</si>
  <si>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</si>
  <si>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</si>
  <si>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</si>
  <si>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</si>
  <si>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</si>
  <si>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</si>
  <si>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</si>
  <si>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</si>
  <si>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</si>
  <si>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</si>
  <si>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</si>
  <si>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</si>
  <si>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</si>
  <si>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</si>
  <si>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</si>
  <si>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</si>
  <si>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</si>
  <si>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</si>
  <si>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</si>
  <si>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</si>
  <si>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</si>
  <si>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</si>
  <si>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</si>
  <si>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</si>
  <si>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</si>
  <si>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</si>
  <si>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</si>
  <si>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</si>
  <si>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</si>
  <si>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</si>
  <si>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</si>
  <si>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</si>
  <si>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</si>
  <si>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</si>
  <si>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</si>
  <si>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</si>
  <si>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</si>
  <si>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</si>
  <si>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</si>
  <si>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</si>
  <si>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</si>
  <si>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</si>
  <si>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</si>
  <si>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</si>
  <si>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</si>
  <si>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</si>
  <si>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</si>
  <si>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</si>
  <si>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</si>
  <si>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</si>
  <si>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</si>
  <si>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</si>
  <si>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</si>
  <si>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</si>
  <si>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</si>
  <si>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</si>
  <si>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</si>
  <si>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</si>
  <si>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</si>
  <si>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</si>
  <si>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</si>
  <si>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</si>
  <si>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</si>
  <si>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</si>
  <si>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</si>
  <si>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</si>
  <si>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</si>
  <si>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</si>
  <si>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</si>
  <si>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</si>
  <si>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</si>
  <si>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</si>
  <si>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</si>
  <si>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</si>
  <si>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</si>
  <si>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</si>
  <si>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</si>
  <si>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</si>
  <si>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</si>
  <si>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</si>
  <si>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</si>
  <si>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</si>
  <si>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</si>
  <si>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</si>
  <si>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</si>
  <si>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</si>
  <si>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</si>
  <si>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</si>
  <si>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</si>
  <si>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</si>
  <si>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</si>
  <si>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</si>
  <si>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</si>
  <si>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</si>
  <si>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</si>
  <si>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</si>
  <si>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</si>
  <si>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</si>
  <si>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</si>
  <si>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</si>
  <si>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</si>
  <si>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</si>
  <si>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</si>
  <si>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</si>
  <si>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</si>
  <si>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</si>
  <si>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</si>
  <si>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</si>
  <si>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</si>
  <si>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</si>
  <si>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</si>
  <si>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</si>
  <si>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</si>
  <si>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</si>
  <si>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</si>
  <si>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</si>
  <si>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</si>
  <si>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</si>
  <si>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</si>
  <si>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</si>
  <si>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</si>
  <si>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</si>
  <si>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</si>
  <si>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</si>
  <si>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</si>
  <si>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</si>
  <si>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</si>
  <si>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</si>
  <si>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</si>
  <si>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</si>
  <si>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</si>
  <si>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</si>
  <si>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</si>
  <si>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</si>
  <si>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</si>
  <si>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</si>
  <si>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</si>
  <si>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</si>
  <si>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</si>
  <si>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</si>
  <si>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</si>
  <si>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</si>
  <si>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</si>
  <si>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</si>
  <si>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</si>
  <si>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</si>
  <si>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</si>
  <si>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</si>
  <si>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</si>
  <si>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</si>
  <si>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</si>
  <si>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</si>
  <si>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</si>
  <si>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</si>
  <si>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</si>
  <si>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</si>
  <si>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</si>
  <si>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</si>
  <si>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</si>
  <si>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</si>
  <si>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</si>
  <si>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</si>
  <si>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</si>
  <si>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</si>
  <si>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</si>
  <si>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</si>
  <si>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</si>
  <si>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</si>
  <si>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</si>
  <si>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</si>
  <si>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</si>
  <si>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</si>
  <si>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</si>
  <si>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</si>
  <si>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</si>
  <si>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</si>
  <si>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</si>
  <si>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</si>
  <si>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</si>
  <si>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</si>
  <si>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</si>
  <si>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</si>
  <si>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</si>
  <si>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</si>
  <si>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</si>
  <si>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</si>
  <si>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</si>
  <si>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</si>
  <si>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</si>
  <si>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</si>
  <si>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</si>
  <si>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</si>
  <si>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</si>
  <si>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</si>
  <si>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</si>
  <si>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</si>
  <si>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</si>
  <si>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</si>
  <si>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</si>
  <si>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</si>
  <si>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</si>
  <si>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</si>
  <si>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</si>
  <si>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</si>
  <si>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</si>
  <si>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</si>
  <si>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</si>
  <si>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</si>
  <si>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</si>
  <si>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</si>
  <si>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</si>
  <si>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</si>
  <si>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</si>
  <si>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</si>
  <si>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</si>
  <si>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</si>
  <si>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</si>
  <si>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</si>
  <si>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</si>
  <si>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</si>
  <si>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</si>
  <si>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</si>
  <si>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</si>
  <si>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</si>
  <si>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</si>
  <si>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</si>
  <si>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</si>
  <si>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</si>
  <si>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</si>
  <si>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</si>
  <si>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</si>
  <si>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</si>
  <si>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</si>
  <si>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</si>
  <si>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</si>
  <si>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</si>
  <si>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</si>
  <si>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</si>
  <si>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</si>
  <si>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</si>
  <si>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</si>
  <si>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</si>
  <si>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</si>
  <si>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</si>
  <si>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</si>
  <si>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</si>
  <si>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</si>
  <si>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</si>
  <si>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</si>
  <si>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</si>
  <si>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</si>
  <si>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</si>
  <si>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</si>
  <si>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</si>
  <si>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</si>
  <si>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</si>
  <si>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</si>
  <si>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</si>
  <si>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</si>
  <si>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</si>
  <si>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</si>
  <si>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</si>
  <si>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</si>
  <si>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</si>
  <si>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</si>
  <si>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</si>
  <si>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</si>
  <si>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</si>
  <si>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</si>
  <si>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</si>
  <si>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</si>
  <si>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</si>
  <si>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</si>
  <si>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</si>
  <si>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</si>
  <si>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</si>
  <si>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</si>
  <si>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</si>
  <si>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</si>
  <si>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</si>
  <si>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</si>
  <si>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</si>
  <si>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</si>
  <si>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</si>
  <si>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</si>
  <si>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</si>
  <si>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</si>
  <si>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</si>
  <si>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</si>
  <si>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</si>
  <si>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</si>
  <si>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</si>
  <si>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</si>
  <si>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</si>
  <si>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</si>
  <si>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</si>
  <si>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</si>
  <si>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</si>
  <si>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</si>
  <si>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</si>
  <si>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</si>
  <si>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</si>
  <si>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</si>
  <si>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</si>
  <si>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</si>
  <si>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</si>
  <si>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</si>
  <si>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</si>
  <si>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</si>
  <si>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</si>
  <si>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</si>
  <si>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</si>
  <si>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</si>
  <si>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</si>
  <si>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</si>
  <si>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</si>
  <si>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</si>
  <si>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</si>
  <si>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</si>
  <si>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</si>
  <si>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</si>
  <si>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</si>
  <si>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</si>
  <si>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</si>
  <si>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</si>
  <si>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</si>
  <si>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</si>
  <si>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</si>
  <si>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</si>
  <si>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</si>
  <si>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</si>
  <si>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</si>
  <si>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</si>
  <si>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</si>
  <si>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</si>
  <si>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</si>
  <si>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</si>
  <si>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</si>
  <si>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</si>
  <si>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</si>
  <si>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</si>
  <si>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</si>
  <si>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</si>
  <si>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</si>
  <si>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</si>
  <si>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</si>
  <si>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</si>
  <si>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</si>
  <si>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</si>
  <si>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</si>
  <si>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</si>
  <si>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</si>
  <si>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</si>
  <si>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</si>
  <si>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</si>
  <si>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</si>
  <si>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</si>
  <si>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</si>
  <si>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</si>
  <si>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</si>
  <si>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</si>
  <si>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</si>
  <si>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</si>
  <si>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</si>
  <si>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</si>
  <si>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</si>
  <si>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</si>
  <si>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</si>
  <si>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</si>
  <si>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</si>
  <si>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</si>
  <si>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</si>
  <si>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</si>
  <si>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</si>
  <si>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</si>
  <si>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</si>
  <si>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</si>
  <si>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</si>
  <si>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</si>
  <si>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</si>
  <si>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</si>
  <si>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</si>
  <si>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</si>
  <si>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</si>
  <si>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</si>
  <si>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</si>
  <si>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</si>
  <si>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</si>
  <si>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</si>
  <si>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</si>
  <si>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</si>
  <si>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</si>
  <si>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</si>
  <si>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</si>
  <si>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</si>
  <si>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</si>
  <si>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</si>
  <si>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</si>
  <si>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</si>
  <si>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</si>
  <si>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</si>
  <si>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</si>
  <si>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</si>
  <si>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</si>
  <si>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</si>
  <si>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</si>
  <si>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</si>
  <si>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</si>
  <si>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</si>
  <si>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</si>
  <si>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</si>
  <si>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</si>
  <si>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</si>
  <si>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</si>
  <si>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</si>
  <si>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</si>
  <si>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</si>
  <si>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</si>
  <si>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</si>
  <si>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</si>
  <si>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</si>
  <si>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</si>
  <si>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</si>
  <si>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</si>
  <si>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</si>
  <si>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</si>
  <si>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</si>
  <si>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</si>
  <si>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</si>
  <si>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</si>
  <si>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</si>
  <si>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</si>
  <si>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</si>
  <si>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</si>
  <si>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</si>
  <si>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</si>
  <si>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</si>
  <si>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</si>
  <si>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</si>
  <si>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</si>
  <si>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</si>
  <si>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</si>
  <si>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</si>
  <si>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</si>
  <si>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</si>
  <si>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</si>
  <si>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</si>
  <si>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</si>
  <si>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</si>
  <si>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</si>
  <si>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</si>
  <si>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</si>
  <si>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</si>
  <si>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</si>
  <si>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</si>
  <si>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</si>
  <si>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</si>
  <si>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</si>
  <si>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</si>
  <si>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</si>
  <si>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</si>
  <si>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</si>
  <si>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</si>
  <si>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</si>
  <si>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</si>
  <si>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</si>
  <si>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</si>
  <si>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</si>
  <si>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</si>
  <si>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</si>
  <si>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</si>
  <si>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</si>
  <si>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</si>
  <si>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</si>
  <si>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</si>
  <si>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</si>
  <si>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</si>
  <si>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</si>
  <si>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</si>
  <si>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</si>
  <si>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</si>
  <si>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</si>
  <si>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</si>
  <si>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</si>
  <si>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</si>
  <si>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</si>
  <si>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</si>
  <si>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</si>
  <si>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</si>
  <si>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</si>
  <si>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</si>
  <si>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</si>
  <si>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</si>
  <si>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</si>
  <si>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</si>
  <si>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</si>
  <si>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</si>
  <si>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</si>
  <si>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</si>
  <si>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</si>
  <si>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</si>
  <si>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</si>
  <si>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</si>
  <si>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</si>
  <si>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</si>
  <si>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</si>
  <si>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</si>
  <si>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</si>
  <si>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</si>
  <si>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</si>
  <si>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</si>
  <si>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</si>
  <si>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</si>
  <si>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</si>
  <si>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</si>
  <si>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</si>
  <si>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</si>
  <si>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</si>
  <si>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</si>
  <si>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</si>
  <si>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</si>
  <si>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</si>
  <si>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</si>
  <si>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</si>
  <si>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</si>
  <si>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</si>
  <si>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</si>
  <si>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</si>
  <si>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</si>
  <si>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</si>
  <si>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</si>
  <si>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</si>
  <si>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</si>
  <si>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</si>
  <si>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</si>
  <si>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</si>
  <si>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</si>
  <si>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</si>
  <si>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</si>
  <si>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</si>
  <si>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</si>
  <si>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</si>
  <si>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</si>
  <si>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</si>
  <si>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</si>
  <si>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</si>
  <si>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</si>
  <si>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</si>
  <si>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</si>
  <si>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</si>
  <si>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</si>
  <si>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</si>
  <si>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</si>
  <si>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</si>
  <si>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</si>
  <si>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</si>
  <si>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</si>
  <si>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</si>
  <si>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</si>
  <si>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</si>
  <si>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</si>
  <si>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</si>
  <si>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</si>
  <si>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</si>
  <si>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</si>
  <si>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</si>
  <si>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</si>
  <si>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</si>
  <si>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</si>
  <si>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</si>
  <si>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</si>
  <si>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</si>
  <si>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</si>
  <si>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</si>
  <si>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</si>
  <si>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</si>
  <si>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</si>
  <si>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</si>
  <si>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</si>
  <si>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</si>
  <si>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</si>
  <si>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</si>
  <si>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</si>
  <si>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</si>
  <si>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</si>
  <si>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</si>
  <si>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</si>
  <si>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</si>
  <si>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</si>
  <si>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</si>
  <si>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</si>
  <si>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</si>
  <si>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</si>
  <si>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</si>
  <si>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</si>
  <si>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</si>
  <si>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</si>
  <si>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</si>
  <si>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</si>
  <si>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</si>
  <si>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</si>
  <si>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</si>
  <si>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</si>
  <si>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</si>
  <si>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</si>
  <si>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</si>
  <si>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</si>
  <si>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</si>
  <si>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</si>
  <si>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</si>
  <si>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</si>
  <si>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</si>
  <si>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</si>
  <si>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</si>
  <si>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</si>
  <si>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</si>
  <si>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</si>
  <si>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</si>
  <si>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</si>
  <si>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</si>
  <si>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</si>
  <si>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</si>
  <si>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</si>
  <si>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</si>
  <si>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</si>
  <si>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</si>
  <si>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</si>
  <si>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</si>
  <si>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</si>
  <si>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</si>
  <si>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</si>
  <si>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</si>
  <si>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</si>
  <si>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</si>
  <si>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</si>
  <si>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</si>
  <si>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</si>
  <si>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</si>
  <si>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</si>
  <si>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</si>
  <si>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</si>
  <si>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</si>
  <si>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</si>
  <si>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</si>
  <si>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</si>
  <si>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</si>
  <si>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</si>
  <si>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</si>
  <si>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</si>
  <si>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</si>
  <si>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</si>
  <si>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</si>
  <si>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</si>
  <si>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</si>
  <si>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</si>
  <si>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</si>
  <si>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</si>
  <si>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</si>
  <si>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</si>
  <si>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</si>
  <si>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</si>
  <si>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</si>
  <si>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</si>
  <si>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</si>
  <si>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</si>
  <si>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</si>
  <si>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</si>
  <si>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</si>
  <si>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</si>
  <si>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</si>
  <si>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</si>
  <si>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</si>
  <si>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</si>
  <si>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</si>
  <si>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</si>
  <si>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</si>
  <si>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</si>
  <si>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</si>
  <si>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</si>
  <si>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</si>
  <si>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</si>
  <si>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</si>
  <si>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</si>
  <si>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</si>
  <si>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</si>
  <si>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</si>
  <si>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</si>
  <si>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</si>
  <si>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</si>
  <si>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</si>
  <si>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</si>
  <si>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</si>
  <si>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</si>
  <si>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</si>
  <si>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</si>
  <si>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</si>
  <si>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</si>
  <si>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</si>
  <si>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</si>
  <si>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</si>
  <si>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</si>
  <si>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</si>
  <si>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</si>
  <si>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</si>
  <si>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</si>
  <si>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</si>
  <si>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</si>
  <si>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</si>
  <si>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</si>
  <si>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</si>
  <si>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</si>
  <si>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</si>
  <si>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</si>
  <si>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</si>
  <si>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</si>
  <si>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</si>
  <si>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</si>
  <si>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</si>
  <si>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</si>
  <si>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</si>
  <si>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</si>
  <si>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</si>
  <si>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</si>
  <si>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</si>
  <si>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</si>
  <si>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</si>
  <si>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</si>
  <si>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</si>
  <si>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</si>
  <si>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</si>
  <si>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</si>
  <si>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</si>
  <si>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</si>
  <si>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</si>
  <si>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</si>
  <si>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</si>
  <si>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</si>
  <si>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</si>
  <si>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</si>
  <si>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</si>
  <si>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</si>
  <si>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</si>
  <si>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</si>
  <si>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</si>
  <si>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</si>
  <si>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</si>
  <si>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</si>
  <si>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</si>
  <si>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</si>
  <si>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</si>
  <si>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</si>
  <si>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</si>
  <si>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</si>
  <si>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</si>
  <si>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</si>
  <si>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</si>
  <si>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</si>
  <si>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</si>
  <si>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</si>
  <si>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</si>
  <si>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</si>
  <si>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</si>
  <si>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</si>
  <si>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</si>
  <si>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</si>
  <si>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</si>
  <si>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</si>
  <si>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</si>
  <si>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</si>
  <si>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</si>
  <si>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</si>
  <si>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</si>
  <si>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</si>
  <si>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</si>
  <si>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</si>
  <si>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</si>
  <si>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</si>
  <si>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</si>
  <si>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</si>
  <si>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</si>
  <si>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</si>
  <si>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</si>
  <si>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</si>
  <si>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</si>
  <si>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</si>
  <si>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</si>
  <si>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</si>
  <si>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</si>
  <si>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</si>
  <si>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</si>
  <si>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</si>
  <si>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</si>
  <si>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</si>
  <si>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</si>
  <si>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</si>
  <si>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</si>
  <si>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</si>
  <si>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</si>
  <si>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</si>
  <si>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</si>
  <si>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</si>
  <si>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</si>
  <si>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</si>
  <si>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</si>
  <si>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</si>
  <si>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</si>
  <si>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</si>
  <si>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</si>
  <si>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</si>
  <si>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</si>
  <si>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</si>
  <si>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</si>
  <si>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</si>
  <si>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</si>
  <si>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</si>
  <si>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</si>
  <si>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</si>
  <si>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</si>
  <si>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</si>
  <si>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</si>
  <si>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</si>
  <si>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</si>
  <si>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</si>
  <si>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</si>
  <si>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</si>
  <si>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</si>
  <si>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</si>
  <si>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</si>
  <si>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</si>
  <si>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</si>
  <si>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</si>
  <si>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</si>
  <si>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</si>
  <si>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自然人</t>
  </si>
  <si>
    <t>段磊</t>
    <phoneticPr fontId="6" type="noConversion"/>
  </si>
  <si>
    <r>
      <rPr>
        <sz val="10"/>
        <color theme="9" tint="-0.249977111117893"/>
        <rFont val="宋体"/>
        <family val="3"/>
        <charset val="134"/>
      </rPr>
      <t>大兴区兴丰街（二段）</t>
    </r>
    <r>
      <rPr>
        <sz val="10"/>
        <color theme="9" tint="-0.249977111117893"/>
        <rFont val="Arial"/>
        <family val="2"/>
      </rPr>
      <t>36-60</t>
    </r>
    <r>
      <rPr>
        <sz val="10"/>
        <color theme="9" tint="-0.249977111117893"/>
        <rFont val="宋体"/>
        <family val="3"/>
        <charset val="134"/>
      </rPr>
      <t>号（双号）</t>
    </r>
    <r>
      <rPr>
        <sz val="10"/>
        <color theme="9" tint="-0.249977111117893"/>
        <rFont val="Arial"/>
        <family val="2"/>
      </rPr>
      <t>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42</t>
    </r>
    <r>
      <rPr>
        <sz val="10"/>
        <color theme="9" tint="-0.249977111117893"/>
        <rFont val="宋体"/>
        <family val="3"/>
        <charset val="134"/>
      </rPr>
      <t>、</t>
    </r>
    <r>
      <rPr>
        <sz val="10"/>
        <color theme="9" tint="-0.249977111117893"/>
        <rFont val="Arial"/>
        <family val="2"/>
      </rPr>
      <t>54</t>
    </r>
    <r>
      <rPr>
        <sz val="10"/>
        <color theme="9" tint="-0.249977111117893"/>
        <rFont val="宋体"/>
        <family val="3"/>
        <charset val="134"/>
      </rPr>
      <t>、</t>
    </r>
    <r>
      <rPr>
        <sz val="10"/>
        <color theme="9" tint="-0.249977111117893"/>
        <rFont val="Arial"/>
        <family val="2"/>
      </rPr>
      <t>56</t>
    </r>
    <r>
      <rPr>
        <sz val="10"/>
        <color theme="9" tint="-0.249977111117893"/>
        <rFont val="宋体"/>
        <family val="3"/>
        <charset val="134"/>
      </rPr>
      <t>号</t>
    </r>
    <phoneticPr fontId="6" type="noConversion"/>
  </si>
  <si>
    <t>郑燚</t>
  </si>
  <si>
    <t>崔锴</t>
  </si>
  <si>
    <t>商业</t>
    <phoneticPr fontId="6" type="noConversion"/>
  </si>
  <si>
    <t>是</t>
  </si>
  <si>
    <t>商业项目</t>
  </si>
  <si>
    <t>现房</t>
  </si>
  <si>
    <t>地上</t>
  </si>
  <si>
    <t>成新度</t>
  </si>
  <si>
    <t>建成年代</t>
    <phoneticPr fontId="3" type="noConversion"/>
  </si>
  <si>
    <t>直线</t>
    <phoneticPr fontId="3" type="noConversion"/>
  </si>
  <si>
    <t>钢混</t>
  </si>
  <si>
    <t>钢混</t>
    <phoneticPr fontId="3" type="noConversion"/>
  </si>
  <si>
    <t>综合</t>
    <phoneticPr fontId="3" type="noConversion"/>
  </si>
  <si>
    <t>观察</t>
    <phoneticPr fontId="3" type="noConversion"/>
  </si>
  <si>
    <t>Ⅵ-兴1</t>
  </si>
  <si>
    <r>
      <t>4</t>
    </r>
    <r>
      <rPr>
        <sz val="11"/>
        <color theme="1"/>
        <rFont val="宋体"/>
        <family val="3"/>
        <charset val="134"/>
        <scheme val="minor"/>
      </rPr>
      <t>2号</t>
    </r>
    <phoneticPr fontId="134" type="noConversion"/>
  </si>
  <si>
    <t>一层</t>
    <phoneticPr fontId="134" type="noConversion"/>
  </si>
  <si>
    <t>门牌号</t>
    <phoneticPr fontId="134" type="noConversion"/>
  </si>
  <si>
    <t>楼层</t>
    <phoneticPr fontId="134" type="noConversion"/>
  </si>
  <si>
    <t>建筑面积</t>
    <phoneticPr fontId="134" type="noConversion"/>
  </si>
  <si>
    <t>租户</t>
    <phoneticPr fontId="134" type="noConversion"/>
  </si>
  <si>
    <t>租赁期限</t>
    <phoneticPr fontId="134" type="noConversion"/>
  </si>
  <si>
    <t>年租金</t>
    <phoneticPr fontId="134" type="noConversion"/>
  </si>
  <si>
    <t>小笼包</t>
    <phoneticPr fontId="134" type="noConversion"/>
  </si>
  <si>
    <t>2024.6.1-2027.5.31</t>
    <phoneticPr fontId="134" type="noConversion"/>
  </si>
  <si>
    <t>万家早安</t>
    <phoneticPr fontId="134" type="noConversion"/>
  </si>
  <si>
    <r>
      <t>2</t>
    </r>
    <r>
      <rPr>
        <sz val="11"/>
        <color theme="1"/>
        <rFont val="宋体"/>
        <family val="3"/>
        <charset val="134"/>
        <scheme val="minor"/>
      </rPr>
      <t>022.11.1-2025.10.31</t>
    </r>
    <phoneticPr fontId="134" type="noConversion"/>
  </si>
  <si>
    <t>二层</t>
    <phoneticPr fontId="134" type="noConversion"/>
  </si>
  <si>
    <t>部落烤翅</t>
    <phoneticPr fontId="134" type="noConversion"/>
  </si>
  <si>
    <t>2023.2.1-2028.1.31</t>
    <phoneticPr fontId="134" type="noConversion"/>
  </si>
  <si>
    <t>日租金</t>
    <phoneticPr fontId="134" type="noConversion"/>
  </si>
  <si>
    <r>
      <t>5</t>
    </r>
    <r>
      <rPr>
        <sz val="11"/>
        <color theme="1"/>
        <rFont val="宋体"/>
        <family val="3"/>
        <charset val="134"/>
        <scheme val="minor"/>
      </rPr>
      <t>4号</t>
    </r>
    <phoneticPr fontId="134" type="noConversion"/>
  </si>
  <si>
    <t>眼镜店</t>
    <phoneticPr fontId="134" type="noConversion"/>
  </si>
  <si>
    <t>2024.8.25-2027.8.24</t>
    <phoneticPr fontId="134" type="noConversion"/>
  </si>
  <si>
    <t>年份</t>
    <phoneticPr fontId="134" type="noConversion"/>
  </si>
  <si>
    <r>
      <t>5</t>
    </r>
    <r>
      <rPr>
        <sz val="11"/>
        <color theme="1"/>
        <rFont val="宋体"/>
        <family val="3"/>
        <charset val="134"/>
        <scheme val="minor"/>
      </rPr>
      <t>4、56号</t>
    </r>
    <phoneticPr fontId="134" type="noConversion"/>
  </si>
  <si>
    <t>匹老头美食城</t>
    <phoneticPr fontId="134" type="noConversion"/>
  </si>
  <si>
    <t>2022.10.1-2027.9.30</t>
    <phoneticPr fontId="134" type="noConversion"/>
  </si>
  <si>
    <r>
      <t>5</t>
    </r>
    <r>
      <rPr>
        <sz val="11"/>
        <color theme="1"/>
        <rFont val="宋体"/>
        <family val="3"/>
        <charset val="134"/>
        <scheme val="minor"/>
      </rPr>
      <t>6号</t>
    </r>
    <phoneticPr fontId="134" type="noConversion"/>
  </si>
  <si>
    <t>汉堡店</t>
    <phoneticPr fontId="134" type="noConversion"/>
  </si>
  <si>
    <t>2024.9.1-2027.8.31</t>
    <phoneticPr fontId="134" type="noConversion"/>
  </si>
  <si>
    <t>单套模式</t>
  </si>
  <si>
    <t>售价</t>
  </si>
  <si>
    <t>正常</t>
  </si>
  <si>
    <t>报价</t>
  </si>
  <si>
    <t>报价</t>
    <phoneticPr fontId="30" type="noConversion"/>
  </si>
  <si>
    <t>商业</t>
    <phoneticPr fontId="30" type="noConversion"/>
  </si>
  <si>
    <t>双面临街</t>
    <phoneticPr fontId="30" type="noConversion"/>
  </si>
  <si>
    <t>单面临街</t>
  </si>
  <si>
    <t>单面临街</t>
    <phoneticPr fontId="30" type="noConversion"/>
  </si>
  <si>
    <t>好</t>
  </si>
  <si>
    <t>较好</t>
  </si>
  <si>
    <t>较好</t>
    <phoneticPr fontId="30" type="noConversion"/>
  </si>
  <si>
    <t>一般</t>
  </si>
  <si>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</si>
  <si>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</si>
  <si>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</si>
  <si>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</si>
  <si>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</si>
  <si>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</si>
  <si>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</si>
  <si>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较少</t>
    <phoneticPr fontId="3" type="noConversion"/>
  </si>
  <si>
    <t>少</t>
    <phoneticPr fontId="3" type="noConversion"/>
  </si>
  <si>
    <t>配套商业</t>
  </si>
  <si>
    <t>配套商业</t>
    <phoneticPr fontId="30" type="noConversion"/>
  </si>
  <si>
    <t>钢混</t>
    <phoneticPr fontId="30" type="noConversion"/>
  </si>
  <si>
    <t>砖混</t>
    <phoneticPr fontId="30" type="noConversion"/>
  </si>
  <si>
    <t>七通</t>
  </si>
  <si>
    <t>七通</t>
    <phoneticPr fontId="30" type="noConversion"/>
  </si>
  <si>
    <t>六通</t>
  </si>
  <si>
    <t>六通</t>
    <phoneticPr fontId="30" type="noConversion"/>
  </si>
  <si>
    <t>五通</t>
    <phoneticPr fontId="30" type="noConversion"/>
  </si>
  <si>
    <t>可餐饮</t>
  </si>
  <si>
    <t>可餐饮</t>
    <phoneticPr fontId="30" type="noConversion"/>
  </si>
  <si>
    <t>不可餐饮</t>
  </si>
  <si>
    <t>不可餐饮</t>
    <phoneticPr fontId="30" type="noConversion"/>
  </si>
  <si>
    <t>标准层高</t>
  </si>
  <si>
    <t>标准层高</t>
    <phoneticPr fontId="30" type="noConversion"/>
  </si>
  <si>
    <t>精装修</t>
  </si>
  <si>
    <t>精装修</t>
    <phoneticPr fontId="30" type="noConversion"/>
  </si>
  <si>
    <t>普通装修</t>
    <phoneticPr fontId="30" type="noConversion"/>
  </si>
  <si>
    <t>简单装修</t>
  </si>
  <si>
    <t>简单装修</t>
    <phoneticPr fontId="30" type="noConversion"/>
  </si>
  <si>
    <t>毛坯</t>
    <phoneticPr fontId="30" type="noConversion"/>
  </si>
  <si>
    <t>不临65条商业街</t>
  </si>
  <si>
    <t>与级别开发程度不一致</t>
  </si>
  <si>
    <t>通路</t>
  </si>
  <si>
    <t>通电</t>
  </si>
  <si>
    <t>通讯</t>
  </si>
  <si>
    <t>通上水</t>
  </si>
  <si>
    <t>通下水</t>
  </si>
  <si>
    <t>燃气</t>
  </si>
  <si>
    <t>平整</t>
  </si>
  <si>
    <t>中心城区以外</t>
  </si>
  <si>
    <t>楼层修正</t>
  </si>
  <si>
    <t>房产证号</t>
    <phoneticPr fontId="134" type="noConversion"/>
  </si>
  <si>
    <r>
      <t>X京房权证兴字第</t>
    </r>
    <r>
      <rPr>
        <sz val="11"/>
        <color theme="1"/>
        <rFont val="宋体"/>
        <family val="3"/>
        <charset val="134"/>
        <scheme val="minor"/>
      </rPr>
      <t>151557号</t>
    </r>
    <phoneticPr fontId="134" type="noConversion"/>
  </si>
  <si>
    <t>段磊</t>
    <phoneticPr fontId="134" type="noConversion"/>
  </si>
  <si>
    <t>房屋所有权人</t>
    <phoneticPr fontId="134" type="noConversion"/>
  </si>
  <si>
    <t>共有情况</t>
    <phoneticPr fontId="134" type="noConversion"/>
  </si>
  <si>
    <t>单独所有</t>
    <phoneticPr fontId="134" type="noConversion"/>
  </si>
  <si>
    <t>房屋坐落</t>
    <phoneticPr fontId="134" type="noConversion"/>
  </si>
  <si>
    <t>大兴区兴丰街（二段）36-60号（双号）1幢1至2层42号</t>
    <phoneticPr fontId="134" type="noConversion"/>
  </si>
  <si>
    <t>房屋性质</t>
    <phoneticPr fontId="134" type="noConversion"/>
  </si>
  <si>
    <t>商品房</t>
    <phoneticPr fontId="134" type="noConversion"/>
  </si>
  <si>
    <t>规划用途</t>
    <phoneticPr fontId="134" type="noConversion"/>
  </si>
  <si>
    <t>商业</t>
    <phoneticPr fontId="134" type="noConversion"/>
  </si>
  <si>
    <t>总层数</t>
    <phoneticPr fontId="134" type="noConversion"/>
  </si>
  <si>
    <t>所在层数</t>
    <phoneticPr fontId="134" type="noConversion"/>
  </si>
  <si>
    <t>房号</t>
    <phoneticPr fontId="134" type="noConversion"/>
  </si>
  <si>
    <t>42号</t>
  </si>
  <si>
    <t>42号</t>
    <phoneticPr fontId="134" type="noConversion"/>
  </si>
  <si>
    <t>结构</t>
    <phoneticPr fontId="134" type="noConversion"/>
  </si>
  <si>
    <t>钢混</t>
    <phoneticPr fontId="134" type="noConversion"/>
  </si>
  <si>
    <r>
      <t>1</t>
    </r>
    <r>
      <rPr>
        <sz val="11"/>
        <color theme="1"/>
        <rFont val="宋体"/>
        <family val="3"/>
        <charset val="134"/>
        <scheme val="minor"/>
      </rPr>
      <t>-2</t>
    </r>
    <phoneticPr fontId="134" type="noConversion"/>
  </si>
  <si>
    <t>X京房权证兴字第130701号</t>
    <phoneticPr fontId="134" type="noConversion"/>
  </si>
  <si>
    <t>建成年份</t>
    <phoneticPr fontId="134" type="noConversion"/>
  </si>
  <si>
    <t>X京房权证兴字第118407号</t>
    <phoneticPr fontId="134" type="noConversion"/>
  </si>
  <si>
    <t>大兴区兴丰街（二段）36-60号（双号）2幢1至2层56号</t>
    <phoneticPr fontId="134" type="noConversion"/>
  </si>
  <si>
    <t>大兴区兴丰街（二段）36-60号（双号）2幢1至2层54号</t>
    <phoneticPr fontId="134" type="noConversion"/>
  </si>
  <si>
    <t>56号</t>
    <phoneticPr fontId="134" type="noConversion"/>
  </si>
  <si>
    <t>未包含在土地购买价格中</t>
  </si>
  <si>
    <t>已包含在土地取得成本中</t>
  </si>
  <si>
    <t>42号</t>
    <phoneticPr fontId="7" type="noConversion"/>
  </si>
  <si>
    <t>54号</t>
    <phoneticPr fontId="7" type="noConversion"/>
  </si>
  <si>
    <t>56号</t>
    <phoneticPr fontId="7" type="noConversion"/>
  </si>
  <si>
    <t>押一</t>
  </si>
  <si>
    <t>非生产用房</t>
  </si>
  <si>
    <t>否</t>
  </si>
  <si>
    <t>面积</t>
    <phoneticPr fontId="134" type="noConversion"/>
  </si>
  <si>
    <t>兴丰街</t>
    <phoneticPr fontId="134" type="noConversion"/>
  </si>
  <si>
    <r>
      <t>4</t>
    </r>
    <r>
      <rPr>
        <sz val="11"/>
        <color theme="1"/>
        <rFont val="宋体"/>
        <family val="3"/>
        <charset val="134"/>
        <scheme val="minor"/>
      </rPr>
      <t>0多平</t>
    </r>
    <phoneticPr fontId="134" type="noConversion"/>
  </si>
  <si>
    <t>月租金</t>
    <phoneticPr fontId="134" type="noConversion"/>
  </si>
  <si>
    <t>含物业不含税</t>
    <phoneticPr fontId="134" type="noConversion"/>
  </si>
  <si>
    <t>可做餐饮，无燃气有暖气</t>
    <phoneticPr fontId="134" type="noConversion"/>
  </si>
  <si>
    <t>1层</t>
  </si>
  <si>
    <t>1层</t>
    <phoneticPr fontId="134" type="noConversion"/>
  </si>
  <si>
    <t>系数</t>
    <phoneticPr fontId="134" type="noConversion"/>
  </si>
  <si>
    <t>修正系数</t>
    <phoneticPr fontId="134" type="noConversion"/>
  </si>
  <si>
    <t>2层</t>
    <phoneticPr fontId="134" type="noConversion"/>
  </si>
  <si>
    <r>
      <t>1</t>
    </r>
    <r>
      <rPr>
        <sz val="11"/>
        <color theme="1"/>
        <rFont val="宋体"/>
        <family val="3"/>
        <charset val="134"/>
        <scheme val="minor"/>
      </rPr>
      <t>-2层</t>
    </r>
    <phoneticPr fontId="134"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</si>
  <si>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</si>
  <si>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</si>
  <si>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</si>
  <si>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1-2层</t>
  </si>
  <si>
    <t>首邑上城</t>
    <phoneticPr fontId="134" type="noConversion"/>
  </si>
  <si>
    <t>单价</t>
    <phoneticPr fontId="134" type="noConversion"/>
  </si>
  <si>
    <t>不可餐饮</t>
    <phoneticPr fontId="134" type="noConversion"/>
  </si>
  <si>
    <t>无燃气</t>
    <phoneticPr fontId="134" type="noConversion"/>
  </si>
  <si>
    <t>有暖气</t>
    <phoneticPr fontId="134" type="noConversion"/>
  </si>
  <si>
    <t>万元</t>
    <phoneticPr fontId="134" type="noConversion"/>
  </si>
  <si>
    <t>单面临街</t>
    <phoneticPr fontId="134" type="noConversion"/>
  </si>
  <si>
    <t>临兴丰街</t>
    <phoneticPr fontId="134" type="noConversion"/>
  </si>
  <si>
    <t>中建港悦大厦</t>
    <phoneticPr fontId="134" type="noConversion"/>
  </si>
  <si>
    <t>临兴华大街，门前有绿化带</t>
    <phoneticPr fontId="134" type="noConversion"/>
  </si>
  <si>
    <t>波普公社</t>
    <phoneticPr fontId="134" type="noConversion"/>
  </si>
  <si>
    <t>可餐饮</t>
    <phoneticPr fontId="134" type="noConversion"/>
  </si>
  <si>
    <t>有燃气</t>
    <phoneticPr fontId="134" type="noConversion"/>
  </si>
  <si>
    <r>
      <t>层高5</t>
    </r>
    <r>
      <rPr>
        <sz val="11"/>
        <color theme="1"/>
        <rFont val="宋体"/>
        <family val="3"/>
        <charset val="134"/>
        <scheme val="minor"/>
      </rPr>
      <t>.1</t>
    </r>
    <phoneticPr fontId="134" type="noConversion"/>
  </si>
  <si>
    <t>临兴华大街，朝东</t>
    <phoneticPr fontId="134" type="noConversion"/>
  </si>
  <si>
    <t>云河墅</t>
    <phoneticPr fontId="134" type="noConversion"/>
  </si>
  <si>
    <t>1-2层</t>
    <phoneticPr fontId="134" type="noConversion"/>
  </si>
  <si>
    <t>云河墅建成年代</t>
    <phoneticPr fontId="30" type="noConversion"/>
  </si>
  <si>
    <t>中间港悦大厦</t>
    <phoneticPr fontId="30" type="noConversion"/>
  </si>
  <si>
    <t>首邑上城</t>
    <phoneticPr fontId="30" type="noConversion"/>
  </si>
  <si>
    <t>次干道</t>
    <phoneticPr fontId="30" type="noConversion"/>
  </si>
  <si>
    <t>主干道</t>
    <phoneticPr fontId="30" type="noConversion"/>
  </si>
  <si>
    <t>高速路</t>
    <phoneticPr fontId="30" type="noConversion"/>
  </si>
  <si>
    <t>支路</t>
    <phoneticPr fontId="30" type="noConversion"/>
  </si>
  <si>
    <t>租赁合同</t>
    <phoneticPr fontId="134" type="noConversion"/>
  </si>
  <si>
    <t>租金</t>
  </si>
  <si>
    <t>42号收益法 (元)</t>
  </si>
  <si>
    <t>42号收益法 (元)</t>
    <phoneticPr fontId="16" type="noConversion"/>
  </si>
  <si>
    <t>42号比较法-商业</t>
  </si>
  <si>
    <t>42号比较法-商业</t>
    <phoneticPr fontId="16" type="noConversion"/>
  </si>
  <si>
    <t>54号比较法-商业</t>
    <phoneticPr fontId="16" type="noConversion"/>
  </si>
  <si>
    <t>56号比较法-商业</t>
    <phoneticPr fontId="16" type="noConversion"/>
  </si>
  <si>
    <t>56号收益法 (元)</t>
  </si>
  <si>
    <t>56号收益法 (元)</t>
    <phoneticPr fontId="16" type="noConversion"/>
  </si>
  <si>
    <t>新里西斯莱公馆</t>
    <phoneticPr fontId="134" type="noConversion"/>
  </si>
  <si>
    <t>楼面单价</t>
  </si>
  <si>
    <t>自定义</t>
  </si>
  <si>
    <t>较好</t>
    <phoneticPr fontId="30"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</si>
  <si>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</si>
  <si>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</si>
  <si>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保利茉莉公馆</t>
    <phoneticPr fontId="134" type="noConversion"/>
  </si>
  <si>
    <t>非标层高自建2层</t>
  </si>
  <si>
    <t>层高5米</t>
  </si>
  <si>
    <t>非标层高自建2层</t>
    <phoneticPr fontId="30" type="noConversion"/>
  </si>
  <si>
    <r>
      <rPr>
        <sz val="11"/>
        <color indexed="8"/>
        <rFont val="宋体"/>
        <family val="3"/>
        <charset val="134"/>
      </rPr>
      <t>层高</t>
    </r>
    <r>
      <rPr>
        <sz val="11"/>
        <color indexed="8"/>
        <rFont val="Arial"/>
        <family val="2"/>
      </rPr>
      <t>5</t>
    </r>
    <r>
      <rPr>
        <sz val="11"/>
        <color indexed="8"/>
        <rFont val="宋体"/>
        <family val="3"/>
        <charset val="134"/>
      </rPr>
      <t>米</t>
    </r>
    <phoneticPr fontId="134" type="noConversion"/>
  </si>
  <si>
    <t>标准层高</t>
    <phoneticPr fontId="134" type="noConversion"/>
  </si>
  <si>
    <t>普通装修</t>
  </si>
  <si>
    <t>波普公社</t>
    <phoneticPr fontId="30" type="noConversion"/>
  </si>
  <si>
    <t>层高5米</t>
    <phoneticPr fontId="30" type="noConversion"/>
  </si>
  <si>
    <t>艺苑桐城</t>
    <phoneticPr fontId="30" type="noConversion"/>
  </si>
  <si>
    <t>一般</t>
    <phoneticPr fontId="30" type="noConversion"/>
  </si>
  <si>
    <t>较少</t>
  </si>
  <si>
    <r>
      <t>40</t>
    </r>
    <r>
      <rPr>
        <sz val="11"/>
        <rFont val="宋体"/>
        <family val="3"/>
        <charset val="134"/>
      </rPr>
      <t>（含）</t>
    </r>
    <r>
      <rPr>
        <sz val="11"/>
        <rFont val="Arial"/>
        <family val="2"/>
      </rPr>
      <t>-35</t>
    </r>
  </si>
  <si>
    <r>
      <t>35</t>
    </r>
    <r>
      <rPr>
        <sz val="11"/>
        <rFont val="宋体"/>
        <family val="3"/>
        <charset val="134"/>
      </rPr>
      <t>（含）</t>
    </r>
    <r>
      <rPr>
        <sz val="11"/>
        <rFont val="Arial"/>
        <family val="2"/>
      </rPr>
      <t>-30</t>
    </r>
  </si>
  <si>
    <r>
      <t>30</t>
    </r>
    <r>
      <rPr>
        <sz val="11"/>
        <rFont val="宋体"/>
        <family val="3"/>
        <charset val="134"/>
      </rPr>
      <t>（含）</t>
    </r>
    <r>
      <rPr>
        <sz val="11"/>
        <rFont val="Arial"/>
        <family val="2"/>
      </rPr>
      <t>-25</t>
    </r>
  </si>
  <si>
    <r>
      <t>25</t>
    </r>
    <r>
      <rPr>
        <sz val="11"/>
        <rFont val="宋体"/>
        <family val="3"/>
        <charset val="134"/>
      </rPr>
      <t>（含）</t>
    </r>
    <r>
      <rPr>
        <sz val="11"/>
        <rFont val="Arial"/>
        <family val="2"/>
      </rPr>
      <t>-20</t>
    </r>
  </si>
  <si>
    <r>
      <t>20</t>
    </r>
    <r>
      <rPr>
        <sz val="11"/>
        <rFont val="宋体"/>
        <family val="3"/>
        <charset val="134"/>
      </rPr>
      <t>（含）</t>
    </r>
    <r>
      <rPr>
        <sz val="11"/>
        <rFont val="Arial"/>
        <family val="2"/>
      </rPr>
      <t>-15</t>
    </r>
  </si>
  <si>
    <r>
      <t>15</t>
    </r>
    <r>
      <rPr>
        <sz val="11"/>
        <rFont val="宋体"/>
        <family val="3"/>
        <charset val="134"/>
      </rPr>
      <t>（含）</t>
    </r>
    <r>
      <rPr>
        <sz val="11"/>
        <rFont val="Arial"/>
        <family val="2"/>
      </rPr>
      <t>-10</t>
    </r>
  </si>
  <si>
    <r>
      <t>10</t>
    </r>
    <r>
      <rPr>
        <sz val="11"/>
        <rFont val="宋体"/>
        <family val="3"/>
        <charset val="134"/>
      </rPr>
      <t>（含）</t>
    </r>
    <r>
      <rPr>
        <sz val="11"/>
        <rFont val="Arial"/>
        <family val="2"/>
      </rPr>
      <t>-5</t>
    </r>
  </si>
  <si>
    <r>
      <t>5</t>
    </r>
    <r>
      <rPr>
        <sz val="11"/>
        <rFont val="宋体"/>
        <family val="3"/>
        <charset val="134"/>
      </rPr>
      <t>（含）</t>
    </r>
    <r>
      <rPr>
        <sz val="11"/>
        <rFont val="Arial"/>
        <family val="2"/>
      </rPr>
      <t>-0</t>
    </r>
  </si>
  <si>
    <t>波普公社</t>
    <phoneticPr fontId="30" type="noConversion"/>
  </si>
  <si>
    <t>建成年代</t>
    <phoneticPr fontId="30" type="noConversion"/>
  </si>
  <si>
    <t>成新</t>
    <phoneticPr fontId="30" type="noConversion"/>
  </si>
  <si>
    <t>艺苑桐城</t>
    <phoneticPr fontId="30" type="noConversion"/>
  </si>
  <si>
    <t>剩余年限</t>
    <phoneticPr fontId="30" type="noConversion"/>
  </si>
  <si>
    <t>云河墅</t>
    <phoneticPr fontId="30" type="noConversion"/>
  </si>
  <si>
    <t>54号</t>
  </si>
  <si>
    <t xml:space="preserve">54号收益法 (元) </t>
  </si>
  <si>
    <t xml:space="preserve">54号收益法 (元) </t>
    <phoneticPr fontId="16" type="noConversion"/>
  </si>
  <si>
    <t>54号比较法-商业</t>
  </si>
  <si>
    <t>案例A</t>
    <phoneticPr fontId="30" type="noConversion"/>
  </si>
  <si>
    <r>
      <rPr>
        <sz val="11"/>
        <color indexed="8"/>
        <rFont val="宋体"/>
        <family val="3"/>
        <charset val="134"/>
      </rPr>
      <t>案例</t>
    </r>
    <r>
      <rPr>
        <sz val="11"/>
        <color indexed="8"/>
        <rFont val="Arial"/>
        <family val="2"/>
      </rPr>
      <t>B</t>
    </r>
    <phoneticPr fontId="30" type="noConversion"/>
  </si>
  <si>
    <r>
      <rPr>
        <sz val="11"/>
        <rFont val="宋体"/>
        <family val="3"/>
        <charset val="134"/>
      </rPr>
      <t>修正为</t>
    </r>
    <r>
      <rPr>
        <sz val="11"/>
        <rFont val="Arial"/>
        <family val="2"/>
      </rPr>
      <t>1-2</t>
    </r>
    <r>
      <rPr>
        <sz val="11"/>
        <rFont val="宋体"/>
        <family val="3"/>
        <charset val="134"/>
      </rPr>
      <t>层单价</t>
    </r>
    <phoneticPr fontId="30" type="noConversion"/>
  </si>
  <si>
    <r>
      <t>案例</t>
    </r>
    <r>
      <rPr>
        <sz val="11"/>
        <rFont val="Arial"/>
        <family val="2"/>
      </rPr>
      <t>B 1</t>
    </r>
    <r>
      <rPr>
        <sz val="11"/>
        <rFont val="宋体"/>
        <family val="3"/>
        <charset val="134"/>
      </rPr>
      <t>层单价为</t>
    </r>
    <r>
      <rPr>
        <sz val="11"/>
        <rFont val="Arial"/>
        <family val="2"/>
      </rPr>
      <t>48061</t>
    </r>
    <r>
      <rPr>
        <sz val="11"/>
        <rFont val="宋体"/>
        <family val="3"/>
        <charset val="134"/>
      </rPr>
      <t>元</t>
    </r>
    <r>
      <rPr>
        <sz val="11"/>
        <rFont val="Arial"/>
        <family val="2"/>
      </rPr>
      <t>/</t>
    </r>
    <r>
      <rPr>
        <sz val="11"/>
        <rFont val="宋体"/>
        <family val="3"/>
        <charset val="134"/>
      </rPr>
      <t>平方米，修正为</t>
    </r>
    <r>
      <rPr>
        <sz val="11"/>
        <rFont val="Arial"/>
        <family val="2"/>
      </rPr>
      <t>1-2</t>
    </r>
    <r>
      <rPr>
        <sz val="11"/>
        <rFont val="宋体"/>
        <family val="3"/>
        <charset val="134"/>
      </rPr>
      <t>层单价为</t>
    </r>
    <r>
      <rPr>
        <sz val="11"/>
        <rFont val="Arial"/>
        <family val="2"/>
      </rPr>
      <t>40730</t>
    </r>
    <r>
      <rPr>
        <sz val="11"/>
        <rFont val="宋体"/>
        <family val="3"/>
        <charset val="134"/>
      </rPr>
      <t>元</t>
    </r>
    <r>
      <rPr>
        <sz val="11"/>
        <rFont val="Arial"/>
        <family val="2"/>
      </rPr>
      <t>/</t>
    </r>
    <r>
      <rPr>
        <sz val="11"/>
        <rFont val="宋体"/>
        <family val="3"/>
        <charset val="134"/>
      </rPr>
      <t>平方米</t>
    </r>
  </si>
  <si>
    <t>案例A、B实际为1层，</t>
    <phoneticPr fontId="30" type="noConversion"/>
  </si>
  <si>
    <r>
      <t>案例</t>
    </r>
    <r>
      <rPr>
        <sz val="11"/>
        <rFont val="Arial"/>
        <family val="2"/>
      </rPr>
      <t>A 1</t>
    </r>
    <r>
      <rPr>
        <sz val="11"/>
        <rFont val="宋体"/>
        <family val="3"/>
        <charset val="134"/>
      </rPr>
      <t>层单价为</t>
    </r>
    <r>
      <rPr>
        <sz val="11"/>
        <rFont val="Arial"/>
        <family val="2"/>
      </rPr>
      <t>55162</t>
    </r>
    <r>
      <rPr>
        <sz val="11"/>
        <rFont val="宋体"/>
        <family val="3"/>
        <charset val="134"/>
      </rPr>
      <t>元</t>
    </r>
    <r>
      <rPr>
        <sz val="11"/>
        <rFont val="Arial"/>
        <family val="2"/>
      </rPr>
      <t>/</t>
    </r>
    <r>
      <rPr>
        <sz val="11"/>
        <rFont val="宋体"/>
        <family val="3"/>
        <charset val="134"/>
      </rPr>
      <t>平方米，修正为</t>
    </r>
    <r>
      <rPr>
        <sz val="11"/>
        <rFont val="Arial"/>
        <family val="2"/>
      </rPr>
      <t>1-2</t>
    </r>
    <r>
      <rPr>
        <sz val="11"/>
        <rFont val="宋体"/>
        <family val="3"/>
        <charset val="134"/>
      </rPr>
      <t>层单价为</t>
    </r>
    <r>
      <rPr>
        <sz val="11"/>
        <rFont val="Arial"/>
        <family val="2"/>
      </rPr>
      <t>46747</t>
    </r>
    <r>
      <rPr>
        <sz val="11"/>
        <rFont val="宋体"/>
        <family val="3"/>
        <charset val="134"/>
      </rPr>
      <t>元</t>
    </r>
    <r>
      <rPr>
        <sz val="11"/>
        <rFont val="Arial"/>
        <family val="2"/>
      </rPr>
      <t>/</t>
    </r>
    <r>
      <rPr>
        <sz val="11"/>
        <rFont val="宋体"/>
        <family val="3"/>
        <charset val="134"/>
      </rPr>
      <t>平方米；</t>
    </r>
  </si>
  <si>
    <t>56号</t>
  </si>
  <si>
    <t>56号比较法-商业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</si>
</sst>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name val="Arial"/>
      <family val="3"/>
      <charset val="134"/>
    </font>
    <font>
      <sz val="11"/>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54" xfId="0" applyFont="1" applyFill="1" applyBorder="1" applyAlignment="1" applyProtection="1">
      <alignment vertical="center" wrapText="1"/>
      <protection locked="0"/>
    </xf>
    <xf numFmtId="49" fontId="270"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0" fillId="0" borderId="0" xfId="0" applyAlignment="1">
      <alignment vertical="center" wrapText="1"/>
    </xf>
    <xf numFmtId="0" fontId="94" fillId="12" borderId="0" xfId="0" applyFont="1" applyFill="1" applyAlignment="1" applyProtection="1">
      <alignment horizontal="center" vertical="center"/>
      <protection locked="0"/>
    </xf>
    <xf numFmtId="0" fontId="224" fillId="12" borderId="0" xfId="0"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95" fillId="22" borderId="0" xfId="0" applyFont="1" applyFill="1">
      <alignment vertical="center"/>
    </xf>
    <xf numFmtId="0" fontId="0" fillId="22" borderId="0" xfId="0" applyFill="1">
      <alignment vertical="center"/>
    </xf>
    <xf numFmtId="0" fontId="95" fillId="22" borderId="0" xfId="0" applyFont="1" applyFill="1" applyAlignment="1">
      <alignment vertical="center" wrapText="1"/>
    </xf>
    <xf numFmtId="0" fontId="0" fillId="22" borderId="0" xfId="0" applyFill="1" applyAlignment="1">
      <alignment vertical="center" wrapText="1"/>
    </xf>
    <xf numFmtId="49" fontId="95" fillId="22" borderId="0" xfId="0" applyNumberFormat="1" applyFont="1" applyFill="1" applyAlignment="1">
      <alignment vertical="center" wrapText="1"/>
    </xf>
    <xf numFmtId="181" fontId="128" fillId="12" borderId="0" xfId="0" applyNumberFormat="1" applyFont="1" applyFill="1" applyAlignment="1" applyProtection="1">
      <alignment horizontal="center" vertical="center" wrapText="1"/>
      <protection locked="0"/>
    </xf>
    <xf numFmtId="0" fontId="128" fillId="12" borderId="0" xfId="0" applyFont="1" applyFill="1" applyAlignment="1" applyProtection="1">
      <alignment horizontal="center" vertical="center"/>
      <protection locked="0"/>
    </xf>
    <xf numFmtId="0" fontId="271" fillId="12" borderId="0" xfId="0" applyFont="1" applyFill="1" applyAlignment="1" applyProtection="1">
      <alignment horizontal="center" vertical="center"/>
      <protection locked="0"/>
    </xf>
    <xf numFmtId="0" fontId="95" fillId="5" borderId="0" xfId="0" applyFont="1" applyFill="1">
      <alignment vertical="center"/>
    </xf>
    <xf numFmtId="179" fontId="44" fillId="16" borderId="23" xfId="0" applyNumberFormat="1" applyFont="1" applyFill="1" applyBorder="1" applyAlignment="1" applyProtection="1">
      <alignment horizontal="center" vertical="center"/>
      <protection locked="0"/>
    </xf>
    <xf numFmtId="0" fontId="51" fillId="0" borderId="44"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81" fontId="209" fillId="12" borderId="0" xfId="0" applyNumberFormat="1" applyFont="1" applyFill="1" applyAlignment="1" applyProtection="1">
      <alignment horizontal="center" vertical="center" wrapText="1"/>
      <protection locked="0"/>
    </xf>
    <xf numFmtId="181" fontId="272" fillId="12" borderId="0" xfId="0" applyNumberFormat="1" applyFont="1" applyFill="1" applyAlignment="1" applyProtection="1">
      <alignment horizontal="center" vertical="center" wrapText="1"/>
      <protection locked="0"/>
    </xf>
    <xf numFmtId="0" fontId="100" fillId="5" borderId="0" xfId="0" applyFont="1" applyFill="1" applyAlignment="1" applyProtection="1">
      <alignment horizontal="center" vertical="center"/>
      <protection locked="0"/>
    </xf>
    <xf numFmtId="181" fontId="94" fillId="12" borderId="0" xfId="0" applyNumberFormat="1" applyFont="1" applyFill="1" applyAlignment="1" applyProtection="1">
      <alignment horizontal="center" vertical="center" wrapText="1"/>
      <protection locked="0"/>
    </xf>
    <xf numFmtId="9" fontId="94" fillId="12" borderId="0" xfId="0" applyNumberFormat="1" applyFont="1" applyFill="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22860</xdr:colOff>
      <xdr:row>0</xdr:row>
      <xdr:rowOff>0</xdr:rowOff>
    </xdr:from>
    <xdr:to>
      <xdr:col>11</xdr:col>
      <xdr:colOff>309707</xdr:colOff>
      <xdr:row>10</xdr:row>
      <xdr:rowOff>165232</xdr:rowOff>
    </xdr:to>
    <xdr:pic>
      <xdr:nvPicPr>
        <xdr:cNvPr id="2" name="图片 1">
          <a:extLst>
            <a:ext uri="{FF2B5EF4-FFF2-40B4-BE49-F238E27FC236}">
              <a16:creationId xmlns:a16="http://schemas.microsoft.com/office/drawing/2014/main" id="{EA0901C5-3195-8BE3-A8E3-93FB13FCEFCE}"/>
            </a:ext>
          </a:extLst>
        </xdr:cNvPr>
        <xdr:cNvPicPr>
          <a:picLocks noChangeAspect="1"/>
        </xdr:cNvPicPr>
      </xdr:nvPicPr>
      <xdr:blipFill>
        <a:blip xmlns:r="http://schemas.openxmlformats.org/officeDocument/2006/relationships" r:embed="rId1"/>
        <a:stretch>
          <a:fillRect/>
        </a:stretch>
      </xdr:blipFill>
      <xdr:spPr>
        <a:xfrm>
          <a:off x="3680460" y="0"/>
          <a:ext cx="3334847" cy="1994032"/>
        </a:xfrm>
        <a:prstGeom prst="rect">
          <a:avLst/>
        </a:prstGeom>
      </xdr:spPr>
    </xdr:pic>
    <xdr:clientData/>
  </xdr:twoCellAnchor>
  <xdr:twoCellAnchor editAs="oneCell">
    <xdr:from>
      <xdr:col>0</xdr:col>
      <xdr:colOff>0</xdr:colOff>
      <xdr:row>11</xdr:row>
      <xdr:rowOff>175260</xdr:rowOff>
    </xdr:from>
    <xdr:to>
      <xdr:col>11</xdr:col>
      <xdr:colOff>83418</xdr:colOff>
      <xdr:row>41</xdr:row>
      <xdr:rowOff>65709</xdr:rowOff>
    </xdr:to>
    <xdr:pic>
      <xdr:nvPicPr>
        <xdr:cNvPr id="3" name="图片 2">
          <a:extLst>
            <a:ext uri="{FF2B5EF4-FFF2-40B4-BE49-F238E27FC236}">
              <a16:creationId xmlns:a16="http://schemas.microsoft.com/office/drawing/2014/main" id="{4F13A103-1BC6-A406-91AC-578E82819EF5}"/>
            </a:ext>
          </a:extLst>
        </xdr:cNvPr>
        <xdr:cNvPicPr>
          <a:picLocks noChangeAspect="1"/>
        </xdr:cNvPicPr>
      </xdr:nvPicPr>
      <xdr:blipFill>
        <a:blip xmlns:r="http://schemas.openxmlformats.org/officeDocument/2006/relationships" r:embed="rId2"/>
        <a:stretch>
          <a:fillRect/>
        </a:stretch>
      </xdr:blipFill>
      <xdr:spPr>
        <a:xfrm>
          <a:off x="0" y="2186940"/>
          <a:ext cx="6789018" cy="5376849"/>
        </a:xfrm>
        <a:prstGeom prst="rect">
          <a:avLst/>
        </a:prstGeom>
      </xdr:spPr>
    </xdr:pic>
    <xdr:clientData/>
  </xdr:twoCellAnchor>
  <xdr:twoCellAnchor editAs="oneCell">
    <xdr:from>
      <xdr:col>0</xdr:col>
      <xdr:colOff>30480</xdr:colOff>
      <xdr:row>42</xdr:row>
      <xdr:rowOff>164384</xdr:rowOff>
    </xdr:from>
    <xdr:to>
      <xdr:col>11</xdr:col>
      <xdr:colOff>99060</xdr:colOff>
      <xdr:row>73</xdr:row>
      <xdr:rowOff>35202</xdr:rowOff>
    </xdr:to>
    <xdr:pic>
      <xdr:nvPicPr>
        <xdr:cNvPr id="4" name="图片 3">
          <a:extLst>
            <a:ext uri="{FF2B5EF4-FFF2-40B4-BE49-F238E27FC236}">
              <a16:creationId xmlns:a16="http://schemas.microsoft.com/office/drawing/2014/main" id="{F91B1377-C3B0-F68D-FCAB-ADE5EBFBA6EA}"/>
            </a:ext>
          </a:extLst>
        </xdr:cNvPr>
        <xdr:cNvPicPr>
          <a:picLocks noChangeAspect="1"/>
        </xdr:cNvPicPr>
      </xdr:nvPicPr>
      <xdr:blipFill>
        <a:blip xmlns:r="http://schemas.openxmlformats.org/officeDocument/2006/relationships" r:embed="rId3"/>
        <a:stretch>
          <a:fillRect/>
        </a:stretch>
      </xdr:blipFill>
      <xdr:spPr>
        <a:xfrm>
          <a:off x="30480" y="7845344"/>
          <a:ext cx="6774180" cy="5540098"/>
        </a:xfrm>
        <a:prstGeom prst="rect">
          <a:avLst/>
        </a:prstGeom>
      </xdr:spPr>
    </xdr:pic>
    <xdr:clientData/>
  </xdr:twoCellAnchor>
  <xdr:twoCellAnchor editAs="oneCell">
    <xdr:from>
      <xdr:col>0</xdr:col>
      <xdr:colOff>220980</xdr:colOff>
      <xdr:row>75</xdr:row>
      <xdr:rowOff>137160</xdr:rowOff>
    </xdr:from>
    <xdr:to>
      <xdr:col>11</xdr:col>
      <xdr:colOff>19917</xdr:colOff>
      <xdr:row>105</xdr:row>
      <xdr:rowOff>80916</xdr:rowOff>
    </xdr:to>
    <xdr:pic>
      <xdr:nvPicPr>
        <xdr:cNvPr id="5" name="图片 4">
          <a:extLst>
            <a:ext uri="{FF2B5EF4-FFF2-40B4-BE49-F238E27FC236}">
              <a16:creationId xmlns:a16="http://schemas.microsoft.com/office/drawing/2014/main" id="{4D8324CC-CD39-BDFC-15D6-ED975A781FA6}"/>
            </a:ext>
          </a:extLst>
        </xdr:cNvPr>
        <xdr:cNvPicPr>
          <a:picLocks noChangeAspect="1"/>
        </xdr:cNvPicPr>
      </xdr:nvPicPr>
      <xdr:blipFill>
        <a:blip xmlns:r="http://schemas.openxmlformats.org/officeDocument/2006/relationships" r:embed="rId4"/>
        <a:stretch>
          <a:fillRect/>
        </a:stretch>
      </xdr:blipFill>
      <xdr:spPr>
        <a:xfrm>
          <a:off x="220980" y="13853160"/>
          <a:ext cx="6504537" cy="5430156"/>
        </a:xfrm>
        <a:prstGeom prst="rect">
          <a:avLst/>
        </a:prstGeom>
      </xdr:spPr>
    </xdr:pic>
    <xdr:clientData/>
  </xdr:twoCellAnchor>
  <xdr:twoCellAnchor editAs="oneCell">
    <xdr:from>
      <xdr:col>0</xdr:col>
      <xdr:colOff>0</xdr:colOff>
      <xdr:row>107</xdr:row>
      <xdr:rowOff>167640</xdr:rowOff>
    </xdr:from>
    <xdr:to>
      <xdr:col>12</xdr:col>
      <xdr:colOff>152937</xdr:colOff>
      <xdr:row>135</xdr:row>
      <xdr:rowOff>25758</xdr:rowOff>
    </xdr:to>
    <xdr:pic>
      <xdr:nvPicPr>
        <xdr:cNvPr id="7" name="图片 6">
          <a:extLst>
            <a:ext uri="{FF2B5EF4-FFF2-40B4-BE49-F238E27FC236}">
              <a16:creationId xmlns:a16="http://schemas.microsoft.com/office/drawing/2014/main" id="{E7FEC7AB-FBD7-8961-C528-8BC85831156D}"/>
            </a:ext>
          </a:extLst>
        </xdr:cNvPr>
        <xdr:cNvPicPr>
          <a:picLocks noChangeAspect="1"/>
        </xdr:cNvPicPr>
      </xdr:nvPicPr>
      <xdr:blipFill>
        <a:blip xmlns:r="http://schemas.openxmlformats.org/officeDocument/2006/relationships" r:embed="rId5"/>
        <a:stretch>
          <a:fillRect/>
        </a:stretch>
      </xdr:blipFill>
      <xdr:spPr>
        <a:xfrm>
          <a:off x="0" y="19735800"/>
          <a:ext cx="7468137" cy="4978758"/>
        </a:xfrm>
        <a:prstGeom prst="rect">
          <a:avLst/>
        </a:prstGeom>
      </xdr:spPr>
    </xdr:pic>
    <xdr:clientData/>
  </xdr:twoCellAnchor>
  <xdr:twoCellAnchor editAs="oneCell">
    <xdr:from>
      <xdr:col>0</xdr:col>
      <xdr:colOff>83820</xdr:colOff>
      <xdr:row>140</xdr:row>
      <xdr:rowOff>60960</xdr:rowOff>
    </xdr:from>
    <xdr:to>
      <xdr:col>12</xdr:col>
      <xdr:colOff>172721</xdr:colOff>
      <xdr:row>170</xdr:row>
      <xdr:rowOff>111477</xdr:rowOff>
    </xdr:to>
    <xdr:pic>
      <xdr:nvPicPr>
        <xdr:cNvPr id="8" name="图片 7">
          <a:extLst>
            <a:ext uri="{FF2B5EF4-FFF2-40B4-BE49-F238E27FC236}">
              <a16:creationId xmlns:a16="http://schemas.microsoft.com/office/drawing/2014/main" id="{1336F46C-8E48-E4F3-2C06-E7B0C7FF33EC}"/>
            </a:ext>
          </a:extLst>
        </xdr:cNvPr>
        <xdr:cNvPicPr>
          <a:picLocks noChangeAspect="1"/>
        </xdr:cNvPicPr>
      </xdr:nvPicPr>
      <xdr:blipFill>
        <a:blip xmlns:r="http://schemas.openxmlformats.org/officeDocument/2006/relationships" r:embed="rId6"/>
        <a:stretch>
          <a:fillRect/>
        </a:stretch>
      </xdr:blipFill>
      <xdr:spPr>
        <a:xfrm>
          <a:off x="83820" y="25664160"/>
          <a:ext cx="7404101" cy="5536917"/>
        </a:xfrm>
        <a:prstGeom prst="rect">
          <a:avLst/>
        </a:prstGeom>
      </xdr:spPr>
    </xdr:pic>
    <xdr:clientData/>
  </xdr:twoCellAnchor>
  <xdr:twoCellAnchor editAs="oneCell">
    <xdr:from>
      <xdr:col>0</xdr:col>
      <xdr:colOff>19051</xdr:colOff>
      <xdr:row>171</xdr:row>
      <xdr:rowOff>161926</xdr:rowOff>
    </xdr:from>
    <xdr:to>
      <xdr:col>13</xdr:col>
      <xdr:colOff>400051</xdr:colOff>
      <xdr:row>195</xdr:row>
      <xdr:rowOff>168056</xdr:rowOff>
    </xdr:to>
    <xdr:pic>
      <xdr:nvPicPr>
        <xdr:cNvPr id="6" name="图片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7"/>
        <a:stretch>
          <a:fillRect/>
        </a:stretch>
      </xdr:blipFill>
      <xdr:spPr>
        <a:xfrm>
          <a:off x="19051" y="29479876"/>
          <a:ext cx="9296400" cy="4120930"/>
        </a:xfrm>
        <a:prstGeom prst="rect">
          <a:avLst/>
        </a:prstGeom>
      </xdr:spPr>
    </xdr:pic>
    <xdr:clientData/>
  </xdr:twoCellAnchor>
  <xdr:twoCellAnchor editAs="oneCell">
    <xdr:from>
      <xdr:col>0</xdr:col>
      <xdr:colOff>314325</xdr:colOff>
      <xdr:row>196</xdr:row>
      <xdr:rowOff>142875</xdr:rowOff>
    </xdr:from>
    <xdr:to>
      <xdr:col>17</xdr:col>
      <xdr:colOff>331915</xdr:colOff>
      <xdr:row>228</xdr:row>
      <xdr:rowOff>8856</xdr:rowOff>
    </xdr:to>
    <xdr:pic>
      <xdr:nvPicPr>
        <xdr:cNvPr id="9" name="图片 8">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8"/>
        <a:stretch>
          <a:fillRect/>
        </a:stretch>
      </xdr:blipFill>
      <xdr:spPr>
        <a:xfrm>
          <a:off x="314325" y="33747075"/>
          <a:ext cx="11676190" cy="5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218514</xdr:colOff>
      <xdr:row>17</xdr:row>
      <xdr:rowOff>106118</xdr:rowOff>
    </xdr:to>
    <xdr:pic>
      <xdr:nvPicPr>
        <xdr:cNvPr id="2" name="图片 1">
          <a:extLst>
            <a:ext uri="{FF2B5EF4-FFF2-40B4-BE49-F238E27FC236}">
              <a16:creationId xmlns:a16="http://schemas.microsoft.com/office/drawing/2014/main" id="{9A95E7E3-2DC0-3C68-31D7-93E2E67DF6AF}"/>
            </a:ext>
          </a:extLst>
        </xdr:cNvPr>
        <xdr:cNvPicPr>
          <a:picLocks noChangeAspect="1"/>
        </xdr:cNvPicPr>
      </xdr:nvPicPr>
      <xdr:blipFill>
        <a:blip xmlns:r="http://schemas.openxmlformats.org/officeDocument/2006/relationships" r:embed="rId1"/>
        <a:stretch>
          <a:fillRect/>
        </a:stretch>
      </xdr:blipFill>
      <xdr:spPr>
        <a:xfrm>
          <a:off x="0" y="0"/>
          <a:ext cx="4485714" cy="4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520</v>
      </c>
      <c r="B1" s="1113" t="s">
        <v>599</v>
      </c>
    </row>
    <row r="2" spans="1:2" s="1118" customFormat="1" ht="16.2" thickTop="1">
      <c r="A2" s="1116" t="s">
        <v>521</v>
      </c>
      <c r="B2" s="1117" t="str">
        <f>'预评函-封皮'!B37:I37</f>
        <v>北京市大兴区兴丰街（二段）36-60号（双号）2幢1至2层42、54、56号房地产抵押价值预评估</v>
      </c>
    </row>
    <row r="3" spans="1:2">
      <c r="A3" s="1119" t="s">
        <v>522</v>
      </c>
      <c r="B3" s="1120">
        <f>'预评函-封皮'!B40</f>
        <v>0</v>
      </c>
    </row>
    <row r="4" spans="1:2">
      <c r="A4" s="1119" t="s">
        <v>523</v>
      </c>
      <c r="B4" s="1120" t="str">
        <f ca="1">'预评函-封皮'!B46</f>
        <v>郑燚（注册号：1120070131)、崔锴（注册号：1120100036)</v>
      </c>
    </row>
    <row r="5" spans="1:2" s="1115" customFormat="1" ht="16.2" thickBot="1">
      <c r="A5" s="1122" t="s">
        <v>524</v>
      </c>
      <c r="B5" s="1123" t="str">
        <f>'预评函-封皮'!B49</f>
        <v>康正预评字号</v>
      </c>
    </row>
    <row r="6" spans="1:2" s="1118" customFormat="1" ht="16.2" thickTop="1">
      <c r="A6" s="1116" t="s">
        <v>525</v>
      </c>
      <c r="B6" s="1117" t="str">
        <f>'预评函-1'!A4</f>
        <v>受贵公司委托，我公司对北京市大兴区兴丰街（二段）36-60号（双号）2幢1至2层42、54、56号房地产抵押价值进行了预评估。</v>
      </c>
    </row>
    <row r="7" spans="1:2">
      <c r="A7" s="1119" t="s">
        <v>565</v>
      </c>
      <c r="B7" s="1120" t="str">
        <f>'预评函-1'!A7</f>
        <v>估价对象为北京市大兴区兴丰街（二段）36-60号（双号）2幢1至2层42、54、56号房地产，为段磊所有。根据《国有土地使用证》[]，估价对象（分摊）出让国有建设用地使用权面积为0平方米，建筑面积为479.51平方米。</v>
      </c>
    </row>
    <row r="8" spans="1:2">
      <c r="A8" s="1119" t="s">
        <v>566</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567</v>
      </c>
      <c r="B9" s="1120" t="str">
        <f>'预评函-1'!A10</f>
        <v>估价对象为北京市大兴区兴丰街（二段）36-60号（双号）2幢1至2层42、54、56号房地产,属段磊开发建设的商业项目，该项目尚在开发建设中。根据《国有土地使用证》[]，估价对象（分摊）出让国有建设用地使用权面积为0平方米，规划建筑面积为479.51平方米。</v>
      </c>
    </row>
    <row r="10" spans="1:2">
      <c r="A10" s="1119" t="s">
        <v>568</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526</v>
      </c>
      <c r="B11" s="1120" t="str">
        <f>'预评函-1'!A13</f>
        <v>拟使用北京市大兴区兴丰街（二段）36-60号（双号）2幢1至2层42、54、56号房地产作为抵押担保物，向办理贷款手续。特委托北京康正宏基房地产评估有限公司对上述抵押物进行评估。本次评估为确定房地产抵押贷款额度提供参考依据而评估房地产抵押价值。</v>
      </c>
    </row>
    <row r="12" spans="1:2">
      <c r="A12" s="1119" t="s">
        <v>527</v>
      </c>
      <c r="B12" s="1120" t="str">
        <f>'预评函-1'!A15</f>
        <v>2024年12月9日（评估专业人员实地查勘之日）</v>
      </c>
    </row>
    <row r="13" spans="1:2">
      <c r="A13" s="1119" t="s">
        <v>528</v>
      </c>
      <c r="B13" s="1120" t="str">
        <f>'预评函-1'!A18</f>
        <v>本次估价的“房地产价值”是指在正常市场情况下，在价值时点2024年12月9日，估价对象规划用途为商业，土地取得方式为出让，出让国有建设用地使用权剩余土地使用年限为18.43，假定未设立法定优先受偿款下的房地产市场价值。</v>
      </c>
    </row>
    <row r="14" spans="1:2">
      <c r="A14" s="1119" t="s">
        <v>529</v>
      </c>
      <c r="B14" s="1120" t="str">
        <f>'预评函-1'!A19</f>
        <v>其中，“出让国有建设用地使用权价值”是指估价对象用途为商业，实际开发程度为宗地红线外“七通”（即、、、、、、）、红线内场地平整条件下，剩余土地使用年限为18.43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530</v>
      </c>
      <c r="B15" s="1120" t="str">
        <f>'预评函-1'!A20</f>
        <v>本次估价的“房地产抵押价值”是指估价对象在价值时点的“房地产价值”扣减估价师于价值时点所知悉的法定优先受偿款后的余额。</v>
      </c>
    </row>
    <row r="16" spans="1:2">
      <c r="A16" s="1119" t="s">
        <v>531</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532</v>
      </c>
      <c r="B17" s="1120" t="str">
        <f>'预评函-1'!A22</f>
        <v/>
      </c>
    </row>
    <row r="18" spans="1:2" s="1115" customFormat="1" ht="16.2" thickBot="1">
      <c r="A18" s="1122" t="s">
        <v>533</v>
      </c>
      <c r="B18" s="1123" t="str">
        <f>'预评函-1'!A24</f>
        <v>本次评估采用的主估价方法为比较法和收益法。</v>
      </c>
    </row>
    <row r="19" spans="1:2" s="1118" customFormat="1" ht="16.2" thickTop="1">
      <c r="A19" s="1116" t="s">
        <v>534</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535</v>
      </c>
      <c r="B20" s="1120">
        <f ca="1">'预评函-2'!D5</f>
        <v>541.05259999999998</v>
      </c>
    </row>
    <row r="21" spans="1:2">
      <c r="A21" s="1119" t="s">
        <v>536</v>
      </c>
      <c r="B21" s="1120">
        <f ca="1">'预评函-2'!D7</f>
        <v>35040</v>
      </c>
    </row>
    <row r="22" spans="1:2">
      <c r="A22" s="1119" t="s">
        <v>537</v>
      </c>
      <c r="B22" s="1120" t="str">
        <f ca="1">'预评函-2'!D6</f>
        <v>伍佰肆拾壹万零伍佰贰拾陆元整</v>
      </c>
    </row>
    <row r="23" spans="1:2">
      <c r="A23" s="1119" t="s">
        <v>588</v>
      </c>
      <c r="B23" s="1120" t="str">
        <f>'预评函-2'!B8</f>
        <v>2.估价师知悉的法定优先受偿款</v>
      </c>
    </row>
    <row r="24" spans="1:2">
      <c r="A24" s="1119" t="s">
        <v>594</v>
      </c>
      <c r="B24" s="1120">
        <f>'预评函-2'!D8</f>
        <v>0</v>
      </c>
    </row>
    <row r="25" spans="1:2">
      <c r="A25" s="1119" t="s">
        <v>538</v>
      </c>
      <c r="B25" s="1120" t="str">
        <f>'预评函-2'!D9</f>
        <v>零元整</v>
      </c>
    </row>
    <row r="26" spans="1:2">
      <c r="A26" s="1119" t="s">
        <v>539</v>
      </c>
      <c r="B26" s="1120">
        <f>'预评函-2'!D10</f>
        <v>0</v>
      </c>
    </row>
    <row r="27" spans="1:2">
      <c r="A27" s="1119" t="s">
        <v>540</v>
      </c>
      <c r="B27" s="1120">
        <f>'预评函-2'!D11</f>
        <v>0</v>
      </c>
    </row>
    <row r="28" spans="1:2">
      <c r="A28" s="1119" t="s">
        <v>541</v>
      </c>
      <c r="B28" s="1120">
        <f>'预评函-2'!D12</f>
        <v>0</v>
      </c>
    </row>
    <row r="29" spans="1:2">
      <c r="A29" s="1119" t="s">
        <v>592</v>
      </c>
      <c r="B29" s="1120" t="str">
        <f>'预评函-2'!B13</f>
        <v>3.房地产抵押价值</v>
      </c>
    </row>
    <row r="30" spans="1:2">
      <c r="A30" s="1119" t="s">
        <v>593</v>
      </c>
      <c r="B30" s="1120">
        <f ca="1">'预评函-2'!D13</f>
        <v>541.05259999999998</v>
      </c>
    </row>
    <row r="31" spans="1:2">
      <c r="A31" s="1119" t="s">
        <v>575</v>
      </c>
      <c r="B31" s="1120">
        <f ca="1">'预评函-2'!D15</f>
        <v>35040</v>
      </c>
    </row>
    <row r="32" spans="1:2">
      <c r="A32" s="1119" t="s">
        <v>542</v>
      </c>
      <c r="B32" s="1120" t="str">
        <f ca="1">'预评函-2'!D14</f>
        <v>伍佰肆拾壹万零伍佰贰拾陆元整</v>
      </c>
    </row>
    <row r="33" spans="1:2">
      <c r="A33" s="1119" t="s">
        <v>577</v>
      </c>
      <c r="B33" s="1120" t="str">
        <f>'预评函-2'!B16</f>
        <v>——</v>
      </c>
    </row>
    <row r="34" spans="1:2">
      <c r="A34" s="1119" t="s">
        <v>595</v>
      </c>
      <c r="B34" s="1120" t="str">
        <f>'预评函-2'!D16</f>
        <v>——</v>
      </c>
    </row>
    <row r="35" spans="1:2">
      <c r="A35" s="1119" t="s">
        <v>576</v>
      </c>
      <c r="B35" s="1120" t="str">
        <f>'预评函-2'!D18</f>
        <v>——</v>
      </c>
    </row>
    <row r="36" spans="1:2">
      <c r="A36" s="1119" t="s">
        <v>543</v>
      </c>
      <c r="B36" s="1120" t="e">
        <f>'预评函-2'!D17</f>
        <v>#VALUE!</v>
      </c>
    </row>
    <row r="37" spans="1:2">
      <c r="A37" s="1119" t="s">
        <v>578</v>
      </c>
      <c r="B37" s="1120" t="str">
        <f>'预评函-2'!B19</f>
        <v>——</v>
      </c>
    </row>
    <row r="38" spans="1:2">
      <c r="A38" s="1119" t="s">
        <v>596</v>
      </c>
      <c r="B38" s="1120" t="str">
        <f>'预评函-2'!D19</f>
        <v>——</v>
      </c>
    </row>
    <row r="39" spans="1:2">
      <c r="A39" s="1119" t="s">
        <v>544</v>
      </c>
      <c r="B39" s="1120" t="str">
        <f>'预评函-2'!D21</f>
        <v>——</v>
      </c>
    </row>
    <row r="40" spans="1:2">
      <c r="A40" s="1119" t="s">
        <v>545</v>
      </c>
      <c r="B40" s="1120" t="e">
        <f>'预评函-2'!D20</f>
        <v>#VALUE!</v>
      </c>
    </row>
    <row r="41" spans="1:2">
      <c r="A41" s="1119" t="s">
        <v>591</v>
      </c>
      <c r="B41" s="1120" t="str">
        <f>'预评函-3'!A4</f>
        <v>北京市大兴区兴丰街（二段）36-60号（双号）2幢1至2层42、54、56号房地产</v>
      </c>
    </row>
    <row r="42" spans="1:2" ht="31.2">
      <c r="A42" s="1119" t="s">
        <v>589</v>
      </c>
      <c r="B42" s="1120" t="str">
        <f>'预评函-3'!B2</f>
        <v>建筑面积</v>
      </c>
    </row>
    <row r="43" spans="1:2">
      <c r="A43" s="1119" t="s">
        <v>590</v>
      </c>
      <c r="B43" s="1120">
        <f>'预评函-3'!B4</f>
        <v>479.51</v>
      </c>
    </row>
    <row r="44" spans="1:2" ht="31.2">
      <c r="A44" s="1119" t="s">
        <v>574</v>
      </c>
      <c r="B44" s="1120" t="str">
        <f>'预评函-3'!C2</f>
        <v>(分摊)土地面积</v>
      </c>
    </row>
    <row r="45" spans="1:2">
      <c r="A45" s="1119" t="s">
        <v>546</v>
      </c>
      <c r="B45" s="1120">
        <f>'预评函-3'!C4</f>
        <v>0</v>
      </c>
    </row>
    <row r="46" spans="1:2">
      <c r="A46" s="1119" t="s">
        <v>572</v>
      </c>
      <c r="B46" s="1120" t="str">
        <f>'预评函-3'!D2</f>
        <v>出让国有建设用地使用权价值</v>
      </c>
    </row>
    <row r="47" spans="1:2">
      <c r="A47" s="1119" t="s">
        <v>547</v>
      </c>
      <c r="B47" s="1120">
        <f>'预评函-3'!D4</f>
        <v>0</v>
      </c>
    </row>
    <row r="48" spans="1:2">
      <c r="A48" s="1119" t="s">
        <v>548</v>
      </c>
      <c r="B48" s="1120">
        <f>'预评函-3'!E4</f>
        <v>0</v>
      </c>
    </row>
    <row r="49" spans="1:2">
      <c r="A49" s="1119" t="s">
        <v>549</v>
      </c>
      <c r="B49" s="1120" t="str">
        <f>'预评函-3'!D5</f>
        <v>零元整</v>
      </c>
    </row>
    <row r="50" spans="1:2">
      <c r="A50" s="1119" t="s">
        <v>573</v>
      </c>
      <c r="B50" s="1120" t="str">
        <f>'预评函-3'!F2</f>
        <v>在建建筑物价值</v>
      </c>
    </row>
    <row r="51" spans="1:2">
      <c r="A51" s="1119" t="s">
        <v>550</v>
      </c>
      <c r="B51" s="1120">
        <f>'预评函-3'!F4</f>
        <v>0</v>
      </c>
    </row>
    <row r="52" spans="1:2">
      <c r="A52" s="1119" t="s">
        <v>551</v>
      </c>
      <c r="B52" s="1120">
        <f>'预评函-3'!G4</f>
        <v>0</v>
      </c>
    </row>
    <row r="53" spans="1:2">
      <c r="A53" s="1119" t="s">
        <v>579</v>
      </c>
      <c r="B53" s="1120" t="str">
        <f>'预评函-3'!F5</f>
        <v>零元整</v>
      </c>
    </row>
    <row r="54" spans="1:2">
      <c r="A54" s="1119" t="s">
        <v>597</v>
      </c>
      <c r="B54" s="1120" t="str">
        <f>'预评函-3'!A8</f>
        <v>房地产抵押价值</v>
      </c>
    </row>
    <row r="55" spans="1:2">
      <c r="A55" s="1119" t="s">
        <v>580</v>
      </c>
      <c r="B55" s="1120" t="str">
        <f>'预评函-3'!A10</f>
        <v/>
      </c>
    </row>
    <row r="56" spans="1:2">
      <c r="A56" s="1119" t="s">
        <v>581</v>
      </c>
      <c r="B56" s="1120" t="str">
        <f>'预评函-3'!A12</f>
        <v/>
      </c>
    </row>
    <row r="57" spans="1:2" s="1115" customFormat="1" ht="16.2" thickBot="1">
      <c r="A57" s="1122" t="s">
        <v>598</v>
      </c>
      <c r="B57" s="1123" t="str">
        <f>'预评函-3'!A6</f>
        <v>估价师知悉的法定优先受偿款</v>
      </c>
    </row>
    <row r="58" spans="1:2" s="1118" customFormat="1" ht="16.2" thickTop="1">
      <c r="A58" s="1116" t="s">
        <v>552</v>
      </c>
      <c r="B58" s="1117" t="str">
        <f>'预评函-4'!A12</f>
        <v>2.本《评估意见函》仅供金融机构进行内部审核使用，不做其他目的之用。</v>
      </c>
    </row>
    <row r="59" spans="1:2">
      <c r="A59" s="1119" t="s">
        <v>553</v>
      </c>
      <c r="B59" s="1120" t="str">
        <f>'预评函-4'!A13</f>
        <v>3.抵押双方在办理抵押登记手续时，应使用本公司出具的正式《房地产评估报告》，特提醒报告使用者注意。</v>
      </c>
    </row>
    <row r="60" spans="1:2">
      <c r="A60" s="1119" t="s">
        <v>554</v>
      </c>
      <c r="B60" s="1120" t="str">
        <f>'预评函-4'!A14</f>
        <v>4.本次评估估价师所知悉的法定优先受偿款情况说明如下：</v>
      </c>
    </row>
    <row r="61" spans="1:2">
      <c r="A61" s="1119" t="s">
        <v>555</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556</v>
      </c>
      <c r="B62" s="1120" t="str">
        <f>'预评函-4'!A16</f>
        <v>（2）根据《工程款支付情况说明》，截至价值时点，估价对象不存在应付未付工程款项。（只要没有施工方盖章的，均“设定”进行表述）</v>
      </c>
    </row>
    <row r="63" spans="1:2">
      <c r="A63" s="1119" t="s">
        <v>557</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569</v>
      </c>
      <c r="B64" s="1120" t="str">
        <f>'预评函-4'!A18</f>
        <v>故，本次评估不存在估价师知悉的法定优先受偿款</v>
      </c>
    </row>
    <row r="65" spans="1:2">
      <c r="A65" s="1119" t="s">
        <v>558</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559</v>
      </c>
      <c r="B66" s="1120" t="str">
        <f>'预评函-4'!A20</f>
        <v>——</v>
      </c>
    </row>
    <row r="67" spans="1:2">
      <c r="A67" s="1119" t="s">
        <v>570</v>
      </c>
      <c r="B67" s="1120" t="str">
        <f>'预评函-4'!A21</f>
        <v>——</v>
      </c>
    </row>
    <row r="68" spans="1:2">
      <c r="A68" s="1119" t="s">
        <v>571</v>
      </c>
      <c r="B68" s="1120" t="str">
        <f>'预评函-4'!A22</f>
        <v>8.其他需特殊说明事项：无（注意调整序号）</v>
      </c>
    </row>
    <row r="69" spans="1:2" s="1115" customFormat="1" ht="16.2" thickBot="1">
      <c r="A69" s="1122" t="s">
        <v>560</v>
      </c>
      <c r="B69" s="1124">
        <f>'预评函-4'!C31</f>
        <v>42551</v>
      </c>
    </row>
    <row r="70" spans="1:2" ht="16.2" thickTop="1">
      <c r="A70" s="1125" t="s">
        <v>561</v>
      </c>
      <c r="B70" s="1126" t="str">
        <f>'预评函-4'!A4</f>
        <v>郑燚</v>
      </c>
    </row>
    <row r="71" spans="1:2">
      <c r="A71" s="1119" t="s">
        <v>562</v>
      </c>
      <c r="B71" s="1120">
        <f ca="1">'预评函-4'!B4</f>
        <v>1120070131</v>
      </c>
    </row>
    <row r="72" spans="1:2">
      <c r="A72" s="1119" t="s">
        <v>563</v>
      </c>
      <c r="B72" s="1127" t="str">
        <f>'预评函-4'!A5</f>
        <v>崔锴</v>
      </c>
    </row>
    <row r="73" spans="1:2" s="1115" customFormat="1" ht="16.2" thickBot="1">
      <c r="A73" s="1122" t="s">
        <v>564</v>
      </c>
      <c r="B73" s="1123">
        <f ca="1">'预评函-4'!B5</f>
        <v>1120100036</v>
      </c>
    </row>
    <row r="74" spans="1:2" ht="16.2" thickTop="1">
      <c r="A74" s="1112" t="s">
        <v>600</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9" sqref="D19"/>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976</v>
      </c>
      <c r="C1" s="1438" t="s">
        <v>314</v>
      </c>
      <c r="D1" s="1439" t="s">
        <v>3349</v>
      </c>
      <c r="E1" s="1438" t="s">
        <v>977</v>
      </c>
      <c r="F1" s="1438" t="s">
        <v>978</v>
      </c>
      <c r="G1" s="1438" t="s">
        <v>979</v>
      </c>
      <c r="H1" s="1438" t="s">
        <v>980</v>
      </c>
      <c r="I1" s="1438" t="s">
        <v>981</v>
      </c>
      <c r="J1" s="1438" t="s">
        <v>982</v>
      </c>
      <c r="K1" s="1438" t="s">
        <v>983</v>
      </c>
      <c r="L1" s="1438" t="s">
        <v>984</v>
      </c>
      <c r="M1" s="1438" t="s">
        <v>985</v>
      </c>
      <c r="N1" s="1438" t="s">
        <v>986</v>
      </c>
      <c r="O1" s="1438" t="s">
        <v>987</v>
      </c>
      <c r="P1" s="1439" t="s">
        <v>309</v>
      </c>
      <c r="Q1" s="1439" t="s">
        <v>447</v>
      </c>
      <c r="R1" s="1438" t="s">
        <v>441</v>
      </c>
      <c r="S1" s="1438" t="s">
        <v>988</v>
      </c>
      <c r="T1" s="1439" t="s">
        <v>989</v>
      </c>
      <c r="U1" s="1438" t="s">
        <v>990</v>
      </c>
      <c r="V1" s="1438" t="s">
        <v>991</v>
      </c>
      <c r="W1" s="1438" t="s">
        <v>311</v>
      </c>
    </row>
    <row r="2" spans="1:23">
      <c r="A2" s="1441" t="s">
        <v>19</v>
      </c>
      <c r="B2" s="1441" t="s">
        <v>992</v>
      </c>
      <c r="C2" s="1442" t="s">
        <v>315</v>
      </c>
      <c r="D2" s="1443" t="s">
        <v>993</v>
      </c>
      <c r="E2" s="1443" t="s">
        <v>994</v>
      </c>
      <c r="F2" s="1443" t="s">
        <v>995</v>
      </c>
      <c r="G2" s="1443">
        <v>20</v>
      </c>
      <c r="H2" s="1443" t="s">
        <v>995</v>
      </c>
      <c r="I2" s="1443" t="s">
        <v>3335</v>
      </c>
      <c r="J2" s="1443" t="s">
        <v>996</v>
      </c>
      <c r="K2" s="1443" t="s">
        <v>997</v>
      </c>
      <c r="L2" s="1443" t="s">
        <v>997</v>
      </c>
      <c r="M2" s="1443" t="s">
        <v>997</v>
      </c>
      <c r="N2" s="1443" t="s">
        <v>997</v>
      </c>
      <c r="O2" s="1443" t="s">
        <v>997</v>
      </c>
      <c r="P2" s="1443" t="s">
        <v>997</v>
      </c>
      <c r="Q2" s="1443" t="s">
        <v>997</v>
      </c>
      <c r="R2" s="1443" t="s">
        <v>443</v>
      </c>
      <c r="S2" s="1443" t="s">
        <v>997</v>
      </c>
      <c r="T2" s="1443" t="s">
        <v>998</v>
      </c>
      <c r="U2" s="1443" t="s">
        <v>997</v>
      </c>
      <c r="V2" s="1443" t="s">
        <v>999</v>
      </c>
      <c r="W2" s="1443" t="s">
        <v>997</v>
      </c>
    </row>
    <row r="3" spans="1:23">
      <c r="A3" s="1441" t="s">
        <v>1000</v>
      </c>
      <c r="B3" s="1444" t="s">
        <v>448</v>
      </c>
      <c r="C3" s="1442" t="s">
        <v>316</v>
      </c>
      <c r="D3" s="1443" t="s">
        <v>1001</v>
      </c>
      <c r="E3" s="1443" t="s">
        <v>13</v>
      </c>
      <c r="F3" s="1443" t="s">
        <v>1002</v>
      </c>
      <c r="G3" s="1443">
        <v>40</v>
      </c>
      <c r="H3" s="1443" t="s">
        <v>1002</v>
      </c>
      <c r="I3" s="1443" t="s">
        <v>3336</v>
      </c>
      <c r="J3" s="1443" t="s">
        <v>1003</v>
      </c>
      <c r="K3" s="1443" t="s">
        <v>1004</v>
      </c>
      <c r="L3" s="1443" t="s">
        <v>1004</v>
      </c>
      <c r="M3" s="1443" t="s">
        <v>1004</v>
      </c>
      <c r="N3" s="1443" t="s">
        <v>1004</v>
      </c>
      <c r="O3" s="1443" t="s">
        <v>1004</v>
      </c>
      <c r="P3" s="1443" t="s">
        <v>1004</v>
      </c>
      <c r="Q3" s="1443" t="s">
        <v>1004</v>
      </c>
      <c r="R3" s="1443" t="s">
        <v>442</v>
      </c>
      <c r="S3" s="1443" t="s">
        <v>1004</v>
      </c>
      <c r="T3" s="1443" t="s">
        <v>1005</v>
      </c>
      <c r="U3" s="1443" t="s">
        <v>1004</v>
      </c>
      <c r="V3" s="1443" t="s">
        <v>1006</v>
      </c>
      <c r="W3" s="1443" t="s">
        <v>1004</v>
      </c>
    </row>
    <row r="4" spans="1:23">
      <c r="A4" s="1441" t="s">
        <v>1007</v>
      </c>
      <c r="B4" s="1441" t="s">
        <v>1008</v>
      </c>
      <c r="C4" s="1442" t="s">
        <v>317</v>
      </c>
      <c r="D4" s="1443" t="s">
        <v>389</v>
      </c>
      <c r="E4" s="1443" t="s">
        <v>1009</v>
      </c>
      <c r="F4" s="1443" t="s">
        <v>1010</v>
      </c>
      <c r="G4" s="1443">
        <v>50</v>
      </c>
      <c r="H4" s="1443" t="s">
        <v>1010</v>
      </c>
      <c r="I4" s="1443" t="s">
        <v>3337</v>
      </c>
      <c r="K4" s="1443" t="s">
        <v>1011</v>
      </c>
      <c r="L4" s="1443" t="s">
        <v>1011</v>
      </c>
      <c r="M4" s="1443" t="s">
        <v>1011</v>
      </c>
      <c r="N4" s="1443" t="s">
        <v>1011</v>
      </c>
      <c r="O4" s="1443" t="s">
        <v>1011</v>
      </c>
      <c r="P4" s="1443" t="s">
        <v>1011</v>
      </c>
      <c r="Q4" s="1443" t="s">
        <v>1011</v>
      </c>
      <c r="R4" s="1443" t="s">
        <v>444</v>
      </c>
      <c r="S4" s="1443" t="s">
        <v>1011</v>
      </c>
      <c r="T4" s="1443" t="s">
        <v>1012</v>
      </c>
      <c r="U4" s="1443" t="s">
        <v>1011</v>
      </c>
      <c r="W4" s="1443" t="s">
        <v>1011</v>
      </c>
    </row>
    <row r="5" spans="1:23">
      <c r="A5" s="1441" t="s">
        <v>1013</v>
      </c>
      <c r="B5" s="1441" t="s">
        <v>1014</v>
      </c>
      <c r="C5" s="1442" t="s">
        <v>318</v>
      </c>
      <c r="F5" s="1443" t="s">
        <v>1015</v>
      </c>
      <c r="G5" s="1443">
        <v>70</v>
      </c>
      <c r="H5" s="1443" t="s">
        <v>1016</v>
      </c>
      <c r="I5" s="1443" t="s">
        <v>3338</v>
      </c>
      <c r="K5" s="1443" t="s">
        <v>1017</v>
      </c>
      <c r="L5" s="1443" t="s">
        <v>1017</v>
      </c>
      <c r="M5" s="1443" t="s">
        <v>1017</v>
      </c>
      <c r="N5" s="1443" t="s">
        <v>1017</v>
      </c>
      <c r="O5" s="1443" t="s">
        <v>1017</v>
      </c>
      <c r="P5" s="1443" t="s">
        <v>1017</v>
      </c>
      <c r="Q5" s="1443" t="s">
        <v>1017</v>
      </c>
      <c r="R5" s="1443" t="s">
        <v>445</v>
      </c>
      <c r="S5" s="1443" t="s">
        <v>1017</v>
      </c>
      <c r="T5" s="1443" t="s">
        <v>1018</v>
      </c>
      <c r="U5" s="1443" t="s">
        <v>1017</v>
      </c>
      <c r="W5" s="1443" t="s">
        <v>1017</v>
      </c>
    </row>
    <row r="6" spans="1:23">
      <c r="A6" s="1441" t="s">
        <v>1019</v>
      </c>
      <c r="B6" s="1444" t="s">
        <v>3564</v>
      </c>
      <c r="C6" s="1446" t="s">
        <v>24</v>
      </c>
      <c r="F6" s="1443" t="s">
        <v>1016</v>
      </c>
      <c r="H6" s="1443" t="s">
        <v>1020</v>
      </c>
      <c r="I6" s="1443" t="s">
        <v>3339</v>
      </c>
      <c r="K6" s="1443" t="s">
        <v>1021</v>
      </c>
      <c r="L6" s="1443" t="s">
        <v>1021</v>
      </c>
      <c r="M6" s="1443" t="s">
        <v>1021</v>
      </c>
      <c r="N6" s="1443" t="s">
        <v>1021</v>
      </c>
      <c r="O6" s="1443" t="s">
        <v>1021</v>
      </c>
      <c r="P6" s="1443" t="s">
        <v>1021</v>
      </c>
      <c r="Q6" s="1443" t="s">
        <v>1021</v>
      </c>
      <c r="R6" s="1443" t="s">
        <v>446</v>
      </c>
      <c r="S6" s="1443" t="s">
        <v>1021</v>
      </c>
      <c r="T6" s="1443"/>
      <c r="U6" s="1443" t="s">
        <v>1021</v>
      </c>
      <c r="W6" s="1443" t="s">
        <v>1021</v>
      </c>
    </row>
    <row r="7" spans="1:23">
      <c r="A7" s="1441" t="s">
        <v>1022</v>
      </c>
      <c r="B7" s="1444" t="s">
        <v>449</v>
      </c>
      <c r="C7" s="1442" t="s">
        <v>25</v>
      </c>
      <c r="F7" s="1443" t="s">
        <v>1023</v>
      </c>
      <c r="H7" s="1443" t="s">
        <v>1024</v>
      </c>
      <c r="I7" s="1443" t="s">
        <v>3340</v>
      </c>
    </row>
    <row r="8" spans="1:23">
      <c r="A8" s="1441" t="s">
        <v>1025</v>
      </c>
      <c r="B8" s="1441" t="s">
        <v>1026</v>
      </c>
      <c r="C8" s="1442" t="s">
        <v>319</v>
      </c>
      <c r="F8" s="1443" t="s">
        <v>1027</v>
      </c>
      <c r="H8" s="1443" t="s">
        <v>2577</v>
      </c>
      <c r="I8" s="1443" t="s">
        <v>3341</v>
      </c>
    </row>
    <row r="9" spans="1:23">
      <c r="A9" s="1441" t="s">
        <v>1028</v>
      </c>
      <c r="B9" s="1444" t="s">
        <v>3566</v>
      </c>
      <c r="C9" s="1442" t="s">
        <v>320</v>
      </c>
      <c r="F9" s="1443" t="s">
        <v>1029</v>
      </c>
      <c r="H9" s="1443"/>
      <c r="I9" s="1445" t="s">
        <v>3342</v>
      </c>
    </row>
    <row r="10" spans="1:23">
      <c r="A10" s="1441" t="s">
        <v>1030</v>
      </c>
      <c r="B10" s="1441" t="s">
        <v>1031</v>
      </c>
      <c r="C10" s="1442" t="s">
        <v>321</v>
      </c>
      <c r="F10" s="1443" t="s">
        <v>2578</v>
      </c>
      <c r="I10" s="1445" t="s">
        <v>3343</v>
      </c>
    </row>
    <row r="11" spans="1:23">
      <c r="A11" s="1441" t="s">
        <v>1032</v>
      </c>
      <c r="B11" s="1441" t="s">
        <v>1033</v>
      </c>
      <c r="C11" s="1442" t="s">
        <v>322</v>
      </c>
      <c r="F11" s="1443" t="s">
        <v>13</v>
      </c>
      <c r="I11" s="1445" t="s">
        <v>3344</v>
      </c>
    </row>
    <row r="12" spans="1:23">
      <c r="A12" s="1441" t="s">
        <v>1034</v>
      </c>
      <c r="B12" s="1441" t="s">
        <v>1035</v>
      </c>
      <c r="C12" s="1442" t="s">
        <v>323</v>
      </c>
      <c r="I12" s="1445" t="s">
        <v>3345</v>
      </c>
    </row>
    <row r="13" spans="1:23">
      <c r="A13" s="1441" t="s">
        <v>1036</v>
      </c>
      <c r="B13" s="1441" t="s">
        <v>1037</v>
      </c>
      <c r="C13" s="1442" t="s">
        <v>324</v>
      </c>
      <c r="I13" s="1445" t="s">
        <v>3346</v>
      </c>
    </row>
    <row r="14" spans="1:23">
      <c r="A14" s="1441" t="s">
        <v>1038</v>
      </c>
      <c r="B14" s="1441" t="s">
        <v>1039</v>
      </c>
      <c r="C14" s="1443" t="s">
        <v>13</v>
      </c>
      <c r="I14" s="1445" t="s">
        <v>3347</v>
      </c>
    </row>
    <row r="15" spans="1:23">
      <c r="A15" s="1441" t="s">
        <v>1040</v>
      </c>
      <c r="B15" s="1441" t="s">
        <v>1041</v>
      </c>
      <c r="C15" s="1442"/>
      <c r="I15" s="1445" t="s">
        <v>3348</v>
      </c>
    </row>
    <row r="16" spans="1:23">
      <c r="A16" s="1441" t="s">
        <v>1042</v>
      </c>
      <c r="B16" s="1441" t="s">
        <v>312</v>
      </c>
      <c r="C16" s="1442"/>
    </row>
    <row r="17" spans="1:3">
      <c r="A17" s="1441" t="s">
        <v>1043</v>
      </c>
      <c r="B17" s="1441" t="s">
        <v>2291</v>
      </c>
      <c r="C17" s="1442"/>
    </row>
    <row r="18" spans="1:3">
      <c r="A18" s="1441" t="s">
        <v>1044</v>
      </c>
      <c r="B18" s="1441" t="s">
        <v>2433</v>
      </c>
      <c r="C18" s="1442"/>
    </row>
    <row r="19" spans="1:3">
      <c r="A19" s="1441" t="s">
        <v>1045</v>
      </c>
      <c r="B19" s="1441" t="s">
        <v>3567</v>
      </c>
      <c r="C19" s="1442"/>
    </row>
    <row r="20" spans="1:3">
      <c r="A20" s="1441" t="s">
        <v>1046</v>
      </c>
      <c r="B20" s="1444" t="s">
        <v>3605</v>
      </c>
      <c r="C20" s="1442"/>
    </row>
    <row r="21" spans="1:3">
      <c r="A21" s="1441" t="s">
        <v>1047</v>
      </c>
      <c r="B21" s="1441" t="s">
        <v>3568</v>
      </c>
      <c r="C21" s="1442"/>
    </row>
    <row r="22" spans="1:3">
      <c r="A22" s="1441" t="s">
        <v>1048</v>
      </c>
      <c r="B22" s="1444" t="s">
        <v>3570</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兴丰街（二段）36-60号（双号）2幢1至2层42、54、56号房地产作为抵押担保物，向办理贷款手续。特委托北京康正宏基房地产评估有限公司对上述抵押物进行评估。本次评估为确定房地产抵押贷款额度提供参考依据而评估房地产抵押价值。</v>
      </c>
      <c r="D51" s="1447" t="s">
        <v>585</v>
      </c>
    </row>
    <row r="52" spans="1:4">
      <c r="A52" s="1447" t="s">
        <v>379</v>
      </c>
      <c r="B52" s="1447" t="s">
        <v>380</v>
      </c>
      <c r="C52" s="1445" t="s">
        <v>381</v>
      </c>
      <c r="D52" s="1445" t="s">
        <v>382</v>
      </c>
    </row>
    <row r="53" spans="1:4">
      <c r="A53" s="320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9"/>
      <c r="B54" s="1447" t="s">
        <v>385</v>
      </c>
      <c r="C54" s="1445" t="s">
        <v>582</v>
      </c>
    </row>
    <row r="55" spans="1:4">
      <c r="A55" s="3209"/>
      <c r="B55" s="1447" t="s">
        <v>386</v>
      </c>
      <c r="C55" s="1445" t="s">
        <v>583</v>
      </c>
    </row>
    <row r="56" spans="1:4">
      <c r="A56" s="3209"/>
      <c r="B56" s="1447" t="s">
        <v>387</v>
      </c>
      <c r="C56" s="1445" t="s">
        <v>587</v>
      </c>
    </row>
    <row r="57" spans="1:4">
      <c r="A57" s="3209"/>
      <c r="B57" s="1447" t="s">
        <v>388</v>
      </c>
      <c r="C57" s="1445" t="s">
        <v>584</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0" t="s">
        <v>2580</v>
      </c>
      <c r="J2" s="3210"/>
      <c r="K2" s="3210"/>
      <c r="L2" s="3210"/>
      <c r="M2" s="3210"/>
      <c r="N2" s="3210"/>
      <c r="O2" s="3210"/>
      <c r="P2" s="3210"/>
      <c r="Q2" s="3210"/>
      <c r="R2" s="3210"/>
    </row>
    <row r="3" spans="1:18">
      <c r="A3" s="2761" t="s">
        <v>2501</v>
      </c>
      <c r="B3" s="2762">
        <f>项目基本情况!D3</f>
        <v>45635</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2.02</v>
      </c>
      <c r="D5" s="2766">
        <f>IF(ISERROR(ROUND(POWER(1+E5,A5-C5)*(POWER(1+E5,C5)-1)/(POWER(1+E5,A5)-1),3)),0,ROUND(POWER(1+E5,A5-C5)*(POWER(1+E5,C5)-1)/(POWER(1+E5,A5)-1),4))</f>
        <v>9.6199999999999994E-2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12.03</v>
      </c>
      <c r="D6" s="2766">
        <f>IF(ISERROR(ROUND(POWER(1+E6,A6-C6)*(POWER(1+E6,C6)-1)/(POWER(1+E6,A6)-1),3)),0,ROUND(POWER(1+E6,A6-C6)*(POWER(1+E6,C6)-1)/(POWER(1+E6,A6)-1),4))</f>
        <v>0.43769999999999998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32.04</v>
      </c>
      <c r="D7" s="2766">
        <f>IF(ISERROR(ROUND(POWER(1+E7,A7-C7)*(POWER(1+E7,C7)-1)/(POWER(1+E7,A7)-1),3)),0,ROUND(POWER(1+E7,A7-C7)*(POWER(1+E7,C7)-1)/(POWER(1+E7,A7)-1),4))</f>
        <v>0.76449999999999996</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5" thickBot="1">
      <c r="A18" s="2771" t="s">
        <v>2516</v>
      </c>
      <c r="B18" s="2772">
        <f>ROUND(B17*F11/F12,2)</f>
        <v>5541.87</v>
      </c>
      <c r="C18" s="2772">
        <f>ROUND(F11/F12,4)</f>
        <v>1.1521999999999999</v>
      </c>
      <c r="D18" s="2773"/>
      <c r="E18" s="2773"/>
      <c r="F18" s="2774"/>
    </row>
    <row r="19" spans="1:13" ht="15" thickBot="1"/>
    <row r="20" spans="1:13" s="2807" customFormat="1" ht="1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2166</v>
      </c>
      <c r="B1" s="3211" t="str">
        <f>IF(B10="北京市","北京市",C10)&amp;F10&amp;IF('42号结果表'!G1="在建","出让国有建设用地使用权及在建建筑物",IF('42号结果表'!G1="土地","出让国有建设用地使用权",))&amp;B9&amp;"预评估"</f>
        <v>北京市大兴区兴丰街（二段）36-60号（双号）2幢1至2层42、54、56号房地产抵押价值预评估</v>
      </c>
      <c r="C1" s="3212"/>
      <c r="D1" s="3212"/>
      <c r="E1" s="3212"/>
      <c r="F1" s="3212"/>
      <c r="G1" s="3212"/>
      <c r="H1" s="3212"/>
      <c r="I1" s="3213"/>
      <c r="J1" s="2244"/>
      <c r="K1" s="2183"/>
      <c r="L1" s="2184"/>
      <c r="M1" s="2184"/>
      <c r="N1" s="2182"/>
      <c r="O1" s="1466"/>
      <c r="P1" s="2182"/>
      <c r="Q1" s="2182"/>
      <c r="R1" s="2182"/>
      <c r="S1" s="1561" t="str">
        <f>IF(B10="北京市","北京市",C10)&amp;F10&amp;IF('42号结果表'!G1="在建","出让国有建设用地使用权及在建建筑物房地产抵押价值",IF('42号结果表'!G1="土地","出让国有建设用地使用权抵押价值",B9))</f>
        <v>北京市大兴区兴丰街（二段）36-60号（双号）2幢1至2层42、54、56号房地产抵押价值</v>
      </c>
      <c r="T1" s="1618"/>
      <c r="U1" s="1618"/>
      <c r="V1" s="1618"/>
      <c r="W1" s="1618"/>
      <c r="X1" s="1618"/>
      <c r="Y1" s="1618"/>
      <c r="Z1" s="1618"/>
      <c r="AA1" s="1618"/>
      <c r="AB1" s="1618"/>
    </row>
    <row r="2" spans="1:30">
      <c r="A2" s="2182" t="s">
        <v>2167</v>
      </c>
      <c r="B2" s="122"/>
      <c r="D2" s="2446"/>
      <c r="E2" s="2440"/>
      <c r="F2" s="2440"/>
      <c r="G2" s="2441"/>
      <c r="H2" s="2441"/>
      <c r="I2" s="2441"/>
      <c r="J2" s="2244"/>
      <c r="K2" s="2183"/>
      <c r="L2" s="2184"/>
      <c r="M2" s="2184"/>
      <c r="N2" s="2182"/>
      <c r="O2" s="1466"/>
      <c r="P2" s="2182"/>
      <c r="Q2" s="2182"/>
      <c r="R2" s="2182"/>
      <c r="S2" s="1561" t="str">
        <f>IF(B10="北京市","北京市",C10)&amp;F10&amp;IF('42号结果表'!G1="在建","出让国有建设用地使用权及在建建筑物房地产",IF('42号结果表'!G1="土地","出让国有建设用地使用权","房地产"))</f>
        <v>北京市大兴区兴丰街（二段）36-60号（双号）2幢1至2层42、54、56号房地产</v>
      </c>
      <c r="T2" s="1618"/>
      <c r="U2" s="1618"/>
      <c r="V2" s="1618"/>
      <c r="W2" s="1618"/>
      <c r="X2" s="1618"/>
      <c r="Y2" s="1618"/>
      <c r="Z2" s="1618"/>
      <c r="AA2" s="1618"/>
      <c r="AB2" s="1618"/>
    </row>
    <row r="3" spans="1:30">
      <c r="A3" s="294" t="s">
        <v>2168</v>
      </c>
      <c r="B3" s="2185">
        <v>45635</v>
      </c>
      <c r="C3" s="2186" t="s">
        <v>2169</v>
      </c>
      <c r="D3" s="2185">
        <f>B3</f>
        <v>45635</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2170</v>
      </c>
      <c r="B4" s="2187" t="s">
        <v>3392</v>
      </c>
      <c r="C4" s="2188">
        <f ca="1">SUMIF(注册房地产估价师,B4,估价师及机构信息!B3:B24)</f>
        <v>1120070131</v>
      </c>
      <c r="D4" s="2187" t="s">
        <v>3393</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2171</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2173</v>
      </c>
      <c r="B7" s="2198"/>
      <c r="C7" s="2196"/>
      <c r="D7" s="2197"/>
      <c r="E7" s="2440"/>
      <c r="F7" s="2441"/>
      <c r="G7" s="2441"/>
      <c r="H7" s="2441"/>
      <c r="I7" s="2441"/>
      <c r="J7" s="2244"/>
      <c r="K7" s="2401"/>
      <c r="L7" s="2398"/>
      <c r="M7" s="2398"/>
      <c r="N7" s="2244"/>
      <c r="O7" s="1670"/>
      <c r="P7" s="2244"/>
      <c r="Q7" s="2244"/>
      <c r="R7" s="2244"/>
    </row>
    <row r="8" spans="1:30">
      <c r="A8" s="2199" t="s">
        <v>2174</v>
      </c>
      <c r="B8" s="2200" t="s">
        <v>3386</v>
      </c>
      <c r="C8" s="2201"/>
      <c r="D8" s="3214" t="s">
        <v>2175</v>
      </c>
      <c r="E8" s="2202" t="s">
        <v>3387</v>
      </c>
      <c r="F8" s="2203"/>
      <c r="G8" s="2441"/>
      <c r="H8" s="2441"/>
      <c r="I8" s="2441"/>
      <c r="J8" s="2244"/>
      <c r="K8" s="2399"/>
      <c r="L8" s="2398"/>
      <c r="M8" s="2398"/>
      <c r="N8" s="2244"/>
      <c r="O8" s="1670"/>
      <c r="P8" s="2244"/>
      <c r="Q8" s="2244"/>
      <c r="R8" s="2244"/>
    </row>
    <row r="9" spans="1:30" ht="13.8" thickBot="1">
      <c r="A9" s="2204" t="s">
        <v>2176</v>
      </c>
      <c r="B9" s="2205" t="s">
        <v>3387</v>
      </c>
      <c r="C9" s="2206"/>
      <c r="D9" s="3215"/>
      <c r="E9" s="2205" t="s">
        <v>43</v>
      </c>
      <c r="F9" s="2207"/>
      <c r="G9" s="2442"/>
      <c r="H9" s="2442"/>
      <c r="I9" s="2442"/>
      <c r="J9" s="2244"/>
      <c r="K9" s="2401"/>
      <c r="L9" s="2398"/>
      <c r="M9" s="2398"/>
      <c r="N9" s="2244"/>
      <c r="O9" s="1670"/>
      <c r="P9" s="2244"/>
      <c r="Q9" s="2244"/>
      <c r="R9" s="2244"/>
    </row>
    <row r="10" spans="1:30" ht="13.8" thickTop="1">
      <c r="A10" s="2208" t="s">
        <v>2177</v>
      </c>
      <c r="B10" s="2209" t="s">
        <v>3388</v>
      </c>
      <c r="C10" s="2210"/>
      <c r="D10" s="2193"/>
      <c r="E10" s="2211" t="s">
        <v>2178</v>
      </c>
      <c r="F10" s="3144" t="s">
        <v>3391</v>
      </c>
      <c r="G10" s="2443"/>
      <c r="H10" s="2444"/>
      <c r="I10" s="2445"/>
      <c r="J10" s="2244"/>
      <c r="K10" s="2401"/>
      <c r="L10" s="2398"/>
      <c r="M10" s="2398"/>
      <c r="N10" s="2244"/>
      <c r="O10" s="1670"/>
      <c r="P10" s="2244"/>
      <c r="Q10" s="2244"/>
      <c r="R10" s="2244"/>
    </row>
    <row r="11" spans="1:30">
      <c r="A11" s="2212" t="s">
        <v>2179</v>
      </c>
      <c r="B11" s="2213" t="s">
        <v>3389</v>
      </c>
      <c r="C11" s="3143" t="s">
        <v>3390</v>
      </c>
      <c r="D11" s="2214"/>
      <c r="E11" s="2182"/>
      <c r="F11" s="2182"/>
      <c r="G11" s="2182"/>
      <c r="H11" s="2182"/>
      <c r="I11" s="2182"/>
      <c r="J11" s="2800"/>
      <c r="K11" s="2398"/>
      <c r="L11" s="2398"/>
      <c r="M11" s="2398"/>
      <c r="N11" s="2244"/>
      <c r="O11" s="1670"/>
      <c r="P11" s="2244"/>
      <c r="Q11" s="2244"/>
      <c r="R11" s="2244"/>
    </row>
    <row r="12" spans="1:30">
      <c r="A12" s="2215" t="s">
        <v>2180</v>
      </c>
      <c r="B12" s="315" t="s">
        <v>2181</v>
      </c>
      <c r="C12" s="2216" t="s">
        <v>2182</v>
      </c>
      <c r="D12" s="2216" t="s">
        <v>2183</v>
      </c>
      <c r="E12" s="2216" t="s">
        <v>2184</v>
      </c>
      <c r="F12" s="2216" t="s">
        <v>2185</v>
      </c>
      <c r="G12" s="2216" t="s">
        <v>2186</v>
      </c>
      <c r="H12" s="2216" t="s">
        <v>2187</v>
      </c>
      <c r="I12" s="2799" t="s">
        <v>2576</v>
      </c>
      <c r="J12" s="2801"/>
      <c r="K12" s="2398"/>
      <c r="L12" s="2398"/>
      <c r="M12" s="2244"/>
      <c r="N12" s="1670"/>
      <c r="O12" s="2244"/>
      <c r="P12" s="2244"/>
      <c r="Q12" s="2244"/>
      <c r="AD12" s="1618"/>
    </row>
    <row r="13" spans="1:30">
      <c r="A13" s="3120" t="s">
        <v>3331</v>
      </c>
      <c r="B13" s="2217" t="s">
        <v>2188</v>
      </c>
      <c r="C13" s="803"/>
      <c r="D13" s="803">
        <v>52365</v>
      </c>
      <c r="E13" s="803"/>
      <c r="F13" s="803"/>
      <c r="G13" s="803"/>
      <c r="H13" s="803"/>
      <c r="I13" s="803"/>
      <c r="J13" s="2801"/>
      <c r="K13" s="2398"/>
      <c r="L13" s="2398"/>
      <c r="M13" s="2244"/>
      <c r="N13" s="1670"/>
      <c r="O13" s="2244"/>
      <c r="P13" s="2244"/>
      <c r="Q13" s="2244"/>
      <c r="AD13" s="1618"/>
    </row>
    <row r="14" spans="1:30">
      <c r="A14" s="1018"/>
      <c r="B14" s="2217" t="s">
        <v>2189</v>
      </c>
      <c r="C14" s="2218"/>
      <c r="D14" s="2218">
        <v>40</v>
      </c>
      <c r="E14" s="2218"/>
      <c r="F14" s="2218"/>
      <c r="G14" s="2218"/>
      <c r="H14" s="2218"/>
      <c r="I14" s="2218"/>
      <c r="J14" s="2802"/>
      <c r="K14" s="2398"/>
      <c r="L14" s="2398"/>
      <c r="M14" s="2244"/>
      <c r="N14" s="1670"/>
      <c r="O14" s="2244"/>
      <c r="P14" s="2244"/>
      <c r="Q14" s="2244"/>
      <c r="AD14" s="1618"/>
    </row>
    <row r="15" spans="1:30">
      <c r="A15" s="312"/>
      <c r="B15" s="2219" t="s">
        <v>2190</v>
      </c>
      <c r="C15" s="2220" t="str">
        <f>IF(A13="出让",IF(C13="","",ROUNDDOWN(MIN((C13-$D$3)/365,C14),2)),C14)</f>
        <v/>
      </c>
      <c r="D15" s="2220">
        <f>IF(A13="出让",IF(D13="","",ROUNDDOWN(MIN((D13-$D$3)/365,D14),2)),D14)</f>
        <v>18.43</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2191</v>
      </c>
      <c r="B16" s="3221" t="s">
        <v>3394</v>
      </c>
      <c r="C16" s="3222"/>
      <c r="D16" s="3223"/>
      <c r="E16" s="2221" t="s">
        <v>2192</v>
      </c>
      <c r="F16" s="3224">
        <f>D15</f>
        <v>18.43</v>
      </c>
      <c r="G16" s="3225"/>
      <c r="H16" s="3225"/>
      <c r="I16" s="3226"/>
      <c r="J16" s="2244"/>
      <c r="K16" s="2402"/>
      <c r="L16" s="1670"/>
      <c r="M16" s="1670"/>
      <c r="N16" s="2244"/>
      <c r="O16" s="1670"/>
      <c r="P16" s="2244"/>
      <c r="Q16" s="2244"/>
      <c r="R16" s="2244"/>
    </row>
    <row r="17" spans="1:28">
      <c r="A17" s="305" t="s">
        <v>2193</v>
      </c>
      <c r="B17" s="294" t="s">
        <v>2194</v>
      </c>
      <c r="C17" s="8">
        <f>'数据-汇总表'!E3</f>
        <v>479.51</v>
      </c>
      <c r="D17" s="1256" t="s">
        <v>2195</v>
      </c>
      <c r="E17" s="3227" t="s">
        <v>2196</v>
      </c>
      <c r="F17" s="3228"/>
      <c r="G17" s="3228"/>
      <c r="H17" s="3228"/>
      <c r="I17" s="3229"/>
      <c r="J17" s="2244"/>
      <c r="K17" s="2403"/>
      <c r="L17" s="1670"/>
      <c r="M17" s="1670"/>
      <c r="N17" s="2244"/>
      <c r="O17" s="1670"/>
      <c r="P17" s="2244"/>
      <c r="Q17" s="2244"/>
      <c r="R17" s="2244"/>
      <c r="S17" s="2244"/>
      <c r="T17" s="2244"/>
      <c r="U17" s="2244"/>
      <c r="V17" s="2244"/>
    </row>
    <row r="18" spans="1:28" ht="24.6" thickBot="1">
      <c r="A18" s="2222" t="s">
        <v>2197</v>
      </c>
      <c r="B18" s="1027" t="s">
        <v>2198</v>
      </c>
      <c r="C18" s="2223">
        <f>'数据-汇总表'!D3</f>
        <v>0</v>
      </c>
      <c r="D18" s="1029" t="s">
        <v>2199</v>
      </c>
      <c r="E18" s="3230" t="s">
        <v>2200</v>
      </c>
      <c r="F18" s="3231"/>
      <c r="G18" s="3231"/>
      <c r="H18" s="3231"/>
      <c r="I18" s="3232"/>
      <c r="J18" s="2244"/>
      <c r="K18" s="2403"/>
      <c r="L18" s="1670"/>
      <c r="M18" s="1670"/>
      <c r="N18" s="2244"/>
      <c r="O18" s="1670"/>
      <c r="P18" s="2244"/>
      <c r="Q18" s="2244"/>
      <c r="R18" s="2244"/>
      <c r="S18" s="2244"/>
      <c r="T18" s="2244"/>
      <c r="U18" s="2244"/>
      <c r="V18" s="2244"/>
    </row>
    <row r="19" spans="1:28" ht="37.200000000000003" thickTop="1" thickBot="1">
      <c r="A19" s="319" t="s">
        <v>1053</v>
      </c>
      <c r="B19" s="299" t="s">
        <v>2201</v>
      </c>
      <c r="C19" s="1455" t="s">
        <v>3395</v>
      </c>
      <c r="D19" s="1456" t="s">
        <v>2202</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2203</v>
      </c>
      <c r="B20" s="3217" t="s">
        <v>2204</v>
      </c>
      <c r="C20" s="3218"/>
      <c r="D20" s="3219" t="s">
        <v>2205</v>
      </c>
      <c r="E20" s="3220"/>
      <c r="F20" s="2429" t="s">
        <v>1054</v>
      </c>
      <c r="G20" s="2441"/>
      <c r="H20" s="2441"/>
      <c r="I20" s="2441"/>
      <c r="J20" s="2244"/>
      <c r="K20" s="321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2207</v>
      </c>
      <c r="C21" s="2295" t="s">
        <v>1055</v>
      </c>
      <c r="D21" s="1460" t="s">
        <v>2208</v>
      </c>
      <c r="E21" s="2418" t="s">
        <v>1055</v>
      </c>
      <c r="F21" s="2430"/>
      <c r="G21" s="2441"/>
      <c r="H21" s="2441"/>
      <c r="I21" s="2441"/>
      <c r="J21" s="2244"/>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2209</v>
      </c>
      <c r="C22" s="2295" t="s">
        <v>1056</v>
      </c>
      <c r="D22" s="2441"/>
      <c r="E22" s="2441"/>
      <c r="F22" s="2441"/>
      <c r="G22" s="2441"/>
      <c r="H22" s="2441"/>
      <c r="I22" s="2441"/>
      <c r="J22" s="2244"/>
      <c r="K22" s="3216"/>
      <c r="L22" s="646" t="str">
        <f>IF(E19="否","",IF('42号结果表'!D36="同一抵押权人同一抵押物续贷","由于本次评估为同一抵押权人的续贷房地产抵押估价，故未将已抵押担保的债权数额（"&amp;C26&amp;"）作为法定优先受偿款予以扣减。",IF('42号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2210</v>
      </c>
      <c r="B23" s="2292" t="s">
        <v>2211</v>
      </c>
      <c r="C23" s="2421"/>
      <c r="D23" s="2422" t="s">
        <v>2211</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1057</v>
      </c>
      <c r="C24" s="2270"/>
      <c r="D24" s="2420" t="s">
        <v>1057</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1058</v>
      </c>
      <c r="C25" s="2270"/>
      <c r="D25" s="2420" t="s">
        <v>1058</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1059</v>
      </c>
      <c r="C26" s="2427"/>
      <c r="D26" s="2425" t="s">
        <v>1059</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4" t="s">
        <v>2212</v>
      </c>
      <c r="B27" s="312" t="s">
        <v>2213</v>
      </c>
      <c r="C27" s="2224" t="s">
        <v>3396</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4"/>
      <c r="B28" s="294" t="s">
        <v>2214</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4"/>
      <c r="B29" s="294" t="s">
        <v>2215</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5"/>
      <c r="B30" s="294" t="s">
        <v>2216</v>
      </c>
      <c r="C30" s="3236"/>
      <c r="D30" s="3237"/>
      <c r="E30" s="2441"/>
      <c r="F30" s="2441"/>
      <c r="G30" s="2441"/>
      <c r="H30" s="2441"/>
      <c r="I30" s="2441"/>
      <c r="J30" s="2244"/>
      <c r="K30" s="2401"/>
      <c r="L30" s="2398"/>
      <c r="M30" s="2398"/>
      <c r="N30" s="2244"/>
      <c r="O30" s="1670"/>
      <c r="P30" s="2244"/>
      <c r="Q30" s="2244"/>
      <c r="R30" s="2244"/>
      <c r="S30" s="2244"/>
      <c r="T30" s="2244"/>
      <c r="U30" s="2244"/>
      <c r="V30" s="2244"/>
    </row>
    <row r="31" spans="1:28">
      <c r="A31" s="3238" t="s">
        <v>2217</v>
      </c>
      <c r="B31" s="2230" t="s">
        <v>3397</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2218</v>
      </c>
      <c r="B34" s="1870"/>
      <c r="C34" s="1870"/>
      <c r="D34" s="1870"/>
      <c r="E34" s="1870"/>
      <c r="F34" s="1870"/>
      <c r="G34" s="1870"/>
      <c r="H34" s="1870"/>
      <c r="I34" s="2441"/>
      <c r="J34" s="2244"/>
      <c r="K34" s="8">
        <f>COUNTIF(B34:H34,"——")</f>
        <v>0</v>
      </c>
      <c r="L34" s="315" t="s">
        <v>2219</v>
      </c>
      <c r="M34" s="315" t="s">
        <v>2220</v>
      </c>
      <c r="N34" s="315" t="s">
        <v>2221</v>
      </c>
      <c r="O34" s="315" t="s">
        <v>2222</v>
      </c>
      <c r="P34" s="315" t="s">
        <v>2223</v>
      </c>
      <c r="Q34" s="315" t="s">
        <v>2224</v>
      </c>
      <c r="R34" s="315" t="s">
        <v>2225</v>
      </c>
      <c r="S34" s="3233" t="s">
        <v>2226</v>
      </c>
      <c r="T34" s="315" t="str">
        <f>NUMBERSTRING(7-K34,1)&amp;"通"</f>
        <v>七通</v>
      </c>
      <c r="U34" s="2244"/>
      <c r="V34" s="2244"/>
    </row>
    <row r="35" spans="1:30">
      <c r="A35" s="2235"/>
      <c r="B35" s="3233" t="s">
        <v>2227</v>
      </c>
      <c r="C35" s="3233"/>
      <c r="D35" s="3233"/>
      <c r="E35" s="323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3"/>
      <c r="T35" s="138" t="str">
        <f>IF(T34="一通",L35,IF(T34="二通",M35,IF(T34="三通",N35,IF(T34="四通",O35,IF(T34="五通",P35,IF(T34="六通",Q35,R35))))))</f>
        <v>、、、、、、</v>
      </c>
      <c r="U35" s="2244"/>
      <c r="V35" s="2244"/>
    </row>
    <row r="36" spans="1:30">
      <c r="A36" s="2183"/>
      <c r="B36" s="8" t="s">
        <v>2183</v>
      </c>
      <c r="C36" s="8" t="s">
        <v>2184</v>
      </c>
      <c r="D36" s="8" t="s">
        <v>2182</v>
      </c>
      <c r="E36" s="8" t="s">
        <v>2187</v>
      </c>
      <c r="F36" s="2799" t="s">
        <v>2579</v>
      </c>
      <c r="G36" s="2441"/>
      <c r="H36" s="2441"/>
      <c r="I36" s="2441"/>
      <c r="J36" s="2244"/>
      <c r="K36" s="2401"/>
      <c r="L36" s="2398"/>
      <c r="M36" s="2398"/>
      <c r="N36" s="2244"/>
      <c r="O36" s="1670"/>
      <c r="P36" s="2244"/>
      <c r="Q36" s="2244"/>
      <c r="R36" s="2244"/>
      <c r="S36" s="2244"/>
      <c r="T36" s="2244"/>
      <c r="U36" s="2244"/>
      <c r="V36" s="2244"/>
    </row>
    <row r="37" spans="1:30">
      <c r="A37" s="2414" t="s">
        <v>2228</v>
      </c>
      <c r="B37" s="2236" t="s">
        <v>29</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2229</v>
      </c>
      <c r="B38" s="2237" t="s">
        <v>3406</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2231</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6" sqref="C1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479.51</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1069</v>
      </c>
      <c r="B5" s="1259"/>
      <c r="C5" s="1259"/>
      <c r="D5" s="1260"/>
      <c r="E5" s="13" t="s">
        <v>0</v>
      </c>
      <c r="F5" s="13">
        <f>SUM(F13:F587)</f>
        <v>0</v>
      </c>
      <c r="G5" s="13">
        <f>SUM(G13:G587)</f>
        <v>479.51</v>
      </c>
      <c r="H5" s="13">
        <f t="shared" ref="H5:AT5" si="0">SUM(H13:H656)</f>
        <v>479.51</v>
      </c>
      <c r="I5" s="13">
        <f t="shared" si="0"/>
        <v>479.51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479.51</v>
      </c>
      <c r="BA5" s="15">
        <f t="shared" si="1"/>
        <v>479.51</v>
      </c>
      <c r="BB5" s="15">
        <f t="shared" si="1"/>
        <v>479.51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1070</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1089</v>
      </c>
      <c r="I9" s="1491" t="s">
        <v>3398</v>
      </c>
      <c r="J9" s="761"/>
      <c r="K9" s="1491"/>
      <c r="L9" s="761"/>
      <c r="M9" s="1491"/>
      <c r="N9" s="761"/>
      <c r="O9" s="1491"/>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3.2">
      <c r="A10" s="1482"/>
      <c r="B10" s="1482"/>
      <c r="C10" s="1482"/>
      <c r="D10" s="1482"/>
      <c r="E10" s="1482"/>
      <c r="F10" s="1482"/>
      <c r="G10" s="1007"/>
      <c r="H10" s="25"/>
      <c r="I10" s="1491" t="s">
        <v>672</v>
      </c>
      <c r="J10" s="761"/>
      <c r="K10" s="1497"/>
      <c r="L10" s="761"/>
      <c r="M10" s="1497"/>
      <c r="N10" s="761"/>
      <c r="O10" s="1497"/>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f>K9</f>
        <v>0</v>
      </c>
      <c r="BD10" s="26">
        <f>M9</f>
        <v>0</v>
      </c>
      <c r="BE10" s="26">
        <f>O9</f>
        <v>0</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tr">
        <f>面积信息!N3</f>
        <v>42号</v>
      </c>
      <c r="D13" s="1513" t="s">
        <v>3395</v>
      </c>
      <c r="E13" s="13">
        <f>IF($C$3="是",ROUND($A$3*G13/$B$3,2),ROUND($A$3*(G13-AT13)/$B$3,2))</f>
        <v>0</v>
      </c>
      <c r="F13" s="29"/>
      <c r="G13" s="30">
        <f>H13+AC13+AT13</f>
        <v>154.41</v>
      </c>
      <c r="H13" s="17">
        <f>SUMIF(I$12:AB$12,"总值",I13:AB13)</f>
        <v>154.41</v>
      </c>
      <c r="I13" s="1514">
        <f>面积信息!T3</f>
        <v>154.41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42号</v>
      </c>
      <c r="AY13" s="1260">
        <f>ROUND($AY$6*AZ13/$AZ$5,2)</f>
        <v>0</v>
      </c>
      <c r="AZ13" s="13">
        <f>BA13+BL13</f>
        <v>154.41</v>
      </c>
      <c r="BA13" s="13">
        <f>SUM(BB13:BK13)</f>
        <v>154.41</v>
      </c>
      <c r="BB13" s="13">
        <f>IF($D13="是",I13-J13,0)</f>
        <v>154.41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t="str">
        <f>面积信息!N4</f>
        <v>54号</v>
      </c>
      <c r="D14" s="1513" t="s">
        <v>3395</v>
      </c>
      <c r="E14" s="13">
        <f>IF($C$3="是",ROUND($A$3*G14/$B$3,2),ROUND($A$3*(G14-AT14)/$B$3,2))</f>
        <v>0</v>
      </c>
      <c r="F14" s="29"/>
      <c r="G14" s="30">
        <f>H14+AC14+AT14</f>
        <v>152.88999999999999</v>
      </c>
      <c r="H14" s="17">
        <f>SUMIF(I$12:AB$12,"总值",I14:AB14)</f>
        <v>152.88999999999999</v>
      </c>
      <c r="I14" s="1514">
        <f>面积信息!T4</f>
        <v>152.88999999999999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54号</v>
      </c>
      <c r="AY14" s="1260">
        <f>ROUND($AY$6*AZ14/$AZ$5,2)</f>
        <v>0</v>
      </c>
      <c r="AZ14" s="13">
        <f>BA14+BL14</f>
        <v>152.88999999999999</v>
      </c>
      <c r="BA14" s="13">
        <f>SUM(BB14:BK14)</f>
        <v>152.88999999999999</v>
      </c>
      <c r="BB14" s="13">
        <f>IF($D14="是",I14-J14,0)</f>
        <v>152.88999999999999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t="str">
        <f>面积信息!N5</f>
        <v>56号</v>
      </c>
      <c r="D15" s="1513" t="s">
        <v>3395</v>
      </c>
      <c r="E15" s="13">
        <f>IF($C$3="是",ROUND($A$3*G15/$B$3,2),ROUND($A$3*(G15-AT15)/$B$3,2))</f>
        <v>0</v>
      </c>
      <c r="F15" s="29"/>
      <c r="G15" s="30">
        <f>H15+AC15+AT15</f>
        <v>172.21</v>
      </c>
      <c r="H15" s="17">
        <f>SUMIF(I$12:AB$12,"总值",I15:AB15)</f>
        <v>172.21</v>
      </c>
      <c r="I15" s="1514">
        <f>面积信息!T5</f>
        <v>172.21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56号</v>
      </c>
      <c r="AY15" s="1260">
        <f>ROUND($AY$6*AZ15/$AZ$5,2)</f>
        <v>0</v>
      </c>
      <c r="AZ15" s="13">
        <f>BA15+BL15</f>
        <v>172.21</v>
      </c>
      <c r="BA15" s="13">
        <f>SUM(BB15:BK15)</f>
        <v>172.21</v>
      </c>
      <c r="BB15" s="13">
        <f>IF($D15="是",I15-J15,0)</f>
        <v>172.21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F21"/>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1128</v>
      </c>
      <c r="B1" s="1071"/>
      <c r="C1" s="1071"/>
      <c r="D1" s="1071"/>
      <c r="E1" s="1071"/>
      <c r="F1" s="1071"/>
      <c r="G1" s="1071"/>
      <c r="H1" s="1071"/>
      <c r="I1" s="1071"/>
      <c r="J1" s="1071"/>
      <c r="K1" s="1071"/>
      <c r="L1" s="1071"/>
      <c r="M1" s="1071"/>
      <c r="N1" s="1071"/>
      <c r="O1" s="1071"/>
      <c r="P1" s="1071"/>
    </row>
    <row r="2" spans="1:16" ht="14.4">
      <c r="A2" s="3249" t="s">
        <v>1129</v>
      </c>
      <c r="B2" s="3249"/>
      <c r="C2" s="3249"/>
      <c r="D2" s="748" t="s">
        <v>1105</v>
      </c>
      <c r="E2" s="1523" t="s">
        <v>1106</v>
      </c>
      <c r="F2" s="2438"/>
      <c r="G2" s="2431"/>
      <c r="H2" s="2432"/>
      <c r="I2" s="2146" t="s">
        <v>1130</v>
      </c>
      <c r="J2" s="2438"/>
      <c r="K2" s="2438"/>
      <c r="L2" s="2438"/>
      <c r="M2" s="2438"/>
      <c r="N2" s="2439"/>
      <c r="O2" s="2438"/>
      <c r="P2" s="2438"/>
    </row>
    <row r="3" spans="1:16" ht="15" thickBot="1">
      <c r="A3" s="3250" t="s">
        <v>1103</v>
      </c>
      <c r="B3" s="3250"/>
      <c r="C3" s="3250"/>
      <c r="D3" s="41">
        <f>'数据-基础表'!AY6</f>
        <v>0</v>
      </c>
      <c r="E3" s="41">
        <f>'数据-基础表'!AZ5</f>
        <v>479.51</v>
      </c>
      <c r="F3" s="2438"/>
      <c r="G3" s="42"/>
      <c r="H3" s="43" t="s">
        <v>1104</v>
      </c>
      <c r="I3" s="802" t="e">
        <f>ROUND('数据-基础表'!B3/'数据-基础表'!A3,2)</f>
        <v>#DIV/0!</v>
      </c>
      <c r="J3" s="2438"/>
      <c r="K3" s="2438"/>
      <c r="L3" s="2438"/>
      <c r="M3" s="2438"/>
      <c r="N3" s="2439"/>
      <c r="O3" s="2438"/>
      <c r="P3" s="2438"/>
    </row>
    <row r="4" spans="1:16" ht="14.4">
      <c r="A4" s="3251"/>
      <c r="B4" s="3252"/>
      <c r="C4" s="3253"/>
      <c r="D4" s="1524" t="s">
        <v>1105</v>
      </c>
      <c r="E4" s="1525" t="s">
        <v>1106</v>
      </c>
      <c r="F4" s="2438"/>
      <c r="G4" s="2433" t="s">
        <v>1131</v>
      </c>
      <c r="H4" s="43" t="s">
        <v>1111</v>
      </c>
      <c r="I4" s="802" t="e">
        <f>ROUND(SUMIF('数据-基础表'!I9:AS9,"地上",'数据-基础表'!I5:AS5)/'数据-基础表'!A3,2)</f>
        <v>#DIV/0!</v>
      </c>
      <c r="J4" s="2438"/>
      <c r="K4" s="2438"/>
      <c r="L4" s="2438"/>
      <c r="M4" s="2438"/>
      <c r="N4" s="2439"/>
      <c r="O4" s="2438"/>
      <c r="P4" s="2438"/>
    </row>
    <row r="5" spans="1:16" ht="14.4">
      <c r="A5" s="42" t="s">
        <v>1107</v>
      </c>
      <c r="B5" s="3254" t="s">
        <v>1108</v>
      </c>
      <c r="C5" s="3254"/>
      <c r="D5" s="43">
        <f>ROUND($D$3*E5/$E$3,2)</f>
        <v>0</v>
      </c>
      <c r="E5" s="44">
        <f>SUMIF('数据-基础表'!$11:$11,"住宅",'数据-基础表'!$5:$5)</f>
        <v>0</v>
      </c>
      <c r="F5" s="2438"/>
      <c r="G5" s="42"/>
      <c r="H5" s="43" t="s">
        <v>1104</v>
      </c>
      <c r="I5" s="802" t="e">
        <f>ROUND(E31/D31,2)</f>
        <v>#DIV/0!</v>
      </c>
      <c r="J5" s="2438"/>
      <c r="K5" s="2438"/>
      <c r="L5" s="2438"/>
      <c r="M5" s="2438"/>
      <c r="N5" s="2438"/>
      <c r="O5" s="2438"/>
      <c r="P5" s="2438"/>
    </row>
    <row r="6" spans="1:16" ht="15" thickBot="1">
      <c r="A6" s="1527"/>
      <c r="B6" s="3254" t="s">
        <v>1109</v>
      </c>
      <c r="C6" s="3254"/>
      <c r="D6" s="43">
        <f>ROUND($D$3*E6/$E$3,2)</f>
        <v>0</v>
      </c>
      <c r="E6" s="44">
        <f>E3-E5</f>
        <v>479.51</v>
      </c>
      <c r="F6" s="2438"/>
      <c r="G6" s="1529" t="s">
        <v>1110</v>
      </c>
      <c r="H6" s="45" t="s">
        <v>1111</v>
      </c>
      <c r="I6" s="2434" t="e">
        <f>ROUND(F31/D31,2)</f>
        <v>#DIV/0!</v>
      </c>
      <c r="J6" s="2438"/>
      <c r="K6" s="2438"/>
      <c r="L6" s="2438"/>
      <c r="M6" s="2438"/>
      <c r="N6" s="2438"/>
      <c r="O6" s="2438"/>
      <c r="P6" s="2438"/>
    </row>
    <row r="7" spans="1:16" ht="15" thickBot="1">
      <c r="A7" s="3246"/>
      <c r="B7" s="3247"/>
      <c r="C7" s="3248"/>
      <c r="D7" s="1524" t="s">
        <v>1105</v>
      </c>
      <c r="E7" s="1528" t="s">
        <v>1112</v>
      </c>
      <c r="F7" s="2438"/>
      <c r="G7" s="2435" t="s">
        <v>1113</v>
      </c>
      <c r="H7" s="95"/>
      <c r="I7" s="2436"/>
      <c r="J7" s="2438"/>
      <c r="K7" s="2438"/>
      <c r="L7" s="2438"/>
      <c r="M7" s="2438"/>
      <c r="N7" s="2438"/>
      <c r="O7" s="2438"/>
      <c r="P7" s="2438"/>
    </row>
    <row r="8" spans="1:16" ht="14.4">
      <c r="A8" s="42" t="s">
        <v>1114</v>
      </c>
      <c r="B8" s="45" t="s">
        <v>1115</v>
      </c>
      <c r="C8" s="43" t="s">
        <v>1116</v>
      </c>
      <c r="D8" s="43">
        <f t="shared" ref="D8:D15" si="0">ROUND($D$3*E8/$E$3,2)</f>
        <v>0</v>
      </c>
      <c r="E8" s="46">
        <f>SUMIF('数据-基础表'!BB10:BK10,"地上",'数据-基础表'!BB5:BK5)</f>
        <v>479.51</v>
      </c>
      <c r="F8" s="2438"/>
      <c r="G8" s="2438"/>
      <c r="H8" s="2438"/>
      <c r="I8" s="2438"/>
      <c r="J8" s="2438"/>
      <c r="K8" s="2438"/>
      <c r="L8" s="2438"/>
      <c r="M8" s="2438"/>
      <c r="N8" s="2438"/>
      <c r="O8" s="2438"/>
      <c r="P8" s="2438"/>
    </row>
    <row r="9" spans="1:16" ht="14.4">
      <c r="A9" s="1529"/>
      <c r="B9" s="1530"/>
      <c r="C9" s="43" t="s">
        <v>1117</v>
      </c>
      <c r="D9" s="43">
        <f t="shared" si="0"/>
        <v>0</v>
      </c>
      <c r="E9" s="47">
        <v>0</v>
      </c>
      <c r="F9" s="2438"/>
      <c r="G9" s="2438"/>
      <c r="H9" s="2438"/>
      <c r="I9" s="2438"/>
      <c r="J9" s="2438"/>
      <c r="K9" s="2438"/>
      <c r="L9" s="2438"/>
      <c r="M9" s="2438"/>
      <c r="N9" s="2438"/>
      <c r="O9" s="2438"/>
      <c r="P9" s="2438"/>
    </row>
    <row r="10" spans="1:16" ht="14.4">
      <c r="A10" s="1529"/>
      <c r="B10" s="1530"/>
      <c r="C10" s="43" t="s">
        <v>1126</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1118</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1119</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1120</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1132</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1127</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1121</v>
      </c>
      <c r="D16" s="45">
        <f>SUM(D8:D15)</f>
        <v>0</v>
      </c>
      <c r="E16" s="48">
        <f>SUM(E8:E15)</f>
        <v>479.51</v>
      </c>
      <c r="F16" s="2438"/>
      <c r="G16" s="2438"/>
      <c r="H16" s="1531" t="s">
        <v>1133</v>
      </c>
      <c r="I16" s="1532"/>
      <c r="J16" s="1071"/>
      <c r="K16" s="3243" t="s">
        <v>1133</v>
      </c>
      <c r="L16" s="3244"/>
      <c r="M16" s="3244"/>
      <c r="N16" s="3244"/>
      <c r="O16" s="3244"/>
      <c r="P16" s="3245"/>
    </row>
    <row r="17" spans="1:19" ht="14.4">
      <c r="A17" s="1533" t="s">
        <v>1134</v>
      </c>
      <c r="B17" s="1534" t="s">
        <v>1135</v>
      </c>
      <c r="C17" s="1535" t="s">
        <v>1136</v>
      </c>
      <c r="D17" s="1536" t="s">
        <v>1124</v>
      </c>
      <c r="E17" s="1537" t="s">
        <v>1125</v>
      </c>
      <c r="F17" s="1538"/>
      <c r="G17" s="1539"/>
      <c r="H17" s="1540" t="s">
        <v>1137</v>
      </c>
      <c r="I17" s="1541" t="s">
        <v>1122</v>
      </c>
      <c r="J17" s="1071"/>
      <c r="K17" s="3240" t="s">
        <v>1138</v>
      </c>
      <c r="L17" s="3241"/>
      <c r="M17" s="3242"/>
      <c r="N17" s="3240" t="s">
        <v>1139</v>
      </c>
      <c r="O17" s="3241"/>
      <c r="P17" s="3242"/>
      <c r="R17" s="769" t="s">
        <v>1140</v>
      </c>
      <c r="S17" s="54"/>
    </row>
    <row r="18" spans="1:19" ht="14.4">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ht="14.4">
      <c r="A19" s="1549"/>
      <c r="B19" s="45" t="s">
        <v>1123</v>
      </c>
      <c r="C19" s="3114" t="s">
        <v>3515</v>
      </c>
      <c r="D19" s="43">
        <f>ROUND($D$3*E19/$E$3,2)</f>
        <v>0</v>
      </c>
      <c r="E19" s="51">
        <f t="shared" ref="E19:E26" si="1">SUM(F19:G19)</f>
        <v>154.41</v>
      </c>
      <c r="F19" s="2556">
        <f>'数据-基础表'!G13</f>
        <v>154.41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154.41</v>
      </c>
    </row>
    <row r="20" spans="1:19" ht="14.4">
      <c r="A20" s="1549"/>
      <c r="B20" s="45" t="s">
        <v>1151</v>
      </c>
      <c r="C20" s="3114" t="s">
        <v>3516</v>
      </c>
      <c r="D20" s="43">
        <f t="shared" ref="D20:D26" si="6">ROUND($D$3*E20/$E$3,2)</f>
        <v>0</v>
      </c>
      <c r="E20" s="51">
        <f t="shared" si="1"/>
        <v>152.88999999999999</v>
      </c>
      <c r="F20" s="2556">
        <f>'数据-基础表'!G14</f>
        <v>152.88999999999999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152.88999999999999</v>
      </c>
    </row>
    <row r="21" spans="1:19" ht="14.4">
      <c r="A21" s="1549"/>
      <c r="B21" s="45" t="s">
        <v>1151</v>
      </c>
      <c r="C21" s="3114" t="s">
        <v>3517</v>
      </c>
      <c r="D21" s="43">
        <f t="shared" si="6"/>
        <v>0</v>
      </c>
      <c r="E21" s="51">
        <f t="shared" si="1"/>
        <v>172.21</v>
      </c>
      <c r="F21" s="2556">
        <f>'数据-基础表'!G15</f>
        <v>172.21</v>
      </c>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172.21</v>
      </c>
    </row>
    <row r="22" spans="1:19" ht="14.4">
      <c r="A22" s="1549"/>
      <c r="B22" s="45" t="s">
        <v>1151</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1151</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1151</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1151</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1151</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1152</v>
      </c>
      <c r="D27" s="1072">
        <f>SUM(D19:D26)</f>
        <v>0</v>
      </c>
      <c r="E27" s="1073">
        <f>IF(SUM(E19:E26)='数据-基础表'!BA5,SUM(E19:E26),IF(F27="地上面积有误","面积有误","地下面积有误"))</f>
        <v>479.51</v>
      </c>
      <c r="F27" s="1072">
        <f>IF(SUM(F19:F26)=E8,SUM(F19:F26),"地上面积有误")</f>
        <v>479.51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479.51</v>
      </c>
    </row>
    <row r="28" spans="1:19" ht="14.4">
      <c r="A28" s="1549"/>
      <c r="B28" s="45" t="s">
        <v>1153</v>
      </c>
      <c r="C28" s="54" t="s">
        <v>1154</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1153</v>
      </c>
      <c r="C29" s="1555" t="s">
        <v>1155</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1152</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1156</v>
      </c>
      <c r="D31" s="643">
        <f>D27+D30</f>
        <v>0</v>
      </c>
      <c r="E31" s="643">
        <f>E27+E30</f>
        <v>479.51</v>
      </c>
      <c r="F31" s="644">
        <f>F27+F30</f>
        <v>479.51</v>
      </c>
      <c r="G31" s="645">
        <f>G27+G30</f>
        <v>0</v>
      </c>
      <c r="H31" s="2438"/>
      <c r="I31" s="2438"/>
      <c r="J31" s="2438"/>
      <c r="K31" s="2438"/>
      <c r="L31" s="2438"/>
      <c r="M31" s="2438"/>
      <c r="N31" s="2438"/>
      <c r="O31" s="2438"/>
      <c r="P31" s="2438"/>
    </row>
    <row r="32" spans="1:19" ht="14.4">
      <c r="A32" s="1526"/>
      <c r="B32" s="1526" t="s">
        <v>1157</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AN7" sqref="AN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1159</v>
      </c>
      <c r="B2" s="984">
        <f>项目基本情况!D3</f>
        <v>45635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7"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3399</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42号</v>
      </c>
      <c r="B6" s="1587" t="str">
        <f>IF(A6=0,"","经营性")</f>
        <v>经营性</v>
      </c>
      <c r="C6" s="1588" t="s">
        <v>672</v>
      </c>
      <c r="D6" s="805">
        <f>SUMIF(项目基本情况!C$12:I$12,C6,项目基本情况!C$14:I$14)</f>
        <v>40</v>
      </c>
      <c r="E6" s="804">
        <f>IF(B6="","",SUMIF(项目基本情况!C$12:I$12,C6,项目基本情况!C$13:I$13))</f>
        <v>52365</v>
      </c>
      <c r="F6" s="61">
        <f>SUMIF(项目基本情况!C$12:I$12,C6,项目基本情况!C$15:I$15)</f>
        <v>18.43</v>
      </c>
      <c r="G6" s="62">
        <f>IF(ISERROR(ROUND(POWER(1+H6,D6-F6)*(POWER(1+H6,F6)-1)/(POWER(1+H6,D6)-1),3)),0,ROUND(POWER(1+H6,D6-F6)*(POWER(1+H6,F6)-1)/(POWER(1+H6,D6)-1),3))</f>
        <v>0.69099999999999995</v>
      </c>
      <c r="H6" s="691">
        <v>0.05</v>
      </c>
      <c r="I6" s="691">
        <v>5.5E-2</v>
      </c>
      <c r="J6" s="63">
        <v>7.0000000000000007E-2</v>
      </c>
      <c r="K6" s="970">
        <f>SUMIF('数据-汇总表'!C$19:C$33,A6,'数据-汇总表'!E$19:E$33)</f>
        <v>154.41</v>
      </c>
      <c r="L6" s="692">
        <v>3000</v>
      </c>
      <c r="M6" s="64">
        <f t="shared" ref="M6:M14" si="0">ROUND(K6*L6/10000,0)</f>
        <v>46</v>
      </c>
      <c r="N6" s="690">
        <f>N21</f>
        <v>0.74</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66">
        <f>U21</f>
        <v>5.6</v>
      </c>
      <c r="V6" s="67">
        <v>0.02</v>
      </c>
      <c r="W6" s="67">
        <v>0.1</v>
      </c>
      <c r="X6" s="979"/>
      <c r="Y6" s="68">
        <f>N6</f>
        <v>0.74</v>
      </c>
      <c r="Z6" s="69"/>
      <c r="AA6" s="63"/>
      <c r="AB6" s="63"/>
      <c r="AC6" s="979"/>
      <c r="AD6" s="70"/>
      <c r="AE6" s="980">
        <f ca="1">IF(AN6="",0,SUMIF(INDIRECT("'"&amp;AN6&amp;"'"&amp;"!E:E"),$AE$5,INDIRECT("'"&amp;AN6&amp;"'"&amp;"!F:F")))</f>
        <v>18.43</v>
      </c>
      <c r="AF6" s="74"/>
      <c r="AG6" s="130">
        <f>IF(AF6="",0,AE6-AF6)</f>
        <v>0</v>
      </c>
      <c r="AH6" s="71"/>
      <c r="AI6" s="73">
        <v>365</v>
      </c>
      <c r="AJ6" s="74"/>
      <c r="AK6" s="75">
        <v>0.01</v>
      </c>
      <c r="AL6" s="76">
        <v>1E-3</v>
      </c>
      <c r="AM6" s="77">
        <v>0.01</v>
      </c>
      <c r="AN6" s="1589" t="s">
        <v>3563</v>
      </c>
      <c r="AO6" s="50">
        <f ca="1">SUMIF(INDIRECT("'"&amp;AN6&amp;"'"&amp;"!A:A"),"总价",INDIRECT("'"&amp;AN6&amp;"'"&amp;"!B:B"))</f>
        <v>344.85719999999998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t="str">
        <f>'数据-汇总表'!C20</f>
        <v>54号</v>
      </c>
      <c r="B7" s="1587" t="str">
        <f t="shared" ref="B7:B13" si="1">IF(A7=0,"","经营性")</f>
        <v>经营性</v>
      </c>
      <c r="C7" s="1588" t="s">
        <v>672</v>
      </c>
      <c r="D7" s="805">
        <f>SUMIF(项目基本情况!C$12:I$12,C7,项目基本情况!C$14:I$14)</f>
        <v>40</v>
      </c>
      <c r="E7" s="804">
        <f>IF(B7="","",SUMIF(项目基本情况!C$12:I$12,C7,项目基本情况!C$13:I$13))</f>
        <v>52365</v>
      </c>
      <c r="F7" s="61">
        <f>SUMIF(项目基本情况!C$12:I$12,C7,项目基本情况!C$15:I$15)</f>
        <v>18.43</v>
      </c>
      <c r="G7" s="62">
        <f t="shared" ref="G7:G11" si="2">IF(ISERROR(ROUND(POWER(1+H7,D7-F7)*(POWER(1+H7,F7)-1)/(POWER(1+H7,D7)-1),3)),0,ROUND(POWER(1+H7,D7-F7)*(POWER(1+H7,F7)-1)/(POWER(1+H7,D7)-1),3))</f>
        <v>0.69099999999999995</v>
      </c>
      <c r="H7" s="691">
        <f>H6</f>
        <v>0.05</v>
      </c>
      <c r="I7" s="691">
        <f>I6</f>
        <v>5.5E-2</v>
      </c>
      <c r="J7" s="63">
        <f>J6</f>
        <v>7.0000000000000007E-2</v>
      </c>
      <c r="K7" s="970">
        <f>SUMIF('数据-汇总表'!C$19:C$33,A7,'数据-汇总表'!E$19:E$33)</f>
        <v>152.88999999999999</v>
      </c>
      <c r="L7" s="692">
        <f>L6</f>
        <v>3000</v>
      </c>
      <c r="M7" s="64">
        <f t="shared" si="0"/>
        <v>46</v>
      </c>
      <c r="N7" s="690">
        <f>N6</f>
        <v>0.74</v>
      </c>
      <c r="O7" s="64" t="str">
        <f t="shared" ref="O7:O14" si="3">IF($N$5="成新度","——",ROUND(M7*N7,0))</f>
        <v>——</v>
      </c>
      <c r="P7" s="65" t="str">
        <f t="shared" ref="P7:P14" si="4">IF($N$5="成新度","——",M7-O7)</f>
        <v>——</v>
      </c>
      <c r="Q7" s="693">
        <f>Q6</f>
        <v>0.2</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f>U6</f>
        <v>5.6</v>
      </c>
      <c r="V7" s="67">
        <f>V6</f>
        <v>0.02</v>
      </c>
      <c r="W7" s="67">
        <f>W6</f>
        <v>0.1</v>
      </c>
      <c r="X7" s="979"/>
      <c r="Y7" s="68">
        <f>Y6</f>
        <v>0.74</v>
      </c>
      <c r="Z7" s="69"/>
      <c r="AA7" s="63"/>
      <c r="AB7" s="63"/>
      <c r="AC7" s="979"/>
      <c r="AD7" s="70"/>
      <c r="AE7" s="980">
        <f t="shared" ref="AE7:AE13" ca="1" si="6">IF(AN7="",0,SUMIF(INDIRECT("'"&amp;AN7&amp;"'"&amp;"!E:E"),$AE$5,INDIRECT("'"&amp;AN7&amp;"'"&amp;"!F:F")))</f>
        <v>18.43</v>
      </c>
      <c r="AF7" s="74"/>
      <c r="AG7" s="130">
        <f t="shared" ref="AG7:AG13" si="7">IF(AF7="",0,AE7-AF7)</f>
        <v>0</v>
      </c>
      <c r="AH7" s="71"/>
      <c r="AI7" s="73">
        <v>365</v>
      </c>
      <c r="AJ7" s="74"/>
      <c r="AK7" s="75">
        <f>AK6</f>
        <v>0.01</v>
      </c>
      <c r="AL7" s="76">
        <f>AL6</f>
        <v>1E-3</v>
      </c>
      <c r="AM7" s="77">
        <f>AM6</f>
        <v>0.01</v>
      </c>
      <c r="AN7" s="1589" t="s">
        <v>3604</v>
      </c>
      <c r="AO7" s="50">
        <f t="shared" ref="AO7:AO13" ca="1" si="8">SUMIF(INDIRECT("'"&amp;AN7&amp;"'"&amp;"!A:A"),"总价",INDIRECT("'"&amp;AN7&amp;"'"&amp;"!B:B"))</f>
        <v>341.46230000000003</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t="str">
        <f>'数据-汇总表'!C21</f>
        <v>56号</v>
      </c>
      <c r="B8" s="1587" t="str">
        <f t="shared" si="1"/>
        <v>经营性</v>
      </c>
      <c r="C8" s="1588" t="s">
        <v>672</v>
      </c>
      <c r="D8" s="805">
        <f>SUMIF(项目基本情况!C$12:I$12,C8,项目基本情况!C$14:I$14)</f>
        <v>40</v>
      </c>
      <c r="E8" s="804">
        <f>IF(B8="","",SUMIF(项目基本情况!C$12:I$12,C8,项目基本情况!C$13:I$13))</f>
        <v>52365</v>
      </c>
      <c r="F8" s="61">
        <f>SUMIF(项目基本情况!C$12:I$12,C8,项目基本情况!C$15:I$15)</f>
        <v>18.43</v>
      </c>
      <c r="G8" s="62">
        <f t="shared" si="2"/>
        <v>0.69099999999999995</v>
      </c>
      <c r="H8" s="691">
        <f>H6</f>
        <v>0.05</v>
      </c>
      <c r="I8" s="691">
        <f>I6</f>
        <v>5.5E-2</v>
      </c>
      <c r="J8" s="63">
        <f>J6</f>
        <v>7.0000000000000007E-2</v>
      </c>
      <c r="K8" s="970">
        <f>SUMIF('数据-汇总表'!C$19:C$33,A8,'数据-汇总表'!E$19:E$33)</f>
        <v>172.21</v>
      </c>
      <c r="L8" s="692">
        <f>L6</f>
        <v>3000</v>
      </c>
      <c r="M8" s="64">
        <f>ROUND(K8*L8/10000,0)</f>
        <v>52</v>
      </c>
      <c r="N8" s="690">
        <f>N6</f>
        <v>0.74</v>
      </c>
      <c r="O8" s="64" t="str">
        <f t="shared" si="3"/>
        <v>——</v>
      </c>
      <c r="P8" s="65" t="str">
        <f t="shared" si="4"/>
        <v>——</v>
      </c>
      <c r="Q8" s="693">
        <f>Q6</f>
        <v>0.2</v>
      </c>
      <c r="R8" s="66">
        <f ca="1">SUMIF('数据-汇总表'!C$19:C$33,A8,'数据-汇总表'!R$19:R$27)</f>
        <v>0</v>
      </c>
      <c r="S8" s="49">
        <f>IF('数据-汇总表'!$I$17="按面积比例",SUMIF('数据-汇总表'!C$19:C$33,A8,'数据-汇总表'!K$19:K$33),SUMIF('数据-汇总表'!C$19:C$33,A8,'数据-汇总表'!N$19:N$33))</f>
        <v>0</v>
      </c>
      <c r="T8" s="1092">
        <f t="shared" si="5"/>
        <v>0</v>
      </c>
      <c r="U8" s="3126">
        <f>U7</f>
        <v>5.6</v>
      </c>
      <c r="V8" s="694">
        <f>V6</f>
        <v>0.02</v>
      </c>
      <c r="W8" s="694">
        <f>W6</f>
        <v>0.1</v>
      </c>
      <c r="X8" s="979"/>
      <c r="Y8" s="68">
        <f>Y6</f>
        <v>0.74</v>
      </c>
      <c r="Z8" s="69"/>
      <c r="AA8" s="63"/>
      <c r="AB8" s="63"/>
      <c r="AC8" s="979"/>
      <c r="AD8" s="70"/>
      <c r="AE8" s="980">
        <f t="shared" ca="1" si="6"/>
        <v>18.43</v>
      </c>
      <c r="AF8" s="74"/>
      <c r="AG8" s="130">
        <f t="shared" si="7"/>
        <v>0</v>
      </c>
      <c r="AH8" s="695"/>
      <c r="AI8" s="73">
        <v>365</v>
      </c>
      <c r="AJ8" s="74"/>
      <c r="AK8" s="696">
        <f>AK6</f>
        <v>0.01</v>
      </c>
      <c r="AL8" s="697">
        <f>AL6</f>
        <v>1E-3</v>
      </c>
      <c r="AM8" s="106">
        <f>AM6</f>
        <v>0.01</v>
      </c>
      <c r="AN8" s="1589" t="s">
        <v>3569</v>
      </c>
      <c r="AO8" s="50">
        <f t="shared" ca="1" si="8"/>
        <v>384.61189999999999</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1203</v>
      </c>
      <c r="B14" s="1587" t="s">
        <v>1204</v>
      </c>
      <c r="C14" s="1592" t="s">
        <v>1203</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1207</v>
      </c>
      <c r="B16" s="82"/>
      <c r="C16" s="783"/>
      <c r="D16" s="1594"/>
      <c r="E16" s="82"/>
      <c r="F16" s="82"/>
      <c r="G16" s="83">
        <f>ROUND(SUMPRODUCT(G6:G13,K6:K13)/SUMPRODUCT((G6:G13&gt;0)*(K6:K13)),3)</f>
        <v>0.69099999999999995</v>
      </c>
      <c r="H16" s="84">
        <f>ROUND(SUMPRODUCT(H6:H13,K6:K13)/SUMPRODUCT((H6:H13&gt;0)*(K6:K13)),3)</f>
        <v>0.05</v>
      </c>
      <c r="I16" s="85"/>
      <c r="J16" s="85"/>
      <c r="K16" s="86">
        <f>SUM(K6:K15)</f>
        <v>479.51</v>
      </c>
      <c r="L16" s="87">
        <f>ROUND(M16*10000/SUM(K6:K14),0)</f>
        <v>3003</v>
      </c>
      <c r="M16" s="87">
        <f>SUM(M6:M14)</f>
        <v>144</v>
      </c>
      <c r="N16" s="88">
        <f>ROUND(SUMPRODUCT(M6:M14,N6:N14)/M16,3)</f>
        <v>0.74</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1208</v>
      </c>
      <c r="B18" s="2459"/>
      <c r="C18" s="2438"/>
      <c r="D18" s="2450"/>
      <c r="E18" s="2438"/>
      <c r="F18" s="2438"/>
      <c r="G18" s="2438"/>
      <c r="H18" s="2438"/>
      <c r="I18" s="2438"/>
      <c r="J18" s="2438"/>
      <c r="K18" s="2448"/>
      <c r="L18" s="2448"/>
      <c r="M18" s="3145" t="s">
        <v>3400</v>
      </c>
      <c r="N18" s="2447">
        <v>2004</v>
      </c>
      <c r="O18" s="3145" t="s">
        <v>3403</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1209</v>
      </c>
      <c r="B19" s="97">
        <v>0</v>
      </c>
      <c r="C19" s="2559" t="s">
        <v>2301</v>
      </c>
      <c r="D19" s="2450"/>
      <c r="E19" s="2438"/>
      <c r="F19" s="2438"/>
      <c r="G19" s="2438"/>
      <c r="H19" s="2438"/>
      <c r="I19" s="2438"/>
      <c r="J19" s="2438"/>
      <c r="K19" s="2448"/>
      <c r="L19" s="2448"/>
      <c r="M19" s="3145" t="s">
        <v>3401</v>
      </c>
      <c r="N19" s="2447">
        <f>ROUND(1-(1-0)*(2024-N18)/60,2)</f>
        <v>0.67</v>
      </c>
      <c r="O19" s="2447"/>
      <c r="P19" s="2447"/>
      <c r="Q19" s="2447"/>
      <c r="R19" s="2447"/>
      <c r="S19" s="2447"/>
      <c r="T19" s="2447" t="s">
        <v>3575</v>
      </c>
      <c r="U19" s="2447">
        <v>7</v>
      </c>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1210</v>
      </c>
      <c r="B20" s="98">
        <v>2</v>
      </c>
      <c r="C20" s="2560" t="s">
        <v>2299</v>
      </c>
      <c r="D20" s="2450"/>
      <c r="E20" s="2438"/>
      <c r="F20" s="2438"/>
      <c r="G20" s="2438"/>
      <c r="H20" s="2438"/>
      <c r="I20" s="2438"/>
      <c r="J20" s="2438"/>
      <c r="K20" s="2448"/>
      <c r="L20" s="2448"/>
      <c r="M20" s="3145" t="s">
        <v>3405</v>
      </c>
      <c r="N20" s="2447">
        <v>0.8</v>
      </c>
      <c r="O20" s="2447"/>
      <c r="P20" s="2447"/>
      <c r="Q20" s="2447"/>
      <c r="R20" s="2447"/>
      <c r="S20" s="2447"/>
      <c r="T20" s="2447" t="s">
        <v>3576</v>
      </c>
      <c r="U20" s="2447">
        <f>U19*0.6</f>
        <v>4.2</v>
      </c>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1211</v>
      </c>
      <c r="B21" s="98">
        <f>B20</f>
        <v>2</v>
      </c>
      <c r="C21" s="2438"/>
      <c r="D21" s="2450"/>
      <c r="E21" s="2438"/>
      <c r="F21" s="2438"/>
      <c r="G21" s="2438"/>
      <c r="H21" s="2438"/>
      <c r="I21" s="2438"/>
      <c r="J21" s="2438"/>
      <c r="K21" s="2448"/>
      <c r="L21" s="2448"/>
      <c r="M21" s="3145" t="s">
        <v>3404</v>
      </c>
      <c r="N21" s="2447">
        <f>ROUND((N19+N20)/2,2)</f>
        <v>0.74</v>
      </c>
      <c r="O21" s="2447"/>
      <c r="P21" s="2447"/>
      <c r="Q21" s="2447"/>
      <c r="R21" s="2447"/>
      <c r="S21" s="2447"/>
      <c r="T21" s="2447"/>
      <c r="U21" s="2447">
        <f>(U19+U20)/2</f>
        <v>5.6</v>
      </c>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1212</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1213</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1214</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1215</v>
      </c>
      <c r="B26" s="1600" t="s">
        <v>1216</v>
      </c>
      <c r="C26" s="2451" t="s">
        <v>1217</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1218</v>
      </c>
      <c r="B27" s="101">
        <v>160</v>
      </c>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1219</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1220</v>
      </c>
      <c r="B29" s="105"/>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1221</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1222</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1223</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1224</v>
      </c>
      <c r="B33" s="640">
        <v>0.03</v>
      </c>
      <c r="C33" s="2563" t="s">
        <v>3374</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1225</v>
      </c>
      <c r="B34" s="106">
        <v>0</v>
      </c>
      <c r="C34" s="2563" t="s">
        <v>2293</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1226</v>
      </c>
      <c r="B35" s="103">
        <v>200</v>
      </c>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1227</v>
      </c>
      <c r="B36" s="107">
        <v>0.02</v>
      </c>
      <c r="C36" s="2563" t="s">
        <v>3375</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1228</v>
      </c>
      <c r="B37" s="108">
        <v>0.02</v>
      </c>
      <c r="C37" s="2563" t="s">
        <v>2295</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1229</v>
      </c>
      <c r="B38" s="106">
        <v>0.02</v>
      </c>
      <c r="C38" s="2563" t="s">
        <v>2295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1230</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1231</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1232</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1233</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1234</v>
      </c>
      <c r="B44" s="112">
        <v>0.05</v>
      </c>
      <c r="C44" s="2563" t="s">
        <v>2304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1235</v>
      </c>
      <c r="B45" s="110">
        <v>0.03</v>
      </c>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1236</v>
      </c>
      <c r="B46" s="110">
        <v>0.02</v>
      </c>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1237</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1238</v>
      </c>
      <c r="B48" s="114">
        <v>0.03</v>
      </c>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1239</v>
      </c>
      <c r="B49" s="110">
        <v>5.0000000000000001E-4</v>
      </c>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1240</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1241</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1242</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1243</v>
      </c>
      <c r="B53" s="1611" t="s">
        <v>29</v>
      </c>
      <c r="C53" s="2439" t="s">
        <v>1244</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1245</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1246</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1247</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1248</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1249</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1250</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1251</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1252</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1253</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1254</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5" t="s">
        <v>2284</v>
      </c>
      <c r="B1" s="3256"/>
      <c r="C1" s="3256"/>
      <c r="D1" s="3256"/>
      <c r="E1" s="3256"/>
      <c r="F1" s="3256"/>
      <c r="G1" s="325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2279</v>
      </c>
      <c r="D2" s="1595"/>
      <c r="E2" s="2259"/>
      <c r="F2" s="2262"/>
      <c r="G2" s="2261" t="s">
        <v>2280</v>
      </c>
      <c r="H2" s="751"/>
      <c r="I2" s="751"/>
      <c r="J2" s="751"/>
      <c r="K2" s="751"/>
      <c r="L2" s="751"/>
      <c r="M2" s="751"/>
      <c r="N2" s="751"/>
      <c r="O2" s="751"/>
      <c r="P2" s="751"/>
      <c r="Q2" s="751"/>
    </row>
    <row r="3" spans="1:29" ht="48">
      <c r="A3" s="2246" t="s">
        <v>2281</v>
      </c>
      <c r="B3" s="2263" t="s">
        <v>2250</v>
      </c>
      <c r="C3" s="2264" t="s">
        <v>2282</v>
      </c>
      <c r="D3" s="2265"/>
      <c r="E3" s="2247" t="s">
        <v>2281</v>
      </c>
      <c r="F3" s="2266" t="s">
        <v>2251</v>
      </c>
      <c r="G3" s="2267" t="s">
        <v>2283</v>
      </c>
      <c r="H3" s="751"/>
      <c r="I3" s="751"/>
      <c r="J3" s="751"/>
      <c r="K3" s="751"/>
      <c r="L3" s="751"/>
      <c r="M3" s="751"/>
      <c r="N3" s="751"/>
      <c r="O3" s="751"/>
      <c r="P3" s="751"/>
      <c r="Q3" s="751"/>
    </row>
    <row r="4" spans="1:29" ht="37.200000000000003">
      <c r="A4" s="2247"/>
      <c r="B4" s="315" t="s">
        <v>2252</v>
      </c>
      <c r="C4" s="2268" t="s">
        <v>2253</v>
      </c>
      <c r="D4" s="2265"/>
      <c r="E4" s="2269"/>
      <c r="F4" s="1281" t="s">
        <v>2254</v>
      </c>
      <c r="G4" s="2270" t="s">
        <v>2255</v>
      </c>
      <c r="H4" s="751"/>
      <c r="I4" s="751"/>
      <c r="J4" s="751"/>
      <c r="K4" s="751"/>
      <c r="L4" s="751"/>
      <c r="M4" s="751"/>
      <c r="N4" s="751"/>
      <c r="O4" s="751"/>
      <c r="P4" s="751"/>
      <c r="Q4" s="751"/>
    </row>
    <row r="5" spans="1:29" ht="37.200000000000003">
      <c r="A5" s="2247"/>
      <c r="B5" s="315" t="s">
        <v>2256</v>
      </c>
      <c r="C5" s="2268" t="s">
        <v>2257</v>
      </c>
      <c r="D5" s="2265"/>
      <c r="E5" s="2269"/>
      <c r="F5" s="315" t="s">
        <v>2258</v>
      </c>
      <c r="G5" s="2270" t="s">
        <v>2259</v>
      </c>
      <c r="H5" s="751"/>
      <c r="I5" s="751"/>
      <c r="J5" s="751"/>
      <c r="K5" s="751"/>
      <c r="L5" s="751"/>
      <c r="M5" s="751"/>
      <c r="N5" s="751"/>
      <c r="O5" s="751"/>
      <c r="P5" s="751"/>
      <c r="Q5" s="751"/>
    </row>
    <row r="6" spans="1:29" ht="48">
      <c r="A6" s="2247"/>
      <c r="B6" s="315" t="s">
        <v>2260</v>
      </c>
      <c r="C6" s="2270" t="s">
        <v>2255</v>
      </c>
      <c r="D6" s="2265"/>
      <c r="E6" s="2269"/>
      <c r="F6" s="315" t="s">
        <v>2261</v>
      </c>
      <c r="G6" s="2270" t="s">
        <v>2262</v>
      </c>
      <c r="H6" s="751"/>
      <c r="I6" s="751"/>
      <c r="J6" s="751"/>
      <c r="K6" s="751"/>
      <c r="L6" s="751"/>
      <c r="M6" s="751"/>
      <c r="N6" s="751"/>
      <c r="O6" s="751"/>
      <c r="P6" s="751"/>
      <c r="Q6" s="751"/>
    </row>
    <row r="7" spans="1:29" ht="36.6" thickBot="1">
      <c r="A7" s="2247"/>
      <c r="B7" s="315" t="s">
        <v>2258</v>
      </c>
      <c r="C7" s="2270" t="s">
        <v>2259</v>
      </c>
      <c r="D7" s="2244"/>
      <c r="E7" s="2271"/>
      <c r="F7" s="2272" t="s">
        <v>2263</v>
      </c>
      <c r="G7" s="2273" t="s">
        <v>2264</v>
      </c>
      <c r="H7" s="751"/>
      <c r="I7" s="751"/>
      <c r="J7" s="751"/>
      <c r="K7" s="751"/>
      <c r="L7" s="751"/>
      <c r="M7" s="751"/>
      <c r="N7" s="751"/>
      <c r="O7" s="751"/>
      <c r="P7" s="751"/>
      <c r="Q7" s="751"/>
    </row>
    <row r="8" spans="1:29" ht="24">
      <c r="A8" s="2247"/>
      <c r="B8" s="315" t="s">
        <v>2261</v>
      </c>
      <c r="C8" s="2270" t="s">
        <v>2262</v>
      </c>
      <c r="D8" s="2244"/>
      <c r="E8" s="2244"/>
      <c r="F8" s="121"/>
      <c r="G8" s="121"/>
      <c r="H8" s="751"/>
      <c r="I8" s="751"/>
      <c r="J8" s="751"/>
      <c r="K8" s="751"/>
      <c r="L8" s="751"/>
      <c r="M8" s="751"/>
      <c r="N8" s="751"/>
      <c r="O8" s="751"/>
      <c r="P8" s="751"/>
      <c r="Q8" s="751"/>
    </row>
    <row r="9" spans="1:29" ht="24">
      <c r="A9" s="2247"/>
      <c r="B9" s="315" t="s">
        <v>2265</v>
      </c>
      <c r="C9" s="2268" t="s">
        <v>2266</v>
      </c>
      <c r="D9" s="2265"/>
      <c r="E9" s="2244"/>
      <c r="F9" s="121"/>
      <c r="G9" s="121"/>
      <c r="H9" s="751"/>
      <c r="I9" s="751"/>
      <c r="J9" s="751"/>
      <c r="K9" s="751"/>
      <c r="L9" s="751"/>
      <c r="M9" s="751"/>
      <c r="N9" s="751"/>
      <c r="O9" s="751"/>
      <c r="P9" s="751"/>
      <c r="Q9" s="751"/>
    </row>
    <row r="10" spans="1:29" ht="14.4" thickBot="1">
      <c r="A10" s="2248"/>
      <c r="B10" s="2274" t="s">
        <v>2267</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2285</v>
      </c>
      <c r="B13" s="2279"/>
      <c r="C13" s="2279"/>
      <c r="D13" s="2278"/>
      <c r="E13" s="2279"/>
      <c r="F13" s="2279"/>
      <c r="G13" s="2279"/>
    </row>
    <row r="14" spans="1:29" ht="14.4" thickBot="1">
      <c r="A14" s="2284"/>
      <c r="B14" s="2284"/>
      <c r="C14" s="2285" t="s">
        <v>2268</v>
      </c>
      <c r="D14" s="2265"/>
      <c r="E14" s="2286"/>
      <c r="F14" s="2286"/>
      <c r="G14" s="2261" t="s">
        <v>2269</v>
      </c>
    </row>
    <row r="15" spans="1:29" ht="52.8">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9.6">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9.6">
      <c r="A17" s="2251"/>
      <c r="B17" s="2290" t="s">
        <v>2256</v>
      </c>
      <c r="C17" s="2291" t="str">
        <f>C5</f>
        <v>估价对象位于XX商圈，周边办公楼项目较多，入驻率高，办公集聚程度较好</v>
      </c>
      <c r="D17" s="2244"/>
      <c r="E17" s="2252"/>
      <c r="F17" s="2292" t="s">
        <v>2273</v>
      </c>
      <c r="G17" s="2294"/>
    </row>
    <row r="18" spans="1:17" ht="52.8">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6.4">
      <c r="A19" s="2251"/>
      <c r="B19" s="2292" t="s">
        <v>2274</v>
      </c>
      <c r="C19" s="2294"/>
      <c r="D19" s="2265"/>
      <c r="E19" s="2252"/>
      <c r="F19" s="315" t="s">
        <v>2258</v>
      </c>
      <c r="G19" s="2293" t="str">
        <f>G5</f>
        <v>估价对象所在区域公共配套设施齐备情况</v>
      </c>
    </row>
    <row r="20" spans="1:17" ht="26.4">
      <c r="A20" s="2251"/>
      <c r="B20" s="2292" t="s">
        <v>2275</v>
      </c>
      <c r="C20" s="2291" t="str">
        <f>C9</f>
        <v>区域自然环境：；人文环境；综合评价环境状况一般</v>
      </c>
      <c r="D20" s="2244"/>
      <c r="E20" s="2252"/>
      <c r="F20" s="315" t="s">
        <v>2261</v>
      </c>
      <c r="G20" s="2293" t="str">
        <f>G6</f>
        <v>估价对象所在区域基础设施水平</v>
      </c>
    </row>
    <row r="21" spans="1:17" ht="26.4">
      <c r="A21" s="2251"/>
      <c r="B21" s="315" t="s">
        <v>2258</v>
      </c>
      <c r="C21" s="2293" t="str">
        <f>C7</f>
        <v>估价对象所在区域公共配套设施齐备情况</v>
      </c>
      <c r="D21" s="2265"/>
      <c r="E21" s="2252"/>
      <c r="F21" s="2292" t="s">
        <v>2276</v>
      </c>
      <c r="G21" s="2295"/>
    </row>
    <row r="22" spans="1:17" ht="13.5" customHeight="1">
      <c r="A22" s="2251"/>
      <c r="B22" s="315" t="s">
        <v>2261</v>
      </c>
      <c r="C22" s="2293" t="str">
        <f>C8</f>
        <v>估价对象所在区域基础设施水平</v>
      </c>
      <c r="D22" s="2265"/>
      <c r="E22" s="2252"/>
      <c r="F22" s="2292" t="s">
        <v>2267</v>
      </c>
      <c r="G22" s="2294"/>
    </row>
    <row r="23" spans="1:17" s="751" customFormat="1" ht="14.4" thickBot="1">
      <c r="A23" s="2251"/>
      <c r="B23" s="2292" t="s">
        <v>2276</v>
      </c>
      <c r="C23" s="2295"/>
      <c r="D23" s="1614"/>
      <c r="E23" s="2253"/>
      <c r="F23" s="2296" t="s">
        <v>2277</v>
      </c>
      <c r="G23" s="2297"/>
      <c r="H23" s="2276"/>
      <c r="I23" s="2276"/>
      <c r="J23" s="2276"/>
      <c r="K23" s="2276"/>
      <c r="L23" s="2276"/>
      <c r="M23" s="2276"/>
      <c r="N23" s="2276"/>
      <c r="O23" s="2276"/>
      <c r="P23" s="2276"/>
      <c r="Q23" s="2276"/>
    </row>
    <row r="24" spans="1:17" s="751" customFormat="1" ht="14.4" thickBot="1">
      <c r="A24" s="2254"/>
      <c r="B24" s="2296" t="s">
        <v>2278</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664</v>
      </c>
      <c r="B1" s="2299">
        <f>SUM(B14:B23)</f>
        <v>154.41</v>
      </c>
      <c r="C1" s="2460"/>
      <c r="D1" s="2460"/>
      <c r="E1" s="2460"/>
      <c r="F1" s="2460"/>
      <c r="G1" s="2461"/>
      <c r="H1" s="2461"/>
      <c r="I1" s="2461"/>
      <c r="J1" s="2461"/>
      <c r="K1" s="2461"/>
    </row>
    <row r="2" spans="1:11" ht="16.2">
      <c r="A2" s="2299" t="s">
        <v>652</v>
      </c>
      <c r="B2" s="2299">
        <f>SUM(C14:C23)</f>
        <v>0</v>
      </c>
      <c r="C2" s="2460"/>
      <c r="D2" s="2460"/>
      <c r="E2" s="2460"/>
      <c r="F2" s="2460"/>
      <c r="G2" s="2461"/>
      <c r="H2" s="2461"/>
      <c r="I2" s="2461"/>
      <c r="J2" s="2461"/>
      <c r="K2" s="2461"/>
    </row>
    <row r="3" spans="1:11" ht="15.6">
      <c r="A3" s="2299" t="s">
        <v>661</v>
      </c>
      <c r="B3" s="2301">
        <f>项目基本情况!D3</f>
        <v>45635</v>
      </c>
      <c r="C3" s="2460"/>
      <c r="D3" s="2460"/>
      <c r="E3" s="2460"/>
      <c r="F3" s="2460"/>
      <c r="G3" s="2461"/>
      <c r="H3" s="2461"/>
      <c r="I3" s="2461"/>
      <c r="J3" s="2461"/>
      <c r="K3" s="2461"/>
    </row>
    <row r="4" spans="1:11" ht="31.2">
      <c r="A4" s="2299" t="s">
        <v>660</v>
      </c>
      <c r="B4" s="2299" t="s">
        <v>659</v>
      </c>
      <c r="C4" s="2299" t="s">
        <v>658</v>
      </c>
      <c r="D4" s="2299" t="s">
        <v>657</v>
      </c>
      <c r="E4" s="2460"/>
      <c r="F4" s="2461"/>
      <c r="G4" s="2461"/>
      <c r="H4" s="2461"/>
      <c r="I4" s="2461"/>
      <c r="J4" s="2461"/>
      <c r="K4" s="2461"/>
    </row>
    <row r="5" spans="1:11" ht="15.6">
      <c r="A5" s="2299" t="s">
        <v>656</v>
      </c>
      <c r="B5" s="2299">
        <f ca="1">SUM(D14:D23)</f>
        <v>541.05259999999998</v>
      </c>
      <c r="C5" s="2299">
        <f ca="1">IF(B5=D14,'42号结果表'!H102,ROUND(B5*10000/$B$1,0))</f>
        <v>35040</v>
      </c>
      <c r="D5" s="2299" t="e">
        <f ca="1">ROUND(B5*10000/$B$2,0)</f>
        <v>#DIV/0!</v>
      </c>
      <c r="E5" s="2460"/>
      <c r="F5" s="2461"/>
      <c r="G5" s="2461"/>
      <c r="H5" s="2461"/>
      <c r="I5" s="2461"/>
      <c r="J5" s="2461"/>
      <c r="K5" s="2461"/>
    </row>
    <row r="6" spans="1:11" ht="15.6">
      <c r="A6" s="2299" t="s">
        <v>655</v>
      </c>
      <c r="B6" s="2299">
        <f ca="1">SUM(G14:G23)</f>
        <v>541.05259999999998</v>
      </c>
      <c r="C6" s="2299">
        <f ca="1">IF(B6=G14,'42号结果表'!H108,ROUND(B6*10000/$B$1,0))</f>
        <v>35040</v>
      </c>
      <c r="D6" s="2299" t="e">
        <f ca="1">ROUND(B6*10000/$B$2,0)</f>
        <v>#DIV/0!</v>
      </c>
      <c r="E6" s="2460"/>
      <c r="F6" s="2461"/>
      <c r="G6" s="2461"/>
      <c r="H6" s="2461"/>
      <c r="I6" s="2461"/>
      <c r="J6" s="2461"/>
      <c r="K6" s="2461"/>
    </row>
    <row r="7" spans="1:11" ht="15.6">
      <c r="A7" s="2299" t="s">
        <v>663</v>
      </c>
      <c r="B7" s="2299">
        <f>SUM(H14:H23)</f>
        <v>0</v>
      </c>
      <c r="C7" s="2299" t="str">
        <f>IF(B7=H14,'42号结果表'!H110,ROUND(B7*10000/$B$1,0))</f>
        <v>——</v>
      </c>
      <c r="D7" s="2299" t="e">
        <f>ROUND(B7*10000/$B$2,0)</f>
        <v>#DIV/0!</v>
      </c>
      <c r="E7" s="2460"/>
      <c r="F7" s="2461"/>
      <c r="G7" s="2461"/>
      <c r="H7" s="2461"/>
      <c r="I7" s="2461"/>
      <c r="J7" s="2461"/>
      <c r="K7" s="2461"/>
    </row>
    <row r="8" spans="1:11" ht="15.6">
      <c r="A8" s="2299" t="s">
        <v>586</v>
      </c>
      <c r="B8" s="2299">
        <f>SUM(I14:I23)</f>
        <v>0</v>
      </c>
      <c r="C8" s="2299" t="str">
        <f>IF(B8=I14,'42号结果表'!H112,ROUND(B8*10000/$B$1,0))</f>
        <v>——</v>
      </c>
      <c r="D8" s="2299" t="e">
        <f>ROUND(B8*10000/$B$2,0)</f>
        <v>#DIV/0!</v>
      </c>
      <c r="E8" s="2460"/>
      <c r="F8" s="2461"/>
      <c r="G8" s="2461"/>
      <c r="H8" s="2461"/>
      <c r="I8" s="2461"/>
      <c r="J8" s="2461"/>
      <c r="K8" s="2461"/>
    </row>
    <row r="9" spans="1:11" ht="15.6">
      <c r="A9" s="2299" t="s">
        <v>654</v>
      </c>
      <c r="B9" s="1244"/>
      <c r="C9" s="2460"/>
      <c r="D9" s="2460"/>
      <c r="E9" s="2460"/>
      <c r="F9" s="2461"/>
      <c r="G9" s="2461"/>
      <c r="H9" s="2461"/>
      <c r="I9" s="2461"/>
      <c r="J9" s="2461"/>
      <c r="K9" s="2461"/>
    </row>
    <row r="10" spans="1:11" ht="15.6">
      <c r="A10" s="2299" t="s">
        <v>653</v>
      </c>
      <c r="B10" s="2299">
        <f>IF(E10="",0,ROUND(B1*(E10*365/G10)/10000,0))</f>
        <v>0</v>
      </c>
      <c r="C10" s="2299" t="s">
        <v>3354</v>
      </c>
      <c r="D10" s="2299" t="s">
        <v>3355</v>
      </c>
      <c r="E10" s="3135"/>
      <c r="F10" s="3139" t="s">
        <v>3356</v>
      </c>
      <c r="G10" s="3136"/>
      <c r="H10" s="2461"/>
      <c r="I10" s="2461"/>
      <c r="J10" s="2461"/>
      <c r="K10" s="2461"/>
    </row>
    <row r="11" spans="1:11" ht="15.6">
      <c r="A11" s="2299" t="s">
        <v>669</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668</v>
      </c>
      <c r="B13" s="2303" t="s">
        <v>665</v>
      </c>
      <c r="C13" s="2303" t="s">
        <v>667</v>
      </c>
      <c r="D13" s="2303" t="s">
        <v>666</v>
      </c>
      <c r="E13" s="2299" t="s">
        <v>658</v>
      </c>
      <c r="F13" s="2299" t="s">
        <v>657</v>
      </c>
      <c r="G13" s="2303" t="s">
        <v>651</v>
      </c>
      <c r="H13" s="2303" t="s">
        <v>662</v>
      </c>
      <c r="I13" s="2303" t="s">
        <v>650</v>
      </c>
      <c r="J13" s="2461"/>
      <c r="K13" s="2461"/>
    </row>
    <row r="14" spans="1:11" ht="15.6">
      <c r="A14" s="2304" t="s">
        <v>649</v>
      </c>
      <c r="B14" s="2305">
        <f>'数据-汇总表'!E19</f>
        <v>154.41</v>
      </c>
      <c r="C14" s="2305"/>
      <c r="D14" s="2305">
        <f ca="1">'42号结果表'!H101</f>
        <v>541.05259999999998</v>
      </c>
      <c r="E14" s="2305">
        <f ca="1">ROUND(D14*10000/B14,0)</f>
        <v>35040</v>
      </c>
      <c r="F14" s="2305" t="e">
        <f ca="1">ROUND(D14*10000/C14,0)</f>
        <v>#DIV/0!</v>
      </c>
      <c r="G14" s="2305">
        <f ca="1">'42号结果表'!H101</f>
        <v>541.05259999999998</v>
      </c>
      <c r="H14" s="2305"/>
      <c r="I14" s="2305"/>
      <c r="J14" s="2461"/>
      <c r="K14" s="2461"/>
    </row>
    <row r="15" spans="1:11" ht="15.6">
      <c r="A15" s="2304" t="s">
        <v>648</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647</v>
      </c>
      <c r="B16" s="2306"/>
      <c r="C16" s="2306"/>
      <c r="D16" s="2306"/>
      <c r="E16" s="2305" t="e">
        <f t="shared" si="0"/>
        <v>#DIV/0!</v>
      </c>
      <c r="F16" s="2305" t="e">
        <f t="shared" si="1"/>
        <v>#DIV/0!</v>
      </c>
      <c r="G16" s="1244"/>
      <c r="H16" s="1244"/>
      <c r="I16" s="2306"/>
      <c r="J16" s="2461"/>
      <c r="K16" s="2461"/>
    </row>
    <row r="17" spans="1:11" ht="15.6">
      <c r="A17" s="2304" t="s">
        <v>646</v>
      </c>
      <c r="B17" s="2306"/>
      <c r="C17" s="2306"/>
      <c r="D17" s="2306"/>
      <c r="E17" s="2305" t="e">
        <f t="shared" si="0"/>
        <v>#DIV/0!</v>
      </c>
      <c r="F17" s="2305" t="e">
        <f t="shared" si="1"/>
        <v>#DIV/0!</v>
      </c>
      <c r="G17" s="1244"/>
      <c r="H17" s="1244"/>
      <c r="I17" s="2306"/>
      <c r="J17" s="2461"/>
      <c r="K17" s="2461"/>
    </row>
    <row r="18" spans="1:11" ht="15.6">
      <c r="A18" s="2304" t="s">
        <v>645</v>
      </c>
      <c r="B18" s="2306"/>
      <c r="C18" s="2306"/>
      <c r="D18" s="2306"/>
      <c r="E18" s="2305" t="e">
        <f t="shared" si="0"/>
        <v>#DIV/0!</v>
      </c>
      <c r="F18" s="2305" t="e">
        <f t="shared" si="1"/>
        <v>#DIV/0!</v>
      </c>
      <c r="G18" s="2306"/>
      <c r="H18" s="2306"/>
      <c r="I18" s="2306"/>
      <c r="J18" s="2461"/>
      <c r="K18" s="2461"/>
    </row>
    <row r="19" spans="1:11" ht="15.6">
      <c r="A19" s="2304" t="s">
        <v>644</v>
      </c>
      <c r="B19" s="2306"/>
      <c r="C19" s="2306"/>
      <c r="D19" s="2306"/>
      <c r="E19" s="2305" t="e">
        <f t="shared" si="0"/>
        <v>#DIV/0!</v>
      </c>
      <c r="F19" s="2305" t="e">
        <f t="shared" si="1"/>
        <v>#DIV/0!</v>
      </c>
      <c r="G19" s="2306"/>
      <c r="H19" s="2306"/>
      <c r="I19" s="2306"/>
      <c r="J19" s="2461"/>
      <c r="K19" s="2461"/>
    </row>
    <row r="20" spans="1:11" ht="15.6">
      <c r="A20" s="2304" t="s">
        <v>643</v>
      </c>
      <c r="B20" s="2306"/>
      <c r="C20" s="2306"/>
      <c r="D20" s="2306"/>
      <c r="E20" s="2305" t="e">
        <f t="shared" si="0"/>
        <v>#DIV/0!</v>
      </c>
      <c r="F20" s="2305" t="e">
        <f t="shared" si="1"/>
        <v>#DIV/0!</v>
      </c>
      <c r="G20" s="2306"/>
      <c r="H20" s="2306"/>
      <c r="I20" s="2306"/>
      <c r="J20" s="2461"/>
      <c r="K20" s="2461"/>
    </row>
    <row r="21" spans="1:11" ht="15.6">
      <c r="A21" s="2304" t="s">
        <v>642</v>
      </c>
      <c r="B21" s="2306"/>
      <c r="C21" s="2306"/>
      <c r="D21" s="2306"/>
      <c r="E21" s="2305" t="e">
        <f t="shared" si="0"/>
        <v>#DIV/0!</v>
      </c>
      <c r="F21" s="2305" t="e">
        <f t="shared" si="1"/>
        <v>#DIV/0!</v>
      </c>
      <c r="G21" s="2306"/>
      <c r="H21" s="2306"/>
      <c r="I21" s="2306"/>
      <c r="J21" s="2461"/>
      <c r="K21" s="2461"/>
    </row>
    <row r="22" spans="1:11" ht="15.6">
      <c r="A22" s="2304" t="s">
        <v>641</v>
      </c>
      <c r="B22" s="2306"/>
      <c r="C22" s="2306"/>
      <c r="D22" s="2306"/>
      <c r="E22" s="2305" t="e">
        <f t="shared" si="0"/>
        <v>#DIV/0!</v>
      </c>
      <c r="F22" s="2305" t="e">
        <f t="shared" si="1"/>
        <v>#DIV/0!</v>
      </c>
      <c r="G22" s="2306"/>
      <c r="H22" s="2306"/>
      <c r="I22" s="2306"/>
      <c r="J22" s="2461"/>
      <c r="K22" s="2461"/>
    </row>
    <row r="23" spans="1:11" ht="15.6">
      <c r="A23" s="2304" t="s">
        <v>640</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3" zoomScaleNormal="100" zoomScaleSheetLayoutView="100" zoomScalePageLayoutView="80" workbookViewId="0">
      <selection activeCell="G29" sqref="G2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1260</v>
      </c>
      <c r="B1" s="646"/>
      <c r="C1" s="1620" t="s">
        <v>3502</v>
      </c>
      <c r="D1" s="646"/>
      <c r="E1" s="646"/>
      <c r="F1" s="1621" t="s">
        <v>1261</v>
      </c>
      <c r="G1" s="1453" t="s">
        <v>3397</v>
      </c>
      <c r="H1" s="1621" t="str">
        <f>IF(G1="现房","——","估价对象范围")</f>
        <v>——</v>
      </c>
      <c r="I1" s="1622"/>
    </row>
    <row r="2" spans="1:12" ht="21.75" customHeight="1" thickBot="1">
      <c r="A2" s="3324" t="str">
        <f>项目基本情况!S2</f>
        <v>北京市大兴区兴丰街（二段）36-60号（双号）2幢1至2层42、54、56号房地产</v>
      </c>
      <c r="B2" s="3325"/>
      <c r="C2" s="3325"/>
      <c r="D2" s="3325"/>
      <c r="E2" s="3325"/>
      <c r="F2" s="3325"/>
      <c r="G2" s="3325"/>
      <c r="H2" s="3325"/>
      <c r="I2" s="3326"/>
    </row>
    <row r="3" spans="1:12" ht="13.2">
      <c r="A3" s="3328" t="s">
        <v>1262</v>
      </c>
      <c r="B3" s="3329"/>
      <c r="C3" s="3329"/>
      <c r="D3" s="3329"/>
      <c r="E3" s="3329"/>
      <c r="F3" s="3329"/>
      <c r="G3" s="3329"/>
      <c r="H3" s="3329"/>
      <c r="I3" s="3329"/>
    </row>
    <row r="4" spans="1:12" ht="14.4">
      <c r="A4" s="1624" t="s">
        <v>1263</v>
      </c>
      <c r="B4" s="1625" t="s">
        <v>1264</v>
      </c>
      <c r="C4" s="1626" t="s">
        <v>3565</v>
      </c>
      <c r="D4" s="1626" t="s">
        <v>3563</v>
      </c>
      <c r="E4" s="3333" t="s">
        <v>1265</v>
      </c>
      <c r="F4" s="3334"/>
      <c r="G4" s="3334"/>
      <c r="H4" s="3334"/>
      <c r="I4" s="3335"/>
      <c r="K4" s="138" t="str">
        <f>IF(ISNUMBER(FIND("比较法",'42号结果表'!C4)),"比较法",IF(ISNUMBER(FIND("成本法",'42号结果表'!C4)),"成本法",IF(ISNUMBER(FIND("假设开发法",'42号结果表'!C4)),"假设开发法",IF(ISNUMBER(FIND("收益法",'42号结果表'!C4)),"收益法","基准地价系数修正法"))))</f>
        <v>比较法</v>
      </c>
      <c r="L4" s="138" t="str">
        <f>IF(ISNUMBER(FIND("比较法",'42号结果表'!D4)),"比较法",IF(ISNUMBER(FIND("成本法",'42号结果表'!D4)),"成本法",IF(ISNUMBER(FIND("假设开发法",'42号结果表'!D4)),"假设开发法",IF(ISNUMBER(FIND("收益法",'42号结果表'!D4)),"收益法","基准地价系数修正法"))))</f>
        <v>收益法</v>
      </c>
    </row>
    <row r="5" spans="1:12" ht="13.2">
      <c r="A5" s="3272" t="s">
        <v>1266</v>
      </c>
      <c r="B5" s="3327">
        <v>25</v>
      </c>
      <c r="C5" s="3330"/>
      <c r="D5" s="3318"/>
      <c r="E5" s="123" t="s">
        <v>1267</v>
      </c>
      <c r="F5" s="1627"/>
      <c r="G5" s="1627"/>
      <c r="H5" s="1627"/>
      <c r="I5" s="1281"/>
    </row>
    <row r="6" spans="1:12" ht="13.2">
      <c r="A6" s="3272"/>
      <c r="B6" s="3327"/>
      <c r="C6" s="3332"/>
      <c r="D6" s="3318"/>
      <c r="E6" s="123" t="s">
        <v>1268</v>
      </c>
      <c r="F6" s="1627"/>
      <c r="G6" s="1627"/>
      <c r="H6" s="1627"/>
      <c r="I6" s="1281"/>
    </row>
    <row r="7" spans="1:12" ht="13.2">
      <c r="A7" s="3272"/>
      <c r="B7" s="3327"/>
      <c r="C7" s="3331"/>
      <c r="D7" s="3318"/>
      <c r="E7" s="123" t="s">
        <v>1269</v>
      </c>
      <c r="F7" s="1627"/>
      <c r="G7" s="1627"/>
      <c r="H7" s="1627"/>
      <c r="I7" s="1281"/>
    </row>
    <row r="8" spans="1:12" ht="13.2">
      <c r="A8" s="3272" t="s">
        <v>1270</v>
      </c>
      <c r="B8" s="3327">
        <v>15</v>
      </c>
      <c r="C8" s="3330"/>
      <c r="D8" s="3318"/>
      <c r="E8" s="123" t="s">
        <v>1271</v>
      </c>
      <c r="F8" s="1627"/>
      <c r="G8" s="1627"/>
      <c r="H8" s="1627"/>
      <c r="I8" s="1281"/>
    </row>
    <row r="9" spans="1:12" ht="13.2">
      <c r="A9" s="3272"/>
      <c r="B9" s="3327"/>
      <c r="C9" s="3331"/>
      <c r="D9" s="3318"/>
      <c r="E9" s="123" t="s">
        <v>1272</v>
      </c>
      <c r="F9" s="1627"/>
      <c r="G9" s="1627"/>
      <c r="H9" s="1627"/>
      <c r="I9" s="1281"/>
    </row>
    <row r="10" spans="1:12" ht="13.2">
      <c r="A10" s="3272" t="s">
        <v>1273</v>
      </c>
      <c r="B10" s="3327">
        <v>15</v>
      </c>
      <c r="C10" s="3330"/>
      <c r="D10" s="3318"/>
      <c r="E10" s="123" t="s">
        <v>1274</v>
      </c>
      <c r="F10" s="1627"/>
      <c r="G10" s="1627"/>
      <c r="H10" s="1627"/>
      <c r="I10" s="1281"/>
    </row>
    <row r="11" spans="1:12" ht="13.2">
      <c r="A11" s="3272"/>
      <c r="B11" s="3327"/>
      <c r="C11" s="3331"/>
      <c r="D11" s="3318"/>
      <c r="E11" s="123" t="s">
        <v>1275</v>
      </c>
      <c r="F11" s="1627"/>
      <c r="G11" s="1627"/>
      <c r="H11" s="1627"/>
      <c r="I11" s="1281"/>
    </row>
    <row r="12" spans="1:12" ht="13.2">
      <c r="A12" s="3272" t="s">
        <v>1276</v>
      </c>
      <c r="B12" s="3327">
        <v>15</v>
      </c>
      <c r="C12" s="3330"/>
      <c r="D12" s="3318"/>
      <c r="E12" s="123" t="s">
        <v>1277</v>
      </c>
      <c r="F12" s="1627"/>
      <c r="G12" s="1627"/>
      <c r="H12" s="1627"/>
      <c r="I12" s="1281"/>
    </row>
    <row r="13" spans="1:12" ht="13.2">
      <c r="A13" s="3272"/>
      <c r="B13" s="3327"/>
      <c r="C13" s="3331"/>
      <c r="D13" s="3318"/>
      <c r="E13" s="123" t="s">
        <v>1278</v>
      </c>
      <c r="F13" s="1627"/>
      <c r="G13" s="1627"/>
      <c r="H13" s="1627"/>
      <c r="I13" s="1281"/>
    </row>
    <row r="14" spans="1:12" ht="13.2">
      <c r="A14" s="3272" t="s">
        <v>1279</v>
      </c>
      <c r="B14" s="3327">
        <v>30</v>
      </c>
      <c r="C14" s="3330">
        <v>7</v>
      </c>
      <c r="D14" s="3318">
        <v>3</v>
      </c>
      <c r="E14" s="123" t="s">
        <v>1280</v>
      </c>
      <c r="F14" s="1627"/>
      <c r="G14" s="1627"/>
      <c r="H14" s="1627"/>
      <c r="I14" s="1281"/>
    </row>
    <row r="15" spans="1:12" ht="13.2">
      <c r="A15" s="3272"/>
      <c r="B15" s="3327"/>
      <c r="C15" s="3332"/>
      <c r="D15" s="3318"/>
      <c r="E15" s="123" t="s">
        <v>1281</v>
      </c>
      <c r="F15" s="1627"/>
      <c r="G15" s="1627"/>
      <c r="H15" s="1627"/>
      <c r="I15" s="1281"/>
    </row>
    <row r="16" spans="1:12" ht="13.2">
      <c r="A16" s="3272"/>
      <c r="B16" s="3327"/>
      <c r="C16" s="3331"/>
      <c r="D16" s="3318"/>
      <c r="E16" s="123" t="s">
        <v>1282</v>
      </c>
      <c r="F16" s="1627"/>
      <c r="G16" s="1627"/>
      <c r="H16" s="1627"/>
      <c r="I16" s="1281"/>
    </row>
    <row r="17" spans="1:36" ht="14.4">
      <c r="A17" s="1628" t="s">
        <v>1283</v>
      </c>
      <c r="B17" s="54"/>
      <c r="C17" s="124">
        <f>SUM(C5:C16)</f>
        <v>7</v>
      </c>
      <c r="D17" s="124">
        <f>SUM(D5:D16)</f>
        <v>3</v>
      </c>
      <c r="E17" s="121"/>
      <c r="F17" s="121"/>
      <c r="G17" s="121"/>
      <c r="H17" s="121"/>
      <c r="I17" s="121"/>
      <c r="K17" s="294"/>
      <c r="L17" s="294" t="s">
        <v>1284</v>
      </c>
      <c r="M17" s="294" t="s">
        <v>1285</v>
      </c>
    </row>
    <row r="18" spans="1:36" ht="31.95" customHeight="1" thickBot="1">
      <c r="A18" s="1629" t="s">
        <v>1286</v>
      </c>
      <c r="B18" s="1542"/>
      <c r="C18" s="125">
        <f>ROUND(C17/SUM(C17:D17),2)</f>
        <v>0.7</v>
      </c>
      <c r="D18" s="125">
        <f>1-C18</f>
        <v>0.30000000000000004</v>
      </c>
      <c r="E18" s="3349" t="s">
        <v>2129</v>
      </c>
      <c r="F18" s="3350"/>
      <c r="G18" s="3350"/>
      <c r="H18" s="3350"/>
      <c r="I18" s="3350"/>
      <c r="K18" s="294" t="s">
        <v>1287</v>
      </c>
      <c r="L18" s="294">
        <f>IF(C1="",'数据-汇总表'!E3,SUMIF(项目类型,C1,'数据-汇总表'!E17:E26)+SUMIF(项目类型,C1,'数据-汇总表'!I17:I26))</f>
        <v>154.41</v>
      </c>
      <c r="M18" s="294">
        <f>IF(C1="",'数据-汇总表'!E3,SUMIF(项目类型,C1,'数据-汇总表'!E17:E26))</f>
        <v>154.41</v>
      </c>
    </row>
    <row r="19" spans="1:36" ht="14.4">
      <c r="A19" s="1630" t="s">
        <v>1288</v>
      </c>
      <c r="B19" s="1631" t="s">
        <v>1289</v>
      </c>
      <c r="C19" s="126">
        <f ca="1">SUMIF(INDIRECT("'"&amp;C4&amp;"'"&amp;"!A:A"),'42号结果表'!B19,INDIRECT("'"&amp;C4&amp;"'"&amp;"!B:B"))</f>
        <v>625.12890000000004</v>
      </c>
      <c r="D19" s="127">
        <f ca="1">SUMIF(INDIRECT("'"&amp;D4&amp;"'"&amp;"!A:A"),'42号结果表'!B19,INDIRECT("'"&amp;D4&amp;"'"&amp;"!B:B"))</f>
        <v>344.85719999999998</v>
      </c>
      <c r="E19" s="1630" t="s">
        <v>1290</v>
      </c>
      <c r="F19" s="1631" t="s">
        <v>1289</v>
      </c>
      <c r="G19" s="128">
        <f ca="1">ROUND(C19*$C$18+D19*$D$18,0)</f>
        <v>541</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4.4">
      <c r="A20" s="1633"/>
      <c r="B20" s="43" t="s">
        <v>1293</v>
      </c>
      <c r="C20" s="129">
        <f ca="1">SUMIF(INDIRECT("'"&amp;C4&amp;"'"&amp;"!A:A"),'42号结果表'!B20,INDIRECT("'"&amp;C4&amp;"'"&amp;"!B:B"))</f>
        <v>40485</v>
      </c>
      <c r="D20" s="130">
        <f ca="1">SUMIF(INDIRECT("'"&amp;D4&amp;"'"&amp;"!A:A"),'42号结果表'!B20,INDIRECT("'"&amp;D4&amp;"'"&amp;"!B:B"))</f>
        <v>22334</v>
      </c>
      <c r="E20" s="1633"/>
      <c r="F20" s="43" t="s">
        <v>1293</v>
      </c>
      <c r="G20" s="131">
        <f ca="1">ROUND(C20*$C$18+D20*$D$18,0)</f>
        <v>35040</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0.81271813376667246</v>
      </c>
      <c r="E22" s="121"/>
      <c r="F22" s="121"/>
      <c r="G22" s="121"/>
      <c r="H22" s="121"/>
      <c r="I22" s="121"/>
    </row>
    <row r="23" spans="1:36" ht="13.8" thickBot="1">
      <c r="A23" s="646"/>
      <c r="B23" s="646"/>
      <c r="C23" s="646"/>
      <c r="D23" s="646"/>
      <c r="E23" s="121"/>
      <c r="F23" s="121"/>
      <c r="G23" s="121"/>
      <c r="H23" s="121"/>
      <c r="I23" s="121"/>
    </row>
    <row r="24" spans="1:36" ht="14.4">
      <c r="A24" s="3342" t="s">
        <v>1297</v>
      </c>
      <c r="B24" s="1631" t="s">
        <v>1289</v>
      </c>
      <c r="C24" s="128">
        <f>IF(B30=0,0,D30)</f>
        <v>0</v>
      </c>
      <c r="D24" s="1637"/>
      <c r="E24" s="121"/>
      <c r="F24" s="121"/>
      <c r="G24" s="121"/>
      <c r="H24" s="121"/>
      <c r="I24" s="121"/>
    </row>
    <row r="25" spans="1:36" ht="14.4">
      <c r="A25" s="3343"/>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1303</v>
      </c>
      <c r="B32" s="1535"/>
      <c r="C32" s="136">
        <f ca="1">IF(D32="总价",G19-C24,G20-C25)</f>
        <v>35040</v>
      </c>
      <c r="D32" s="1641" t="s">
        <v>3572</v>
      </c>
      <c r="E32" s="121"/>
      <c r="F32" s="121"/>
      <c r="G32" s="121"/>
      <c r="H32" s="121"/>
      <c r="I32" s="121"/>
    </row>
    <row r="33" spans="1:15" ht="14.4">
      <c r="A33" s="740" t="s">
        <v>1304</v>
      </c>
      <c r="B33" s="123"/>
      <c r="C33" s="1642" t="s">
        <v>3573</v>
      </c>
      <c r="D33" s="1643"/>
      <c r="E33" s="1644" t="s">
        <v>1305</v>
      </c>
      <c r="F33" s="1645" t="str">
        <f>IF(D32="楼面单价","取值（单价）","取值（总价）")</f>
        <v>取值（单价）</v>
      </c>
      <c r="G33" s="121"/>
      <c r="H33" s="121"/>
      <c r="I33" s="121"/>
    </row>
    <row r="34" spans="1:15" ht="14.4">
      <c r="A34" s="1646"/>
      <c r="B34" s="1647" t="s">
        <v>1306</v>
      </c>
      <c r="C34" s="140">
        <f>IF(C33="自定义",F34,C32-C35)</f>
        <v>0</v>
      </c>
      <c r="D34" s="808">
        <f ca="1">IF(C33="自定义",ROUND(C34/C32,3),IF(C33="收益比率",SUMIF(INDIRECT("'"&amp;D33&amp;"'"&amp;"!b:b"),"土地收益比率",INDIRECT("'"&amp;D33&amp;"'"&amp;"!c:c")),SUMIF(INDIRECT("'"&amp;D33&amp;"'"&amp;"!b:b"),"土地成本比率",INDIRECT("'"&amp;D33&amp;"'"&amp;"!c:c"))))</f>
        <v>0</v>
      </c>
      <c r="E34" s="1648" t="s">
        <v>1307</v>
      </c>
      <c r="F34" s="1243"/>
      <c r="G34" s="121"/>
      <c r="H34" s="121"/>
      <c r="I34" s="121"/>
    </row>
    <row r="35" spans="1:15" ht="15" thickBot="1">
      <c r="A35" s="1649"/>
      <c r="B35" s="1650" t="s">
        <v>1308</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1309</v>
      </c>
      <c r="F35" s="146"/>
      <c r="G35" s="121"/>
      <c r="H35" s="121"/>
      <c r="I35" s="121"/>
    </row>
    <row r="36" spans="1:15" ht="15" thickBot="1">
      <c r="A36" s="3319" t="s">
        <v>1310</v>
      </c>
      <c r="B36" s="1652" t="s">
        <v>1311</v>
      </c>
      <c r="C36" s="137"/>
      <c r="D36" s="1653"/>
      <c r="E36" s="1567"/>
      <c r="F36" s="1654"/>
      <c r="G36" s="121"/>
      <c r="H36" s="121"/>
      <c r="I36" s="121"/>
    </row>
    <row r="37" spans="1:15" ht="15" thickBot="1">
      <c r="A37" s="3320"/>
      <c r="B37" s="1555" t="s">
        <v>1312</v>
      </c>
      <c r="C37" s="139"/>
      <c r="D37" s="1071"/>
      <c r="E37" s="1071"/>
      <c r="F37" s="1654"/>
      <c r="G37" s="121"/>
      <c r="H37" s="121"/>
      <c r="I37" s="121"/>
    </row>
    <row r="38" spans="1:15" ht="15" thickBot="1">
      <c r="A38" s="3321"/>
      <c r="B38" s="1655" t="s">
        <v>1313</v>
      </c>
      <c r="C38" s="641"/>
      <c r="D38" s="1656" t="s">
        <v>1314</v>
      </c>
      <c r="E38" s="1071"/>
      <c r="F38" s="1654"/>
      <c r="G38" s="121"/>
      <c r="H38" s="121"/>
      <c r="I38" s="121"/>
    </row>
    <row r="39" spans="1:15" ht="14.4">
      <c r="A39" s="1633" t="s">
        <v>1315</v>
      </c>
      <c r="B39" s="1657" t="s">
        <v>1316</v>
      </c>
      <c r="C39" s="1658" t="s">
        <v>1317</v>
      </c>
      <c r="D39" s="1658" t="s">
        <v>1318</v>
      </c>
      <c r="E39" s="1659" t="s">
        <v>1319</v>
      </c>
      <c r="F39" s="1654"/>
      <c r="G39" s="121"/>
      <c r="H39" s="121"/>
      <c r="I39" s="121"/>
    </row>
    <row r="40" spans="1:15" ht="13.8">
      <c r="A40" s="1660" t="s">
        <v>1320</v>
      </c>
      <c r="B40" s="141"/>
      <c r="C40" s="142"/>
      <c r="D40" s="142"/>
      <c r="E40" s="143"/>
      <c r="F40" s="1654"/>
      <c r="G40" s="121"/>
      <c r="H40" s="121"/>
      <c r="I40" s="121"/>
    </row>
    <row r="41" spans="1:15" ht="13.8">
      <c r="A41" s="1660" t="s">
        <v>1321</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1322</v>
      </c>
      <c r="B44" s="1664"/>
      <c r="C44" s="1664"/>
      <c r="D44" s="1665"/>
      <c r="E44" s="1665"/>
      <c r="F44" s="1666"/>
      <c r="G44" s="1666"/>
      <c r="H44" s="1666"/>
      <c r="I44" s="1666"/>
      <c r="J44" s="1667" t="s">
        <v>1323</v>
      </c>
      <c r="K44" s="4"/>
      <c r="L44" s="4"/>
      <c r="M44" s="4"/>
      <c r="N44" s="4"/>
      <c r="O44" s="4"/>
    </row>
    <row r="45" spans="1:15" ht="14.25" customHeight="1" thickBot="1">
      <c r="A45" s="3339" t="s">
        <v>1324</v>
      </c>
      <c r="B45" s="3340"/>
      <c r="C45" s="3341"/>
      <c r="D45" s="147">
        <f ca="1">ROUND(H101*F45,0)</f>
        <v>541</v>
      </c>
      <c r="E45" s="148" t="s">
        <v>1325</v>
      </c>
      <c r="F45" s="149">
        <v>1</v>
      </c>
      <c r="G45" s="150" t="s">
        <v>1326</v>
      </c>
      <c r="H45" s="121"/>
      <c r="I45" s="121"/>
      <c r="J45" s="3259" t="s">
        <v>1327</v>
      </c>
      <c r="K45" s="3259"/>
      <c r="L45" s="3259"/>
      <c r="M45" s="3259"/>
      <c r="N45" s="3259"/>
      <c r="O45" s="3259"/>
    </row>
    <row r="46" spans="1:15" ht="14.25" customHeight="1">
      <c r="A46" s="3336" t="s">
        <v>1328</v>
      </c>
      <c r="B46" s="3337"/>
      <c r="C46" s="3337"/>
      <c r="D46" s="3337"/>
      <c r="E46" s="3337"/>
      <c r="F46" s="3337"/>
      <c r="G46" s="3338"/>
      <c r="H46" s="1668"/>
      <c r="I46" s="151"/>
      <c r="J46" s="2309">
        <v>1</v>
      </c>
      <c r="K46" s="3260" t="s">
        <v>1329</v>
      </c>
      <c r="L46" s="3260"/>
      <c r="M46" s="3261"/>
      <c r="N46" s="3261"/>
      <c r="O46" s="3261"/>
    </row>
    <row r="47" spans="1:15" ht="12" customHeight="1">
      <c r="A47" s="152" t="s">
        <v>1330</v>
      </c>
      <c r="B47" s="153"/>
      <c r="C47" s="154"/>
      <c r="D47" s="1024" t="s">
        <v>1331</v>
      </c>
      <c r="E47" s="294" t="s">
        <v>1332</v>
      </c>
      <c r="F47" s="155" t="s">
        <v>1333</v>
      </c>
      <c r="G47" s="2332" t="s">
        <v>1334</v>
      </c>
      <c r="H47" s="2333"/>
      <c r="I47" s="151"/>
      <c r="J47" s="2309">
        <v>2</v>
      </c>
      <c r="K47" s="3260" t="s">
        <v>1335</v>
      </c>
      <c r="L47" s="3260"/>
      <c r="M47" s="3262">
        <f>'数据-取费表'!B2</f>
        <v>45635</v>
      </c>
      <c r="N47" s="3262"/>
      <c r="O47" s="3262"/>
    </row>
    <row r="48" spans="1:15" ht="26.4">
      <c r="A48" s="3322" t="s">
        <v>1336</v>
      </c>
      <c r="B48" s="3323"/>
      <c r="C48" s="332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1337</v>
      </c>
      <c r="H48" s="2336"/>
      <c r="I48" s="1668"/>
      <c r="J48" s="2309">
        <v>3</v>
      </c>
      <c r="K48" s="3260" t="s">
        <v>1338</v>
      </c>
      <c r="L48" s="3260"/>
      <c r="M48" s="3263">
        <f ca="1">H101</f>
        <v>541.05259999999998</v>
      </c>
      <c r="N48" s="3263"/>
      <c r="O48" s="3263"/>
    </row>
    <row r="49" spans="1:35" ht="25.5" customHeight="1">
      <c r="A49" s="2152" t="s">
        <v>1339</v>
      </c>
      <c r="B49" s="3308" t="s">
        <v>1340</v>
      </c>
      <c r="C49" s="3308"/>
      <c r="D49" s="1478">
        <v>0</v>
      </c>
      <c r="E49" s="316" t="s">
        <v>1341</v>
      </c>
      <c r="F49" s="2232" t="s">
        <v>28</v>
      </c>
      <c r="G49" s="3291"/>
      <c r="H49" s="2134" t="s">
        <v>2132</v>
      </c>
      <c r="I49" s="2135"/>
      <c r="J49" s="2309">
        <v>4</v>
      </c>
      <c r="K49" s="3260" t="str">
        <f>IF(项目基本情况!E8="房地产抵押价值","房地产抵押价值","抵押担保权已注销时的房地产抵押价值")</f>
        <v>房地产抵押价值</v>
      </c>
      <c r="L49" s="3260"/>
      <c r="M49" s="3263">
        <f ca="1">IF(项目基本情况!E8="房地产抵押价值",H107,H109)</f>
        <v>541.05259999999998</v>
      </c>
      <c r="N49" s="3263"/>
      <c r="O49" s="3263"/>
    </row>
    <row r="50" spans="1:35" ht="25.5" customHeight="1">
      <c r="A50" s="2337"/>
      <c r="B50" s="3308" t="s">
        <v>1342</v>
      </c>
      <c r="C50" s="3308"/>
      <c r="D50" s="2189"/>
      <c r="E50" s="323"/>
      <c r="F50" s="2232"/>
      <c r="G50" s="3292"/>
      <c r="H50" s="2136" t="s">
        <v>2133</v>
      </c>
      <c r="I50" s="2135"/>
      <c r="J50" s="3259" t="s">
        <v>1343</v>
      </c>
      <c r="K50" s="3259"/>
      <c r="L50" s="3259"/>
      <c r="M50" s="3259"/>
      <c r="N50" s="3259"/>
      <c r="O50" s="3259"/>
    </row>
    <row r="51" spans="1:35" ht="20.399999999999999" customHeight="1">
      <c r="A51" s="2338"/>
      <c r="B51" s="3308" t="s">
        <v>1344</v>
      </c>
      <c r="C51" s="3308"/>
      <c r="D51" s="1024"/>
      <c r="E51" s="319"/>
      <c r="F51" s="2232"/>
      <c r="G51" s="3293"/>
      <c r="H51" s="2136" t="s">
        <v>2134</v>
      </c>
      <c r="I51" s="2135"/>
      <c r="J51" s="2310" t="s">
        <v>1345</v>
      </c>
      <c r="K51" s="3260" t="s">
        <v>1346</v>
      </c>
      <c r="L51" s="3260"/>
      <c r="M51" s="2310" t="s">
        <v>1347</v>
      </c>
      <c r="N51" s="2310" t="s">
        <v>1348</v>
      </c>
      <c r="O51" s="2310" t="s">
        <v>1349</v>
      </c>
    </row>
    <row r="52" spans="1:35" ht="24" customHeight="1">
      <c r="A52" s="2153" t="s">
        <v>1350</v>
      </c>
      <c r="B52" s="3308" t="s">
        <v>1351</v>
      </c>
      <c r="C52" s="3308"/>
      <c r="D52" s="1024">
        <f ca="1">ROUND(D45*'数据-取费表'!B41/(1+'数据-取费表'!C42),0)</f>
        <v>28</v>
      </c>
      <c r="E52" s="1256" t="s">
        <v>1352</v>
      </c>
      <c r="F52" s="2339">
        <f>'数据-取费表'!B41</f>
        <v>5.5000000000000007E-2</v>
      </c>
      <c r="G52" s="2340"/>
      <c r="H52" s="2330"/>
      <c r="I52" s="1669"/>
      <c r="J52" s="2309">
        <v>1</v>
      </c>
      <c r="K52" s="3285" t="s">
        <v>1353</v>
      </c>
      <c r="L52" s="3285"/>
      <c r="M52" s="2311" t="b">
        <f>D48</f>
        <v>0</v>
      </c>
      <c r="N52" s="2309" t="str">
        <f>E48</f>
        <v>销售额×税（费）率</v>
      </c>
      <c r="O52" s="2312">
        <f>F48</f>
        <v>5.5000000000000007E-2</v>
      </c>
    </row>
    <row r="53" spans="1:35" ht="12" customHeight="1">
      <c r="A53" s="2153" t="s">
        <v>1354</v>
      </c>
      <c r="B53" s="3309" t="s">
        <v>2289</v>
      </c>
      <c r="C53" s="3310"/>
      <c r="D53" s="1024">
        <f ca="1">ROUND(D45*'数据-取费表'!B41/(1+'数据-取费表'!C42),0)</f>
        <v>28</v>
      </c>
      <c r="E53" s="1256" t="s">
        <v>1352</v>
      </c>
      <c r="F53" s="2339">
        <f>'数据-取费表'!B41</f>
        <v>5.5000000000000007E-2</v>
      </c>
      <c r="G53" s="2340"/>
      <c r="H53" s="2330"/>
      <c r="I53" s="1669"/>
      <c r="J53" s="2309">
        <v>2</v>
      </c>
      <c r="K53" s="3285" t="s">
        <v>1355</v>
      </c>
      <c r="L53" s="3285"/>
      <c r="M53" s="2311">
        <f t="shared" ref="M53:O54" ca="1" si="0">D55</f>
        <v>0</v>
      </c>
      <c r="N53" s="2309" t="str">
        <f t="shared" si="0"/>
        <v>销售额×税（费）率</v>
      </c>
      <c r="O53" s="2312" t="str">
        <f t="shared" si="0"/>
        <v>免征</v>
      </c>
    </row>
    <row r="54" spans="1:35" ht="12" customHeight="1">
      <c r="A54" s="2153" t="s">
        <v>1356</v>
      </c>
      <c r="B54" s="3309" t="s">
        <v>2290</v>
      </c>
      <c r="C54" s="3310"/>
      <c r="D54" s="1024">
        <f ca="1">C68</f>
        <v>28</v>
      </c>
      <c r="E54" s="319" t="s">
        <v>1357</v>
      </c>
      <c r="F54" s="2339">
        <f>'数据-取费表'!B41</f>
        <v>5.5000000000000007E-2</v>
      </c>
      <c r="G54" s="2340"/>
      <c r="H54" s="2341"/>
      <c r="I54" s="1669"/>
      <c r="J54" s="2309">
        <v>3</v>
      </c>
      <c r="K54" s="3285" t="s">
        <v>1358</v>
      </c>
      <c r="L54" s="3285"/>
      <c r="M54" s="2311">
        <f t="shared" ca="1" si="0"/>
        <v>306</v>
      </c>
      <c r="N54" s="2309" t="str">
        <f t="shared" si="0"/>
        <v>增值额×税（费）率</v>
      </c>
      <c r="O54" s="2313" t="str">
        <f t="shared" si="0"/>
        <v>免征</v>
      </c>
    </row>
    <row r="55" spans="1:35" ht="24" customHeight="1">
      <c r="A55" s="3345" t="s">
        <v>1359</v>
      </c>
      <c r="B55" s="3323"/>
      <c r="C55" s="3323"/>
      <c r="D55" s="12">
        <f ca="1">IF(H55="个人住宅",0,ROUND(D45*I55,0))</f>
        <v>0</v>
      </c>
      <c r="E55" s="1256" t="s">
        <v>1360</v>
      </c>
      <c r="F55" s="2339" t="str">
        <f>IF(H55="正常",I55,"免征")</f>
        <v>免征</v>
      </c>
      <c r="G55" s="2340"/>
      <c r="H55" s="2336"/>
      <c r="I55" s="157">
        <f>'数据-取费表'!B49</f>
        <v>5.0000000000000001E-4</v>
      </c>
      <c r="J55" s="2309">
        <f>IF(H59="非个人房产","",4)</f>
        <v>4</v>
      </c>
      <c r="K55" s="3285" t="str">
        <f>IF(H59="非个人房产","——","个人所得税")</f>
        <v>个人所得税</v>
      </c>
      <c r="L55" s="3285"/>
      <c r="M55" s="2314">
        <f ca="1">D59</f>
        <v>5</v>
      </c>
      <c r="N55" s="1883" t="str">
        <f>E59</f>
        <v>差额计税</v>
      </c>
      <c r="O55" s="2315">
        <f>F59</f>
        <v>0.01</v>
      </c>
    </row>
    <row r="56" spans="1:35" ht="25.2">
      <c r="A56" s="3345" t="s">
        <v>1361</v>
      </c>
      <c r="B56" s="3323"/>
      <c r="C56" s="3323"/>
      <c r="D56" s="12">
        <f ca="1">IF(H56="个人住宅",D57,D58)</f>
        <v>306</v>
      </c>
      <c r="E56" s="1256" t="s">
        <v>1362</v>
      </c>
      <c r="F56" s="2339" t="str">
        <f>IF(H56="正常",F58,"免征")</f>
        <v>免征</v>
      </c>
      <c r="G56" s="2342" t="s">
        <v>1363</v>
      </c>
      <c r="H56" s="2343"/>
      <c r="I56" s="1670"/>
      <c r="J56" s="2309" t="str">
        <f>IF(项目基本情况!K6="上海银行",IF(J55="",4,J55+1),"")</f>
        <v/>
      </c>
      <c r="K56" s="3266" t="str">
        <f>IF(项目基本情况!K6="上海银行","其他处置费用","")</f>
        <v/>
      </c>
      <c r="L56" s="3267"/>
      <c r="M56" s="2311" t="str">
        <f>IF(项目基本情况!K6="上海银行",M69,"")</f>
        <v/>
      </c>
      <c r="N56" s="3266" t="str">
        <f>IF(项目基本情况!K6="上海银行","包含处置中涉及的律师、诉讼、拍卖、评估等费用","")</f>
        <v/>
      </c>
      <c r="O56" s="3269"/>
    </row>
    <row r="57" spans="1:35" ht="13.2">
      <c r="A57" s="2153" t="s">
        <v>1339</v>
      </c>
      <c r="B57" s="3309" t="s">
        <v>1364</v>
      </c>
      <c r="C57" s="3310"/>
      <c r="D57" s="1478">
        <v>0</v>
      </c>
      <c r="E57" s="316" t="s">
        <v>1341</v>
      </c>
      <c r="F57" s="294"/>
      <c r="G57" s="2340"/>
      <c r="H57" s="2344"/>
      <c r="I57" s="1670"/>
      <c r="J57" s="3285">
        <f>IF(AND(J55="",J56=""),4,IF(项目基本情况!K6="上海银行",'42号结果表'!J56+1,'42号结果表'!J55+1))</f>
        <v>5</v>
      </c>
      <c r="K57" s="3285" t="s">
        <v>1365</v>
      </c>
      <c r="L57" s="2316" t="s">
        <v>1366</v>
      </c>
      <c r="M57" s="2317"/>
      <c r="N57" s="2318">
        <f ca="1">SUMIF(M52:M56,"&lt;9e307")</f>
        <v>311</v>
      </c>
      <c r="O57" s="2319"/>
      <c r="P57" s="2463">
        <f ca="1">N57/M49</f>
        <v>0.57480548101977513</v>
      </c>
    </row>
    <row r="58" spans="1:35" ht="25.2">
      <c r="A58" s="2153" t="s">
        <v>1350</v>
      </c>
      <c r="B58" s="3309" t="s">
        <v>1367</v>
      </c>
      <c r="C58" s="3308"/>
      <c r="D58" s="12">
        <f ca="1">IF(H58="转让取得",C81,C97)</f>
        <v>306</v>
      </c>
      <c r="E58" s="1256" t="s">
        <v>1362</v>
      </c>
      <c r="F58" s="294" t="s">
        <v>28</v>
      </c>
      <c r="G58" s="2340"/>
      <c r="H58" s="2343"/>
      <c r="I58" s="1670"/>
      <c r="J58" s="3285"/>
      <c r="K58" s="3285"/>
      <c r="L58" s="2316" t="s">
        <v>1368</v>
      </c>
      <c r="M58" s="2320"/>
      <c r="N58" s="2321" t="str">
        <f ca="1">NUMBERSTRING(INT(N57*10000),2)&amp;"元整"</f>
        <v>叁佰壹拾壹万元整</v>
      </c>
      <c r="O58" s="2322"/>
    </row>
    <row r="59" spans="1:35" ht="24.6" thickBot="1">
      <c r="A59" s="3289" t="s">
        <v>1369</v>
      </c>
      <c r="B59" s="3290"/>
      <c r="C59" s="3290"/>
      <c r="D59" s="2345">
        <f ca="1">IF(H59="非个人房产","——",IF(H59="个人住宅（满五唯一有凭证）",0,IF(H59="个人其他（无凭证）",ROUND(D45*F59,0),ROUND(C67*F59,0))))</f>
        <v>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8"/>
      <c r="I59" s="2137" t="s">
        <v>2135</v>
      </c>
      <c r="J59" s="3287">
        <f>J57+1</f>
        <v>6</v>
      </c>
      <c r="K59" s="3285" t="s">
        <v>1370</v>
      </c>
      <c r="L59" s="2309" t="s">
        <v>1366</v>
      </c>
      <c r="M59" s="2323"/>
      <c r="N59" s="2324">
        <f ca="1">M49-N57</f>
        <v>230.05259999999998</v>
      </c>
      <c r="O59" s="2325"/>
    </row>
    <row r="60" spans="1:35" ht="12" customHeight="1">
      <c r="A60" s="1671"/>
      <c r="B60" s="646"/>
      <c r="C60" s="646"/>
      <c r="D60" s="646"/>
      <c r="E60" s="1466"/>
      <c r="F60" s="1670"/>
      <c r="G60" s="1670"/>
      <c r="H60" s="151"/>
      <c r="I60" s="121"/>
      <c r="J60" s="3288"/>
      <c r="K60" s="3285"/>
      <c r="L60" s="2316" t="s">
        <v>1368</v>
      </c>
      <c r="M60" s="2320"/>
      <c r="N60" s="2321" t="str">
        <f ca="1">NUMBERSTRING(INT(N59*10000),2)&amp;"元整"</f>
        <v>贰佰叁拾万零伍佰贰拾陆元整</v>
      </c>
      <c r="O60" s="2322"/>
    </row>
    <row r="61" spans="1:35" ht="13.8" thickBot="1">
      <c r="A61" s="3344" t="s">
        <v>1371</v>
      </c>
      <c r="B61" s="3344"/>
      <c r="C61" s="3344"/>
      <c r="D61" s="3344"/>
      <c r="E61" s="3344"/>
      <c r="F61" s="1670"/>
      <c r="G61" s="1670"/>
      <c r="H61" s="151"/>
      <c r="I61" s="121"/>
      <c r="J61" s="2309">
        <f>J59+1</f>
        <v>7</v>
      </c>
      <c r="K61" s="3285" t="s">
        <v>1372</v>
      </c>
      <c r="L61" s="3285"/>
      <c r="M61" s="2326"/>
      <c r="N61" s="2327">
        <f ca="1">ROUND(N59*10000/'数据-汇总表'!E3,0)</f>
        <v>4798</v>
      </c>
      <c r="O61" s="2328"/>
    </row>
    <row r="62" spans="1:35" ht="13.2">
      <c r="A62" s="3304" t="s">
        <v>1373</v>
      </c>
      <c r="B62" s="3305"/>
      <c r="C62" s="1865"/>
      <c r="D62" s="1865" t="s">
        <v>1374</v>
      </c>
      <c r="E62" s="158" t="s">
        <v>1375</v>
      </c>
      <c r="F62" s="1670"/>
      <c r="G62" s="1670"/>
      <c r="H62" s="151"/>
      <c r="I62" s="121"/>
    </row>
    <row r="63" spans="1:35" ht="13.2">
      <c r="A63" s="165" t="s">
        <v>330</v>
      </c>
      <c r="B63" s="159" t="s">
        <v>1376</v>
      </c>
      <c r="C63" s="2349">
        <f ca="1">ROUND((C64+C65)/(1+'数据-取费表'!C42),0)</f>
        <v>515</v>
      </c>
      <c r="D63" s="159"/>
      <c r="E63" s="160"/>
      <c r="F63" s="1670"/>
      <c r="G63" s="1670"/>
      <c r="H63" s="151"/>
      <c r="I63" s="121"/>
      <c r="J63" s="3268" t="s">
        <v>1377</v>
      </c>
      <c r="K63" s="1245" t="s">
        <v>1378</v>
      </c>
      <c r="L63" s="1245">
        <f ca="1">IF(M49&gt;10000,M49*0.5%,IF(AND(M49&gt;1000,M49&lt;=10000),M49*1%,IF(AND(M49&gt;100,M49&lt;=1000),M49*3%,IF(AND(M49&gt;10,M49&lt;=100),M49*5%,M49*8%))))</f>
        <v>16.231577999999999</v>
      </c>
      <c r="M63" s="294">
        <f ca="1">ROUND(L63,1)</f>
        <v>16.2</v>
      </c>
      <c r="N63" s="2329"/>
      <c r="Z63" s="1623"/>
      <c r="AI63" s="1561"/>
    </row>
    <row r="64" spans="1:35" ht="14.25" customHeight="1">
      <c r="A64" s="161" t="s">
        <v>325</v>
      </c>
      <c r="B64" s="162" t="s">
        <v>1379</v>
      </c>
      <c r="C64" s="2350">
        <f ca="1">D45</f>
        <v>541</v>
      </c>
      <c r="D64" s="162" t="s">
        <v>26</v>
      </c>
      <c r="E64" s="164"/>
      <c r="F64" s="1670"/>
      <c r="G64" s="1670"/>
      <c r="H64" s="151"/>
      <c r="I64" s="121"/>
      <c r="J64" s="3268"/>
      <c r="K64" s="1245" t="s">
        <v>1380</v>
      </c>
      <c r="L64" s="1245">
        <f ca="1">IF(M49&gt;2000,M49*0.5%,IF(AND(M49&gt;1000,M49&lt;=2000),M49*0.6%,IF(AND(M49&gt;500,M49&lt;=1000),M49*0.7%,IF(AND(M49&gt;200,M49&lt;=500),M49*0.8%,IF(AND(M49&gt;100,M49&lt;=200),M49*0.9%,IF(AND(M49&gt;50,M49&lt;=100),M49*1%,IF(AND(M49&gt;20,M49&lt;=50),M49*1.5%,IF(AND(M49&gt;10,M49&lt;=20),M49*2%,IF(AND(M49&gt;1,M49&lt;=10),M49*2.5%)))))))))</f>
        <v>3.7873681999999995</v>
      </c>
      <c r="M64" s="294">
        <f t="shared" ref="M64:M65" ca="1" si="1">ROUND(L64,1)</f>
        <v>3.8</v>
      </c>
      <c r="N64" s="2330" t="s">
        <v>1381</v>
      </c>
      <c r="Z64" s="1623"/>
      <c r="AI64" s="1561"/>
    </row>
    <row r="65" spans="1:35" ht="14.25" customHeight="1">
      <c r="A65" s="161" t="s">
        <v>326</v>
      </c>
      <c r="B65" s="162" t="s">
        <v>1382</v>
      </c>
      <c r="C65" s="2351"/>
      <c r="D65" s="162"/>
      <c r="E65" s="164"/>
      <c r="F65" s="1670"/>
      <c r="G65" s="1670"/>
      <c r="H65" s="151"/>
      <c r="I65" s="121"/>
      <c r="J65" s="3268"/>
      <c r="K65" s="1245" t="s">
        <v>1383</v>
      </c>
      <c r="L65" s="1245">
        <f ca="1">IF(M49&gt;1000,M49*0.1%,IF(AND(M49&gt;500,M49&lt;=1000),M49*0.5%,IF(AND(M49&gt;50,M49&lt;=500),M49*1%,IF(AND(M49&gt;1,M49&lt;=50),M49*1.5%))))</f>
        <v>2.705263</v>
      </c>
      <c r="M65" s="294">
        <f t="shared" ca="1" si="1"/>
        <v>2.7</v>
      </c>
      <c r="N65" s="2330" t="s">
        <v>1381</v>
      </c>
      <c r="Z65" s="1623"/>
      <c r="AI65" s="1561"/>
    </row>
    <row r="66" spans="1:35" ht="14.25" customHeight="1">
      <c r="A66" s="165" t="s">
        <v>327</v>
      </c>
      <c r="B66" s="166" t="s">
        <v>1384</v>
      </c>
      <c r="C66" s="2352"/>
      <c r="D66" s="166" t="s">
        <v>26</v>
      </c>
      <c r="E66" s="1251" t="s">
        <v>670</v>
      </c>
      <c r="F66" s="1670"/>
      <c r="G66" s="1670"/>
      <c r="H66" s="151"/>
      <c r="I66" s="121"/>
      <c r="J66" s="3268"/>
      <c r="K66" s="1245" t="s">
        <v>1385</v>
      </c>
      <c r="L66" s="1245">
        <f ca="1">M49*0.5%</f>
        <v>2.705263</v>
      </c>
      <c r="M66" s="294">
        <f ca="1">IF(L66&gt;0.5,0.5,ROUND(L66,0))</f>
        <v>0.5</v>
      </c>
      <c r="N66" s="2330" t="s">
        <v>1386</v>
      </c>
      <c r="Z66" s="1623"/>
      <c r="AI66" s="1561"/>
    </row>
    <row r="67" spans="1:35" ht="14.25" customHeight="1">
      <c r="A67" s="165" t="s">
        <v>328</v>
      </c>
      <c r="B67" s="166" t="s">
        <v>1387</v>
      </c>
      <c r="C67" s="2353">
        <f ca="1">C63-C66</f>
        <v>515</v>
      </c>
      <c r="D67" s="162" t="s">
        <v>26</v>
      </c>
      <c r="E67" s="164"/>
      <c r="F67" s="1670"/>
      <c r="G67" s="1670"/>
      <c r="H67" s="151"/>
      <c r="I67" s="121"/>
      <c r="J67" s="3268"/>
      <c r="K67" s="1245" t="s">
        <v>1388</v>
      </c>
      <c r="L67" s="1245">
        <f ca="1">IF(M49&gt;=10000,(8.25+(M49-10000)*0.01%),IF(AND(M49&gt;=8000,M49&lt;10000),(7.85+(M49-8000)*0.02%),IF(AND(M49&gt;=5000,M49&lt;8000),(6.65+(M49-5000)*0.04%),IF(AND(M49&gt;=2000,M49&lt;5000),(4.25+(PM49-2000)*0.08%),IF(AND(M49&gt;=1000,M49&lt;2000),(2.75+(M49-1000)*0.15%),IF(AND(M49&gt;=100,M49&lt;1000),(0.5+(M49-100)*0.25%),IF(AND(M49&gt;0,M49&lt;100),M49*0.5%)))))))</f>
        <v>1.6026315</v>
      </c>
      <c r="M67" s="294">
        <f ca="1">ROUND(L67*0.9,1)</f>
        <v>1.4</v>
      </c>
      <c r="N67" s="2329"/>
      <c r="Z67" s="1623"/>
      <c r="AI67" s="1561"/>
    </row>
    <row r="68" spans="1:35" ht="14.25" customHeight="1" thickBot="1">
      <c r="A68" s="168" t="s">
        <v>329</v>
      </c>
      <c r="B68" s="169" t="s">
        <v>1389</v>
      </c>
      <c r="C68" s="2354">
        <f ca="1">IF(C67&lt;=0,0,ROUND(C67*D68,0))</f>
        <v>28</v>
      </c>
      <c r="D68" s="2355">
        <f>'数据-取费表'!B41</f>
        <v>5.5000000000000007E-2</v>
      </c>
      <c r="E68" s="170"/>
      <c r="F68" s="1670"/>
      <c r="G68" s="1670"/>
      <c r="H68" s="151"/>
      <c r="I68" s="121"/>
      <c r="J68" s="3268"/>
      <c r="K68" s="1245" t="s">
        <v>1390</v>
      </c>
      <c r="L68" s="1245">
        <f ca="1">IF(M49&gt;10000,M49*0.5%,IF(AND(M49&gt;5000,M49&lt;=10000),M49*1%,IF(AND(M49&gt;1000,M49&lt;=5000),M49*2%,IF(AND(M49&gt;200,M49&lt;=1000),M49*3%,M49*5%))))</f>
        <v>16.231577999999999</v>
      </c>
      <c r="M68" s="294">
        <f ca="1">ROUND(L68,1)</f>
        <v>16.2</v>
      </c>
      <c r="N68" s="2329"/>
      <c r="Z68" s="1623"/>
      <c r="AI68" s="1561"/>
    </row>
    <row r="69" spans="1:35" ht="16.5" customHeight="1">
      <c r="A69" s="1672"/>
      <c r="B69" s="1673"/>
      <c r="C69" s="1674"/>
      <c r="D69" s="1675"/>
      <c r="E69" s="1676"/>
      <c r="F69" s="1466"/>
      <c r="G69" s="1466"/>
      <c r="H69" s="1467"/>
      <c r="I69" s="646"/>
      <c r="J69" s="3268"/>
      <c r="K69" s="1245" t="s">
        <v>1391</v>
      </c>
      <c r="L69" s="1245"/>
      <c r="M69" s="294">
        <f ca="1">ROUND(SUM(M63:M68),0)</f>
        <v>41</v>
      </c>
      <c r="N69" s="2331">
        <f ca="1">M69/M49</f>
        <v>7.5778214539584512E-2</v>
      </c>
      <c r="Z69" s="1623"/>
      <c r="AI69" s="1561"/>
    </row>
    <row r="70" spans="1:35" s="642" customFormat="1" ht="14.4" thickBot="1">
      <c r="A70" s="3312" t="s">
        <v>1392</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4" t="s">
        <v>1373</v>
      </c>
      <c r="B71" s="3305"/>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1393</v>
      </c>
      <c r="C72" s="2353">
        <f ca="1">ROUND(D45/(1+'数据-取费表'!C42),0)</f>
        <v>515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1394</v>
      </c>
      <c r="C73" s="2353">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1396</v>
      </c>
      <c r="C75" s="2356"/>
      <c r="D75" s="162" t="s">
        <v>26</v>
      </c>
      <c r="E75" s="176" t="s">
        <v>1397</v>
      </c>
      <c r="F75" s="2357"/>
      <c r="G75" s="176" t="s">
        <v>1398</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59">
        <v>0.05</v>
      </c>
      <c r="E76" s="3309" t="s">
        <v>1400</v>
      </c>
      <c r="F76" s="3308"/>
      <c r="G76" s="3308"/>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0">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1">
        <f ca="1">ROUND(D45*D78/(1+'数据-取费表'!C42),0)</f>
        <v>3</v>
      </c>
      <c r="D78" s="2362">
        <f>'数据-取费表'!B43</f>
        <v>5.000000000000001E-3</v>
      </c>
      <c r="E78" s="3301" t="s">
        <v>1404</v>
      </c>
      <c r="F78" s="3302"/>
      <c r="G78" s="3302"/>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1405</v>
      </c>
      <c r="C79" s="2353">
        <f ca="1">C72-C73</f>
        <v>512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3">
        <f ca="1">IF(C79&lt;=0,0,C79/C73)</f>
        <v>170.66666666666666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1407</v>
      </c>
      <c r="C81" s="2364">
        <f ca="1">ROUND(IF(C79&lt;=0,0,IF(C80&gt;=200%,C79*60%-C73*35%,IF(C80&gt;=100%,C79*50%-C73*15%,IF(C80&gt;=50%,C79*40%-C73*5%,IF(C80&lt;50%,C79*30%,0))))),0)</f>
        <v>306</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2" t="s">
        <v>1408</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4" t="s">
        <v>1373</v>
      </c>
      <c r="B84" s="3305"/>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1393</v>
      </c>
      <c r="C85" s="2353">
        <f ca="1">ROUND(D45/(1+'数据-取费表'!C42),0)</f>
        <v>515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1394</v>
      </c>
      <c r="C86" s="2353">
        <f ca="1">IF(H88="仅含出让金",C87+C90+C91+C92+C93+C94,C87+C91+C92+C93+C94)</f>
        <v>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1409</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1410</v>
      </c>
      <c r="C88" s="2367"/>
      <c r="D88" s="2362"/>
      <c r="E88" s="185" t="s">
        <v>1411</v>
      </c>
      <c r="F88" s="2148"/>
      <c r="G88" s="186" t="s">
        <v>1412</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1401</v>
      </c>
      <c r="C89" s="2361">
        <f>ROUND(C88*D89,0)</f>
        <v>0</v>
      </c>
      <c r="D89" s="2362">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1414</v>
      </c>
      <c r="C90" s="2367"/>
      <c r="D90" s="2362"/>
      <c r="E90" s="185" t="str">
        <f>IF(H88="-","土地取得成本中已包含该笔费用"," ")</f>
        <v xml:space="preserve"> </v>
      </c>
      <c r="F90" s="2148"/>
      <c r="G90" s="3270" t="s">
        <v>2127</v>
      </c>
      <c r="H90" s="3271"/>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1">
        <f>IF(H91="——",成本法!C33,I91)</f>
        <v>0</v>
      </c>
      <c r="D91" s="2362"/>
      <c r="E91" s="3301" t="s">
        <v>1417</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1">
        <f>ROUND((C87+C90+C91)*D92,0)</f>
        <v>0</v>
      </c>
      <c r="D92" s="2368"/>
      <c r="E92" s="3301" t="s">
        <v>1420</v>
      </c>
      <c r="F92" s="3302"/>
      <c r="G92" s="3302"/>
      <c r="H92" s="3303"/>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1">
        <f ca="1">ROUND(D45*D93/(1+'数据-取费表'!C42),0)</f>
        <v>3</v>
      </c>
      <c r="D93" s="2362">
        <f>'数据-取费表'!B43</f>
        <v>5.000000000000001E-3</v>
      </c>
      <c r="E93" s="3301" t="s">
        <v>1404</v>
      </c>
      <c r="F93" s="3302"/>
      <c r="G93" s="3302"/>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7">
        <f>ROUND((C87+C90+C91)*D94,0)</f>
        <v>0</v>
      </c>
      <c r="D94" s="2362">
        <v>0.2</v>
      </c>
      <c r="E94" s="3346" t="s">
        <v>1424</v>
      </c>
      <c r="F94" s="3347"/>
      <c r="G94" s="3347"/>
      <c r="H94" s="334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1405</v>
      </c>
      <c r="C95" s="2353">
        <f ca="1">ROUND(C85-C86,0)</f>
        <v>512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3">
        <f ca="1">IF(C95&lt;=0,0,C95/C86)</f>
        <v>170.66666666666666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1407</v>
      </c>
      <c r="C97" s="2364">
        <f ca="1">ROUND(IF(C95&lt;=0,0,IF(C96&gt;=200%,C95*60%-C86*35%,IF(C96&gt;=100%,C95*50%-C86*15%,IF(C96&gt;=50%,C95*40%-C86*5%,IF(C96&lt;50%,C95*30%,0))))),0)</f>
        <v>306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51" t="s">
        <v>1426</v>
      </c>
      <c r="B100" s="3252"/>
      <c r="C100" s="3252"/>
      <c r="D100" s="3286"/>
      <c r="E100" s="3252" t="s">
        <v>1427</v>
      </c>
      <c r="F100" s="3252"/>
      <c r="G100" s="3252"/>
      <c r="H100" s="3286"/>
      <c r="I100" s="121"/>
    </row>
    <row r="101" spans="1:35" ht="18.75" customHeight="1">
      <c r="A101" s="3294" t="s">
        <v>1428</v>
      </c>
      <c r="B101" s="3295"/>
      <c r="C101" s="2370" t="str">
        <f>C4</f>
        <v>42号比较法-商业</v>
      </c>
      <c r="D101" s="2371" t="str">
        <f>D4</f>
        <v>42号收益法 (元)</v>
      </c>
      <c r="E101" s="3264" t="s">
        <v>1429</v>
      </c>
      <c r="F101" s="3265"/>
      <c r="G101" s="1687" t="s">
        <v>1430</v>
      </c>
      <c r="H101" s="2380">
        <f ca="1">H118</f>
        <v>541.05259999999998</v>
      </c>
      <c r="I101" s="121"/>
    </row>
    <row r="102" spans="1:35" ht="18.75" customHeight="1">
      <c r="A102" s="3296" t="s">
        <v>1431</v>
      </c>
      <c r="B102" s="2369" t="s">
        <v>1430</v>
      </c>
      <c r="C102" s="2370">
        <f ca="1">IF(D32="楼面单价",ROUND(C19,0),C19)</f>
        <v>625</v>
      </c>
      <c r="D102" s="2371">
        <f ca="1">IF(D32="楼面单价",ROUND(D19,0),D19)</f>
        <v>345</v>
      </c>
      <c r="E102" s="3264"/>
      <c r="F102" s="3265"/>
      <c r="G102" s="1687" t="s">
        <v>1432</v>
      </c>
      <c r="H102" s="2340">
        <f ca="1">I118</f>
        <v>35040</v>
      </c>
      <c r="I102" s="121"/>
    </row>
    <row r="103" spans="1:35" ht="42.75" customHeight="1">
      <c r="A103" s="3296"/>
      <c r="B103" s="2369" t="s">
        <v>1432</v>
      </c>
      <c r="C103" s="2372">
        <f ca="1">C20</f>
        <v>40485</v>
      </c>
      <c r="D103" s="2373">
        <f ca="1">D20</f>
        <v>22334</v>
      </c>
      <c r="E103" s="3257" t="s">
        <v>1433</v>
      </c>
      <c r="F103" s="3258"/>
      <c r="G103" s="1688" t="s">
        <v>1434</v>
      </c>
      <c r="H103" s="2380">
        <f>IF(D36="正常操作",H104+H105+H106,H105+H106)</f>
        <v>0</v>
      </c>
      <c r="I103" s="121"/>
    </row>
    <row r="104" spans="1:35" ht="18.75" customHeight="1">
      <c r="A104" s="3296" t="s">
        <v>1435</v>
      </c>
      <c r="B104" s="2374" t="s">
        <v>1430</v>
      </c>
      <c r="C104" s="2375">
        <f ca="1">H118</f>
        <v>541.05259999999998</v>
      </c>
      <c r="D104" s="2376"/>
      <c r="E104" s="1555" t="s">
        <v>1436</v>
      </c>
      <c r="F104" s="1548"/>
      <c r="G104" s="1688" t="s">
        <v>1434</v>
      </c>
      <c r="H104" s="2381">
        <f>IF(D36="同一抵押权人同一抵押物续贷",C36&amp;"（续贷，未扣减，详见特别提示）",C36)</f>
        <v>0</v>
      </c>
      <c r="I104" s="121"/>
    </row>
    <row r="105" spans="1:35" ht="18.75" customHeight="1" thickBot="1">
      <c r="A105" s="3306"/>
      <c r="B105" s="2377" t="s">
        <v>1432</v>
      </c>
      <c r="C105" s="2378">
        <f ca="1">I118</f>
        <v>35040</v>
      </c>
      <c r="D105" s="2379"/>
      <c r="E105" s="1555" t="s">
        <v>1437</v>
      </c>
      <c r="F105" s="1548"/>
      <c r="G105" s="1688" t="s">
        <v>1434</v>
      </c>
      <c r="H105" s="2382">
        <f>C37</f>
        <v>0</v>
      </c>
      <c r="I105" s="121"/>
    </row>
    <row r="106" spans="1:35" ht="18.75" customHeight="1">
      <c r="A106" s="646" t="s">
        <v>1438</v>
      </c>
      <c r="B106" s="646"/>
      <c r="C106" s="646"/>
      <c r="D106" s="646"/>
      <c r="E106" s="1689" t="s">
        <v>1439</v>
      </c>
      <c r="F106" s="1548"/>
      <c r="G106" s="1688" t="s">
        <v>1434</v>
      </c>
      <c r="H106" s="2382">
        <f>C38</f>
        <v>0</v>
      </c>
      <c r="I106" s="121"/>
    </row>
    <row r="107" spans="1:35" ht="18.75" customHeight="1">
      <c r="A107" s="121"/>
      <c r="B107" s="121"/>
      <c r="C107" s="121"/>
      <c r="D107" s="121"/>
      <c r="E107" s="3297" t="str">
        <f>IF(项目基本情况!E8="已注销","——","3.房地产抵押价值")</f>
        <v>3.房地产抵押价值</v>
      </c>
      <c r="F107" s="3265"/>
      <c r="G107" s="1687" t="s">
        <v>1430</v>
      </c>
      <c r="H107" s="2380">
        <f ca="1">IF(E107="——","——",H101-H103)</f>
        <v>541.05259999999998</v>
      </c>
      <c r="I107" s="121"/>
    </row>
    <row r="108" spans="1:35" ht="18.75" customHeight="1">
      <c r="A108" s="121"/>
      <c r="B108" s="121"/>
      <c r="C108" s="121"/>
      <c r="D108" s="121"/>
      <c r="E108" s="3297"/>
      <c r="F108" s="3265"/>
      <c r="G108" s="1687" t="s">
        <v>1432</v>
      </c>
      <c r="H108" s="2340">
        <f ca="1">IF(H107=H101,H102,ROUND(H107*10000/'数据-汇总表'!E3,0))</f>
        <v>35040</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7" t="s">
        <v>1430</v>
      </c>
      <c r="H109" s="2383" t="str">
        <f>IF(E109="——","——",H101-H105-H106)</f>
        <v>——</v>
      </c>
      <c r="I109" s="121"/>
    </row>
    <row r="110" spans="1:35" ht="18.75" customHeight="1">
      <c r="A110" s="121"/>
      <c r="B110" s="121"/>
      <c r="C110" s="121"/>
      <c r="D110" s="121"/>
      <c r="E110" s="3297"/>
      <c r="F110" s="3265"/>
      <c r="G110" s="1687" t="s">
        <v>1432</v>
      </c>
      <c r="H110" s="2340"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7" t="s">
        <v>1430</v>
      </c>
      <c r="H111" s="2380" t="str">
        <f>IF(E111="——","——",N59)</f>
        <v>——</v>
      </c>
      <c r="I111" s="121"/>
    </row>
    <row r="112" spans="1:35" ht="18.75" customHeight="1" thickBot="1">
      <c r="A112" s="121"/>
      <c r="B112" s="121"/>
      <c r="C112" s="121"/>
      <c r="D112" s="121"/>
      <c r="E112" s="3299"/>
      <c r="F112" s="3300"/>
      <c r="G112" s="1690" t="s">
        <v>1432</v>
      </c>
      <c r="H112" s="2384" t="str">
        <f>IF(E111="——","——",N61)</f>
        <v>——</v>
      </c>
      <c r="I112" s="121"/>
    </row>
    <row r="113" spans="1:27" ht="18.75" customHeight="1">
      <c r="A113" s="121"/>
      <c r="B113" s="121"/>
      <c r="C113" s="121"/>
      <c r="D113" s="121"/>
      <c r="E113" s="3307" t="s">
        <v>1438</v>
      </c>
      <c r="F113" s="3307"/>
      <c r="G113" s="3307"/>
      <c r="H113" s="3307"/>
      <c r="I113" s="121"/>
    </row>
    <row r="114" spans="1:27" ht="3.75" customHeight="1">
      <c r="A114" s="646"/>
      <c r="B114" s="646"/>
      <c r="C114" s="646"/>
      <c r="D114" s="646"/>
      <c r="E114" s="1671"/>
      <c r="F114" s="1671"/>
      <c r="G114" s="1671"/>
      <c r="H114" s="1671"/>
      <c r="I114" s="646"/>
    </row>
    <row r="115" spans="1:27" ht="18.75" customHeight="1">
      <c r="A115" s="3315" t="s">
        <v>1440</v>
      </c>
      <c r="B115" s="3316"/>
      <c r="C115" s="3316"/>
      <c r="D115" s="3316"/>
      <c r="E115" s="3316"/>
      <c r="F115" s="3316"/>
      <c r="G115" s="3316"/>
      <c r="H115" s="3316"/>
      <c r="I115" s="3317"/>
    </row>
    <row r="116" spans="1:27" ht="27" customHeight="1">
      <c r="A116" s="3272" t="s">
        <v>1441</v>
      </c>
      <c r="B116" s="3276" t="s">
        <v>1442</v>
      </c>
      <c r="C116" s="3276" t="s">
        <v>1443</v>
      </c>
      <c r="D116" s="3282" t="s">
        <v>1444</v>
      </c>
      <c r="E116" s="3283"/>
      <c r="F116" s="3314" t="s">
        <v>1445</v>
      </c>
      <c r="G116" s="3314"/>
      <c r="H116" s="3272" t="s">
        <v>1446</v>
      </c>
      <c r="I116" s="3272"/>
    </row>
    <row r="117" spans="1:27" ht="18.75" customHeight="1">
      <c r="A117" s="3272"/>
      <c r="B117" s="3277"/>
      <c r="C117" s="3277"/>
      <c r="D117" s="2150" t="s">
        <v>1447</v>
      </c>
      <c r="E117" s="2150" t="s">
        <v>1448</v>
      </c>
      <c r="F117" s="2150" t="s">
        <v>1447</v>
      </c>
      <c r="G117" s="2150" t="s">
        <v>1449</v>
      </c>
      <c r="H117" s="2150" t="s">
        <v>1447</v>
      </c>
      <c r="I117" s="2150" t="s">
        <v>1449</v>
      </c>
    </row>
    <row r="118" spans="1:27" ht="24.75" customHeight="1">
      <c r="A118" s="2385" t="str">
        <f>项目基本情况!S2</f>
        <v>北京市大兴区兴丰街（二段）36-60号（双号）2幢1至2层42、54、56号房地产</v>
      </c>
      <c r="B118" s="2150">
        <f>M18</f>
        <v>154.41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541.05259999999998</v>
      </c>
      <c r="I118" s="2150">
        <f ca="1">ROUND(IF(D32="楼面单价",C32,H118*10000/B118),0)</f>
        <v>35040</v>
      </c>
    </row>
    <row r="119" spans="1:27" ht="18.75" customHeight="1">
      <c r="A119" s="3272" t="s">
        <v>1450</v>
      </c>
      <c r="B119" s="3272"/>
      <c r="C119" s="3272"/>
      <c r="D119" s="3278" t="str">
        <f>NUMBERSTRING(INT(D118*10000),2)&amp;"元整"</f>
        <v>零元整</v>
      </c>
      <c r="E119" s="3279"/>
      <c r="F119" s="3278" t="str">
        <f>NUMBERSTRING(INT(F118*10000),2)&amp;"元整"</f>
        <v>零元整</v>
      </c>
      <c r="G119" s="3279"/>
      <c r="H119" s="3278" t="str">
        <f ca="1">NUMBERSTRING(INT(H118*10000),2)&amp;"元整"</f>
        <v>伍佰肆拾壹万零伍佰贰拾陆元整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8" t="s">
        <v>1450</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房地产抵押价值</v>
      </c>
      <c r="B122" s="3284"/>
      <c r="C122" s="3284"/>
      <c r="D122" s="3273">
        <f ca="1">H107</f>
        <v>541.05259999999998</v>
      </c>
      <c r="E122" s="3274"/>
      <c r="F122" s="3274"/>
      <c r="G122" s="3274"/>
      <c r="H122" s="3274"/>
      <c r="I122" s="3275"/>
      <c r="AA122" s="684"/>
    </row>
    <row r="123" spans="1:27" ht="18.75" customHeight="1">
      <c r="A123" s="3272" t="s">
        <v>1450</v>
      </c>
      <c r="B123" s="3272"/>
      <c r="C123" s="3272"/>
      <c r="D123" s="3278" t="str">
        <f ca="1">NUMBERSTRING(INT(D122*10000),2)&amp;"元整"</f>
        <v>伍佰肆拾壹万零伍佰贰拾陆元整</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1450</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1450</v>
      </c>
      <c r="B127" s="3272"/>
      <c r="C127" s="3272"/>
      <c r="D127" s="3278" t="e">
        <f>NUMBERSTRING(INT(D126*10000),2)&amp;"元整"</f>
        <v>#VALUE!</v>
      </c>
      <c r="E127" s="3280"/>
      <c r="F127" s="3280"/>
      <c r="G127" s="3280"/>
      <c r="H127" s="3280"/>
      <c r="I127" s="3279"/>
      <c r="AA127" s="684"/>
    </row>
    <row r="128" spans="1:27" ht="21.75" customHeight="1">
      <c r="A128" s="3281" t="s">
        <v>1451</v>
      </c>
      <c r="B128" s="3281"/>
      <c r="C128" s="3281"/>
      <c r="D128" s="3281"/>
      <c r="E128" s="3281"/>
      <c r="F128" s="3281"/>
      <c r="G128" s="3281"/>
      <c r="H128" s="3281"/>
      <c r="I128" s="328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BWT/Lm4K6M9auZsuMK+WDMFR5uHNK0yDBQgfGU4zH1Cb0WKVDtnZ9eIsKNzR96nfHQDFSLJHKydW/XGKrRf1/w==" saltValue="7L2VosGm8HXGH0unmqSaK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C5:D7">
    <cfRule type="cellIs" dxfId="202" priority="10" stopIfTrue="1" operator="equal">
      <formula>25</formula>
    </cfRule>
  </conditionalFormatting>
  <conditionalFormatting sqref="C8:D13">
    <cfRule type="cellIs" dxfId="201" priority="8" stopIfTrue="1" operator="equal">
      <formula>15</formula>
    </cfRule>
  </conditionalFormatting>
  <conditionalFormatting sqref="C14:D16">
    <cfRule type="cellIs" dxfId="200" priority="6" stopIfTrue="1" operator="equal">
      <formula>30</formula>
    </cfRule>
  </conditionalFormatting>
  <conditionalFormatting sqref="E36">
    <cfRule type="expression" dxfId="19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1459</v>
      </c>
      <c r="B1" s="1374"/>
      <c r="C1" s="190"/>
      <c r="D1" s="190"/>
      <c r="E1" s="190"/>
      <c r="F1" s="190"/>
      <c r="G1" s="1062">
        <f>MATCH(B1,'数据-取费表'!A6:A16,0)+5</f>
        <v>9</v>
      </c>
    </row>
    <row r="2" spans="1:9" s="192" customFormat="1" ht="18" customHeight="1">
      <c r="A2" s="193" t="s">
        <v>1460</v>
      </c>
      <c r="B2" s="194">
        <f ca="1">IF(D2="——",C52,C52-E2)</f>
        <v>176</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3670</v>
      </c>
      <c r="C3" s="191" t="s">
        <v>1463</v>
      </c>
      <c r="D3" s="191"/>
      <c r="E3" s="191"/>
      <c r="F3" s="191"/>
      <c r="G3" s="191"/>
    </row>
    <row r="4" spans="1:9" s="200" customFormat="1" ht="16.2">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160</v>
      </c>
      <c r="F9" s="213"/>
      <c r="G9" s="1715"/>
      <c r="H9" s="1070"/>
      <c r="I9" s="1716" t="s">
        <v>1477</v>
      </c>
    </row>
    <row r="10" spans="1:9" s="206" customFormat="1" ht="13.5" customHeight="1">
      <c r="A10" s="733" t="s">
        <v>356</v>
      </c>
      <c r="B10" s="216" t="s">
        <v>1478</v>
      </c>
      <c r="C10" s="217">
        <f ca="1">ROUND(D10*E10/10000,0)</f>
        <v>10</v>
      </c>
      <c r="D10" s="795">
        <f ca="1">IF(B1="",'数据-汇总表'!E6,IF(INDIRECT("'数据-取费表'!c"&amp;$G$1)="住宅",INDIRECT("'数据-取费表'!s"&amp;$G$1),INDIRECT("'数据-取费表'!k"&amp;$G$1)+INDIRECT("'数据-取费表'!s"&amp;$G$1)))</f>
        <v>479.51</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10</v>
      </c>
      <c r="D19" s="204">
        <f ca="1">D9+D10</f>
        <v>479.51</v>
      </c>
      <c r="E19" s="203">
        <f>'数据-取费表'!B31</f>
        <v>200</v>
      </c>
      <c r="F19" s="223"/>
      <c r="G19" s="1714"/>
    </row>
    <row r="20" spans="1:7" s="206" customFormat="1" ht="13.5" customHeight="1">
      <c r="A20" s="247" t="s">
        <v>1491</v>
      </c>
      <c r="B20" s="202" t="s">
        <v>1492</v>
      </c>
      <c r="C20" s="224">
        <f ca="1">ROUND((C5+C19)*F20,0)</f>
        <v>0</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41">
        <f ca="1">ROUND(SUM(C23:C25),0)</f>
        <v>1</v>
      </c>
      <c r="D22" s="227">
        <f ca="1">C26</f>
        <v>5.9999999999999995E-4</v>
      </c>
      <c r="E22" s="228" t="s">
        <v>1496</v>
      </c>
      <c r="F22" s="229">
        <f ca="1">'数据-取费表'!B40</f>
        <v>3.1E-2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0</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1</v>
      </c>
      <c r="D24" s="230"/>
      <c r="E24" s="230"/>
      <c r="F24" s="231"/>
      <c r="G24" s="232" t="s">
        <v>1505</v>
      </c>
    </row>
    <row r="25" spans="1:7" s="206" customFormat="1" ht="24">
      <c r="A25" s="734" t="s">
        <v>1506</v>
      </c>
      <c r="B25" s="207" t="s">
        <v>1507</v>
      </c>
      <c r="C25" s="1042">
        <f ca="1">ROUND(IF('数据-取费表'!B22&lt;=1,C20*F22*'数据-取费表'!B23/2,C20*(POWER((1+F22),'数据-取费表'!B23/2)-1)),0)</f>
        <v>0</v>
      </c>
      <c r="D25" s="230"/>
      <c r="E25" s="233"/>
      <c r="F25" s="231"/>
      <c r="G25" s="234" t="s">
        <v>1508</v>
      </c>
    </row>
    <row r="26" spans="1:7" s="206" customFormat="1">
      <c r="A26" s="734" t="s">
        <v>350</v>
      </c>
      <c r="B26" s="207" t="s">
        <v>1509</v>
      </c>
      <c r="C26" s="230">
        <f ca="1">ROUND(IF('数据-取费表'!B22&lt;=1,F21*F22*'数据-取费表'!B23/2,F21*(POWER((1+F22),'数据-取费表'!B23/2)-1)),4)</f>
        <v>5.9999999999999995E-4</v>
      </c>
      <c r="D26" s="230"/>
      <c r="E26" s="233"/>
      <c r="F26" s="231"/>
      <c r="G26" s="235"/>
    </row>
    <row r="27" spans="1:7" s="206" customFormat="1" ht="26.4">
      <c r="A27" s="247" t="s">
        <v>1510</v>
      </c>
      <c r="B27" s="236" t="s">
        <v>1511</v>
      </c>
      <c r="C27" s="237">
        <f ca="1">C28</f>
        <v>2</v>
      </c>
      <c r="D27" s="227">
        <f ca="1">C29</f>
        <v>4.0000000000000001E-3</v>
      </c>
      <c r="E27" s="228" t="s">
        <v>1512</v>
      </c>
      <c r="F27" s="238">
        <f ca="1">IF(B1="",'数据-取费表'!Q16,INDIRECT("'数据-取费表'!q"&amp;$G$1))</f>
        <v>0.2</v>
      </c>
      <c r="G27" s="239" t="s">
        <v>1513</v>
      </c>
    </row>
    <row r="28" spans="1:7" s="206" customFormat="1" ht="13.5" customHeight="1">
      <c r="A28" s="734" t="s">
        <v>346</v>
      </c>
      <c r="B28" s="240" t="s">
        <v>1514</v>
      </c>
      <c r="C28" s="241">
        <f ca="1">ROUND((C5+C19+C20)*F27*'数据-取费表'!B21/'数据-取费表'!B20,0)</f>
        <v>2</v>
      </c>
      <c r="D28" s="227"/>
      <c r="E28" s="228"/>
      <c r="F28" s="238"/>
      <c r="G28" s="239"/>
    </row>
    <row r="29" spans="1:7" s="206" customFormat="1" ht="13.5" customHeight="1">
      <c r="A29" s="734" t="s">
        <v>347</v>
      </c>
      <c r="B29" s="240" t="s">
        <v>1515</v>
      </c>
      <c r="C29" s="230">
        <f ca="1">ROUND(C21*F27*'数据-取费表'!B21/'数据-取费表'!B20,4)</f>
        <v>4.0000000000000001E-3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14</v>
      </c>
      <c r="D31" s="222"/>
      <c r="E31" s="203"/>
      <c r="F31" s="242"/>
      <c r="G31" s="226" t="s">
        <v>1520</v>
      </c>
    </row>
    <row r="32" spans="1:7" s="200" customFormat="1" ht="16.2">
      <c r="A32" s="244" t="s">
        <v>1521</v>
      </c>
      <c r="B32" s="245"/>
      <c r="C32" s="245"/>
      <c r="D32" s="245"/>
      <c r="E32" s="245"/>
      <c r="F32" s="245"/>
      <c r="G32" s="246"/>
    </row>
    <row r="33" spans="1:7" s="206" customFormat="1" ht="13.5" customHeight="1">
      <c r="A33" s="247" t="s">
        <v>337</v>
      </c>
      <c r="B33" s="202" t="s">
        <v>1522</v>
      </c>
      <c r="C33" s="248">
        <f ca="1">SUM(C34:C38)</f>
        <v>161</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144</v>
      </c>
      <c r="D34" s="209"/>
      <c r="E34" s="212"/>
      <c r="F34" s="249">
        <f ca="1">IF('数据-取费表'!B24=0,1,IF(B1="",'数据-取费表'!N16,INDIRECT("'数据-取费表'!n"&amp;$G$1)))</f>
        <v>1</v>
      </c>
      <c r="G34" s="211" t="s">
        <v>1524</v>
      </c>
    </row>
    <row r="35" spans="1:7" ht="13.5" customHeight="1">
      <c r="A35" s="734" t="s">
        <v>351</v>
      </c>
      <c r="B35" s="207" t="s">
        <v>1525</v>
      </c>
      <c r="C35" s="212">
        <f ca="1">ROUND(C34*F35,0)</f>
        <v>4</v>
      </c>
      <c r="D35" s="212"/>
      <c r="E35" s="212"/>
      <c r="F35" s="251">
        <f>'数据-取费表'!B33</f>
        <v>0.03</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4" t="s">
        <v>353</v>
      </c>
      <c r="B37" s="207" t="s">
        <v>1529</v>
      </c>
      <c r="C37" s="241">
        <f ca="1">ROUND(E37*D37*F34/10000,0)</f>
        <v>10</v>
      </c>
      <c r="D37" s="209">
        <f ca="1">D19</f>
        <v>479.51</v>
      </c>
      <c r="E37" s="241">
        <f>'数据-取费表'!B35</f>
        <v>200</v>
      </c>
      <c r="F37" s="251"/>
      <c r="G37" s="253" t="s">
        <v>1530</v>
      </c>
    </row>
    <row r="38" spans="1:7" ht="13.5" customHeight="1">
      <c r="A38" s="734" t="s">
        <v>354</v>
      </c>
      <c r="B38" s="207" t="s">
        <v>1531</v>
      </c>
      <c r="C38" s="212">
        <f ca="1">ROUND(C34*F38,0)</f>
        <v>3</v>
      </c>
      <c r="D38" s="212"/>
      <c r="E38" s="212"/>
      <c r="F38" s="251">
        <f>'数据-取费表'!B36</f>
        <v>0.02</v>
      </c>
      <c r="G38" s="211" t="s">
        <v>1526</v>
      </c>
    </row>
    <row r="39" spans="1:7" s="206" customFormat="1" ht="13.5" customHeight="1">
      <c r="A39" s="247" t="s">
        <v>1532</v>
      </c>
      <c r="B39" s="202" t="s">
        <v>1533</v>
      </c>
      <c r="C39" s="224">
        <f ca="1">ROUND(C33*F20,0)</f>
        <v>3</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5</v>
      </c>
      <c r="D41" s="227">
        <f ca="1">C44</f>
        <v>5.9999999999999995E-4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5</v>
      </c>
      <c r="D42" s="230"/>
      <c r="E42" s="230"/>
      <c r="F42" s="231"/>
      <c r="G42" s="3351" t="s">
        <v>1542</v>
      </c>
    </row>
    <row r="43" spans="1:7" ht="13.5" customHeight="1">
      <c r="A43" s="734" t="s">
        <v>347</v>
      </c>
      <c r="B43" s="207" t="s">
        <v>1543</v>
      </c>
      <c r="C43" s="230">
        <f ca="1">ROUND(IF('数据-取费表'!B22&lt;=1,C39*F22*'数据-取费表'!B21/2,C39*(POWER((1+F22),'数据-取费表'!B21/2)-1)),0)</f>
        <v>0</v>
      </c>
      <c r="D43" s="230"/>
      <c r="E43" s="230"/>
      <c r="F43" s="231"/>
      <c r="G43" s="3352"/>
    </row>
    <row r="44" spans="1:7" ht="13.5" customHeight="1">
      <c r="A44" s="734" t="s">
        <v>348</v>
      </c>
      <c r="B44" s="207" t="s">
        <v>1544</v>
      </c>
      <c r="C44" s="230">
        <f ca="1">ROUND(IF('数据-取费表'!B22&lt;=1,C40*F22*'数据-取费表'!B21/2,C40*(POWER((1+F22),'数据-取费表'!B21/2)-1)),4)</f>
        <v>5.9999999999999995E-4</v>
      </c>
      <c r="D44" s="230"/>
      <c r="E44" s="230"/>
      <c r="F44" s="231"/>
      <c r="G44" s="3353"/>
    </row>
    <row r="45" spans="1:7" s="206" customFormat="1" ht="13.5" customHeight="1">
      <c r="A45" s="247" t="s">
        <v>1545</v>
      </c>
      <c r="B45" s="236" t="s">
        <v>1511</v>
      </c>
      <c r="C45" s="237">
        <f ca="1">C46</f>
        <v>33</v>
      </c>
      <c r="D45" s="227">
        <f ca="1">C47</f>
        <v>4.0000000000000001E-3</v>
      </c>
      <c r="E45" s="228" t="s">
        <v>1537</v>
      </c>
      <c r="F45" s="238">
        <f ca="1">F27</f>
        <v>0.2</v>
      </c>
      <c r="G45" s="239" t="s">
        <v>1546</v>
      </c>
    </row>
    <row r="46" spans="1:7" s="206" customFormat="1" ht="13.5" customHeight="1">
      <c r="A46" s="734" t="s">
        <v>346</v>
      </c>
      <c r="B46" s="240" t="s">
        <v>1547</v>
      </c>
      <c r="C46" s="241">
        <f ca="1">ROUND((C33+C39)*F27,0)</f>
        <v>33</v>
      </c>
      <c r="D46" s="255"/>
      <c r="E46" s="228"/>
      <c r="F46" s="238"/>
      <c r="G46" s="239"/>
    </row>
    <row r="47" spans="1:7" s="206" customFormat="1" ht="13.5" customHeight="1">
      <c r="A47" s="734" t="s">
        <v>347</v>
      </c>
      <c r="B47" s="240" t="s">
        <v>1548</v>
      </c>
      <c r="C47" s="230">
        <f ca="1">ROUND(C40*F27,4)</f>
        <v>4.0000000000000001E-3</v>
      </c>
      <c r="D47" s="255"/>
      <c r="E47" s="228"/>
      <c r="F47" s="238"/>
      <c r="G47" s="239"/>
    </row>
    <row r="48" spans="1:7" s="206" customFormat="1" ht="13.5" customHeight="1">
      <c r="A48" s="247" t="s">
        <v>1510</v>
      </c>
      <c r="B48" s="202" t="s">
        <v>1549</v>
      </c>
      <c r="C48" s="227">
        <f>ROUND(F30/(1+'数据-取费表'!C42),4)</f>
        <v>5.2400000000000002E-2</v>
      </c>
      <c r="D48" s="228" t="s">
        <v>1537</v>
      </c>
      <c r="E48" s="224"/>
      <c r="F48" s="229">
        <f>F30</f>
        <v>5.5000000000000007E-2</v>
      </c>
      <c r="G48" s="226" t="s">
        <v>1550</v>
      </c>
    </row>
    <row r="49" spans="1:7" ht="16.5" customHeight="1">
      <c r="A49" s="247" t="s">
        <v>1516</v>
      </c>
      <c r="B49" s="202" t="s">
        <v>1551</v>
      </c>
      <c r="C49" s="224">
        <f ca="1">ROUND((C33+C39+C41+C45)/(1-C40-D41-D45-C48),0)</f>
        <v>219</v>
      </c>
      <c r="D49" s="224"/>
      <c r="E49" s="224"/>
      <c r="F49" s="256"/>
      <c r="G49" s="226" t="s">
        <v>1552</v>
      </c>
    </row>
    <row r="50" spans="1:7" s="250" customFormat="1" ht="24">
      <c r="A50" s="247" t="s">
        <v>1553</v>
      </c>
      <c r="B50" s="202" t="s">
        <v>1554</v>
      </c>
      <c r="C50" s="224"/>
      <c r="D50" s="224"/>
      <c r="E50" s="224"/>
      <c r="F50" s="256">
        <f>IF('数据-取费表'!B24=0,'数据-取费表'!N16,1)</f>
        <v>0.74</v>
      </c>
      <c r="G50" s="239" t="s">
        <v>1555</v>
      </c>
    </row>
    <row r="51" spans="1:7" ht="16.5" customHeight="1">
      <c r="A51" s="247" t="s">
        <v>1556</v>
      </c>
      <c r="B51" s="202" t="s">
        <v>1557</v>
      </c>
      <c r="C51" s="224">
        <f ca="1">ROUND(C49*F50,0)</f>
        <v>162</v>
      </c>
      <c r="D51" s="224"/>
      <c r="E51" s="224"/>
      <c r="F51" s="256"/>
      <c r="G51" s="226" t="s">
        <v>1558</v>
      </c>
    </row>
    <row r="52" spans="1:7" s="200" customFormat="1" ht="16.8" thickBot="1">
      <c r="A52" s="257" t="s">
        <v>1559</v>
      </c>
      <c r="B52" s="258"/>
      <c r="C52" s="259">
        <f ca="1">C31+C51</f>
        <v>176</v>
      </c>
      <c r="D52" s="258"/>
      <c r="E52" s="258"/>
      <c r="F52" s="258"/>
      <c r="G52" s="260"/>
    </row>
    <row r="55" spans="1:7" ht="15">
      <c r="B55" s="262" t="s">
        <v>1560</v>
      </c>
      <c r="C55" s="263"/>
    </row>
    <row r="56" spans="1:7">
      <c r="B56" s="265" t="s">
        <v>801</v>
      </c>
      <c r="C56" s="267">
        <f ca="1">1-C57</f>
        <v>7.999999999999996E-2</v>
      </c>
    </row>
    <row r="57" spans="1:7">
      <c r="B57" s="265" t="s">
        <v>802</v>
      </c>
      <c r="C57" s="266">
        <f ca="1">ROUND(C51/C52,3)</f>
        <v>0.92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北京市大兴区兴丰街（二段）36-60号（双号）2幢1至2层42、54、56号房地产抵押价值预评估</v>
      </c>
      <c r="C37" s="3169"/>
      <c r="D37" s="3169"/>
      <c r="E37" s="3169"/>
      <c r="F37" s="3169"/>
      <c r="G37" s="3169"/>
      <c r="H37" s="3169"/>
      <c r="I37" s="316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1592</v>
      </c>
      <c r="B1" s="121"/>
      <c r="C1" s="1110"/>
      <c r="D1" s="1109"/>
      <c r="E1" s="2566"/>
      <c r="F1" s="2566"/>
      <c r="G1" s="2447"/>
      <c r="H1" s="2566"/>
      <c r="I1" s="2566"/>
      <c r="J1" s="2566"/>
      <c r="K1" s="2567">
        <f>MATCH(C1,'数据-取费表'!A6:A16,0)+5</f>
        <v>9</v>
      </c>
    </row>
    <row r="2" spans="1:33" ht="18" customHeight="1">
      <c r="A2" s="193" t="s">
        <v>1460</v>
      </c>
      <c r="B2" s="196">
        <f ca="1">C32</f>
        <v>-12</v>
      </c>
      <c r="C2" s="268" t="s">
        <v>1593</v>
      </c>
      <c r="D2" s="268"/>
      <c r="E2" s="2566"/>
      <c r="F2" s="2566"/>
      <c r="G2" s="2566"/>
      <c r="H2" s="2566"/>
      <c r="I2" s="2566"/>
      <c r="J2" s="2566"/>
      <c r="K2" s="2566"/>
    </row>
    <row r="3" spans="1:33" ht="18" customHeight="1" thickBot="1">
      <c r="A3" s="195" t="s">
        <v>1462</v>
      </c>
      <c r="B3" s="196">
        <f ca="1">ROUND(B2*10000/IF(C1="",'数据-汇总表'!E3,INDIRECT("'数据-取费表'!K"&amp;$K$1)),0)</f>
        <v>-250</v>
      </c>
      <c r="C3" s="268" t="s">
        <v>1594</v>
      </c>
      <c r="D3" s="268"/>
      <c r="E3" s="2566"/>
      <c r="F3" s="2566"/>
      <c r="G3" s="2566"/>
      <c r="H3" s="2566"/>
      <c r="I3" s="2566"/>
      <c r="J3" s="2566"/>
      <c r="K3" s="2566"/>
    </row>
    <row r="4" spans="1:33" s="739" customFormat="1" ht="16.5" customHeight="1">
      <c r="A4" s="736" t="s">
        <v>1595</v>
      </c>
      <c r="B4" s="737"/>
      <c r="C4" s="775">
        <f>SUM(C8:K8)</f>
        <v>0</v>
      </c>
      <c r="D4" s="737"/>
      <c r="E4" s="737"/>
      <c r="F4" s="737"/>
      <c r="G4" s="737"/>
      <c r="H4" s="737"/>
      <c r="I4" s="737"/>
      <c r="J4" s="737"/>
      <c r="K4" s="738"/>
    </row>
    <row r="5" spans="1:33" s="743" customFormat="1" ht="14.4">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634</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635</v>
      </c>
      <c r="B12" s="753" t="s">
        <v>1611</v>
      </c>
      <c r="C12" s="21">
        <f ca="1">ROUND(C11*F12,0)</f>
        <v>0</v>
      </c>
      <c r="D12" s="754"/>
      <c r="E12" s="138"/>
      <c r="F12" s="764">
        <f>'数据-取费表'!B33</f>
        <v>0.03</v>
      </c>
      <c r="G12" s="5" t="s">
        <v>1612</v>
      </c>
      <c r="H12" s="749"/>
      <c r="I12" s="749"/>
      <c r="J12" s="749"/>
      <c r="K12" s="750"/>
    </row>
    <row r="13" spans="1:33" s="755" customFormat="1" ht="13.5" customHeight="1">
      <c r="A13" s="752" t="s">
        <v>636</v>
      </c>
      <c r="B13" s="753" t="s">
        <v>1613</v>
      </c>
      <c r="C13" s="21">
        <f ca="1">ROUND(IF(C1="",SUMIF('数据-取费表'!C:C,"住宅",'数据-取费表'!P:P)*F13,IF(INDIRECT("'数据-取费表'!c"&amp;$K$1)="住宅",INDIRECT("'数据-取费表'!P"&amp;$K$1)*F13,0)),0)</f>
        <v>0</v>
      </c>
      <c r="D13" s="796"/>
      <c r="E13" s="138"/>
      <c r="F13" s="764">
        <f>'数据-取费表'!B34</f>
        <v>0</v>
      </c>
      <c r="G13" s="5" t="s">
        <v>1614</v>
      </c>
      <c r="H13" s="749"/>
      <c r="I13" s="749"/>
      <c r="J13" s="749"/>
      <c r="K13" s="750"/>
    </row>
    <row r="14" spans="1:33" s="757" customFormat="1" ht="13.5" customHeight="1">
      <c r="A14" s="752" t="s">
        <v>637</v>
      </c>
      <c r="B14" s="753" t="s">
        <v>1615</v>
      </c>
      <c r="C14" s="21">
        <f ca="1">ROUND(D14*E14*F11/10000,0)</f>
        <v>0</v>
      </c>
      <c r="D14" s="796">
        <f ca="1">IF(C1="",'数据-汇总表'!E3,INDIRECT("'数据-取费表'!K"&amp;$K$1)+INDIRECT("'数据-取费表'!S"&amp;$K$1))</f>
        <v>479.51</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638</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479.51</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639</v>
      </c>
      <c r="B18" s="753" t="s">
        <v>1622</v>
      </c>
      <c r="C18" s="21">
        <f ca="1">C19+C20-IF(C1="",'数据-取费表'!B29,IF(G18="已全部缴纳",C19+C20,H18))</f>
        <v>10</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1625</v>
      </c>
      <c r="C20" s="21">
        <f ca="1">ROUND(D20*E20/10000,0)</f>
        <v>10</v>
      </c>
      <c r="D20" s="796">
        <f ca="1">IF(C1="",'数据-汇总表'!E6,IF(INDIRECT("'数据-取费表'!c"&amp;$K$1)="住宅",INDIRECT("'数据-取费表'!s"&amp;$K$1),INDIRECT("'数据-取费表'!k"&amp;$K$1)+INDIRECT("'数据-取费表'!s"&amp;$K$1)))</f>
        <v>479.51</v>
      </c>
      <c r="E20" s="21">
        <f>'数据-取费表'!B28</f>
        <v>200</v>
      </c>
      <c r="F20" s="756"/>
      <c r="G20" s="12"/>
      <c r="H20" s="761"/>
      <c r="I20" s="761"/>
      <c r="J20" s="761"/>
      <c r="K20" s="762"/>
    </row>
    <row r="21" spans="1:33" s="755" customFormat="1" ht="13.5" customHeight="1">
      <c r="A21" s="744" t="s">
        <v>357</v>
      </c>
      <c r="B21" s="765" t="s">
        <v>1626</v>
      </c>
      <c r="C21" s="766">
        <f ca="1">C16+C17+C18</f>
        <v>10</v>
      </c>
      <c r="D21" s="767"/>
      <c r="E21" s="273"/>
      <c r="F21" s="273"/>
      <c r="G21" s="123" t="s">
        <v>1627</v>
      </c>
      <c r="H21" s="759"/>
      <c r="I21" s="759"/>
      <c r="J21" s="759"/>
      <c r="K21" s="760"/>
    </row>
    <row r="22" spans="1:33" s="755" customFormat="1" ht="13.5" customHeight="1">
      <c r="A22" s="744" t="s">
        <v>1599</v>
      </c>
      <c r="B22" s="765" t="s">
        <v>1628</v>
      </c>
      <c r="C22" s="766">
        <f ca="1">ROUND(C21*F22,0)</f>
        <v>0</v>
      </c>
      <c r="D22" s="273"/>
      <c r="E22" s="273"/>
      <c r="F22" s="768">
        <f>'数据-取费表'!B37</f>
        <v>0.02</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2</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2</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5.5000000000000007E-2</v>
      </c>
      <c r="G31" s="788" t="s">
        <v>1646</v>
      </c>
      <c r="H31" s="789"/>
      <c r="I31" s="789"/>
      <c r="J31" s="789"/>
      <c r="K31" s="790"/>
    </row>
    <row r="32" spans="1:33" s="751" customFormat="1" ht="13.5" customHeight="1" thickBot="1">
      <c r="A32" s="449" t="s">
        <v>1647</v>
      </c>
      <c r="B32" s="779"/>
      <c r="C32" s="780">
        <f ca="1">ROUND((C4-C21-C22-C23-C25-C28-C31)/(1+C24+D25+D28),0)</f>
        <v>-12</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876</v>
      </c>
      <c r="B1" s="663"/>
      <c r="C1" s="1287"/>
      <c r="D1" s="1271" t="s">
        <v>43</v>
      </c>
      <c r="E1" s="1272" t="s">
        <v>677</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1294" t="e">
        <f ca="1">C40+J29+L46</f>
        <v>#DIV/0!</v>
      </c>
      <c r="C2" s="1289" t="s">
        <v>804</v>
      </c>
      <c r="D2" s="1289"/>
      <c r="E2" s="1295"/>
      <c r="F2" s="1296"/>
      <c r="G2" s="2477"/>
      <c r="H2" s="2467"/>
      <c r="I2" s="2467"/>
      <c r="J2" s="2467"/>
      <c r="K2" s="2468"/>
      <c r="L2" s="2467"/>
      <c r="M2" s="2467"/>
    </row>
    <row r="3" spans="1:37" ht="18" customHeight="1" thickBot="1">
      <c r="A3" s="1297" t="s">
        <v>805</v>
      </c>
      <c r="B3" s="1298">
        <f ca="1">IF(ISERROR(B2*10000/F43),0,ROUND(B2*10000/F43,0))</f>
        <v>0</v>
      </c>
      <c r="C3" s="1289" t="s">
        <v>806</v>
      </c>
      <c r="D3" s="1289"/>
      <c r="E3" s="1295"/>
      <c r="F3" s="1296"/>
      <c r="G3" s="2477"/>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0</v>
      </c>
      <c r="D5" s="1273" t="s">
        <v>692</v>
      </c>
      <c r="E5" s="1008"/>
      <c r="F5" s="1009"/>
      <c r="G5" s="1292"/>
      <c r="H5" s="291">
        <v>1</v>
      </c>
      <c r="I5" s="292" t="s">
        <v>691</v>
      </c>
      <c r="J5" s="1007">
        <f ca="1">J6+J10+J12</f>
        <v>0</v>
      </c>
      <c r="K5" s="1273" t="s">
        <v>692</v>
      </c>
      <c r="L5" s="1008"/>
      <c r="M5" s="1009"/>
    </row>
    <row r="6" spans="1:37" ht="18" customHeight="1">
      <c r="A6" s="1006" t="s">
        <v>398</v>
      </c>
      <c r="B6" s="3356" t="s">
        <v>693</v>
      </c>
      <c r="C6" s="1011">
        <f ca="1">ROUND(F6*F8*F7*(1-F9)/10000,0)</f>
        <v>0</v>
      </c>
      <c r="D6" s="147" t="s">
        <v>2107</v>
      </c>
      <c r="E6" s="294" t="s">
        <v>695</v>
      </c>
      <c r="F6" s="295">
        <f ca="1">INDIRECT("'数据-取费表'!u"&amp;$G$1)</f>
        <v>0</v>
      </c>
      <c r="G6" s="1292"/>
      <c r="H6" s="1006" t="s">
        <v>398</v>
      </c>
      <c r="I6" s="3356" t="s">
        <v>693</v>
      </c>
      <c r="J6" s="293">
        <f ca="1">ROUND(M6*M8*M7*(1-M9)/10000,0)</f>
        <v>0</v>
      </c>
      <c r="K6" s="147" t="s">
        <v>2106</v>
      </c>
      <c r="L6" s="294" t="s">
        <v>695</v>
      </c>
      <c r="M6" s="295">
        <f ca="1">INDIRECT("'数据-取费表'!z"&amp;$G$1)</f>
        <v>0</v>
      </c>
    </row>
    <row r="7" spans="1:37" ht="18" customHeight="1">
      <c r="A7" s="1010"/>
      <c r="B7" s="3357"/>
      <c r="C7" s="1012"/>
      <c r="D7" s="299"/>
      <c r="E7" s="1013" t="s">
        <v>696</v>
      </c>
      <c r="F7" s="295">
        <f ca="1">IF(INDIRECT("'数据-取费表'!ah"&amp;$G$1)="",INDIRECT("'数据-取费表'!k"&amp;$G$1),INDIRECT("'数据-取费表'!ah"&amp;$G$1))</f>
        <v>0</v>
      </c>
      <c r="G7" s="1292"/>
      <c r="H7" s="296"/>
      <c r="I7" s="3357"/>
      <c r="J7" s="298"/>
      <c r="K7" s="299"/>
      <c r="L7" s="294" t="s">
        <v>696</v>
      </c>
      <c r="M7" s="295">
        <f ca="1">F7</f>
        <v>0</v>
      </c>
    </row>
    <row r="8" spans="1:37" ht="18" customHeight="1">
      <c r="A8" s="296"/>
      <c r="B8" s="3357"/>
      <c r="C8" s="298"/>
      <c r="D8" s="299"/>
      <c r="E8" s="294" t="s">
        <v>697</v>
      </c>
      <c r="F8" s="295">
        <f ca="1">INDIRECT("'数据-取费表'!ai"&amp;$G$1)</f>
        <v>0</v>
      </c>
      <c r="G8" s="1292"/>
      <c r="H8" s="296"/>
      <c r="I8" s="3357"/>
      <c r="J8" s="298"/>
      <c r="K8" s="299"/>
      <c r="L8" s="294" t="s">
        <v>697</v>
      </c>
      <c r="M8" s="295">
        <f ca="1">INDIRECT("'数据-取费表'!ai"&amp;$G$1)</f>
        <v>0</v>
      </c>
    </row>
    <row r="9" spans="1:37" ht="18" customHeight="1">
      <c r="A9" s="296"/>
      <c r="B9" s="3358"/>
      <c r="C9" s="298"/>
      <c r="D9" s="299"/>
      <c r="E9" s="294" t="s">
        <v>698</v>
      </c>
      <c r="F9" s="304">
        <f ca="1">INDIRECT("'数据-取费表'!w"&amp;$G$1)</f>
        <v>0</v>
      </c>
      <c r="G9" s="1292"/>
      <c r="H9" s="296"/>
      <c r="I9" s="3358"/>
      <c r="J9" s="298"/>
      <c r="K9" s="299"/>
      <c r="L9" s="305" t="s">
        <v>698</v>
      </c>
      <c r="M9" s="306">
        <f ca="1">INDIRECT("'数据-取费表'!ab"&amp;$G$1)</f>
        <v>0</v>
      </c>
    </row>
    <row r="10" spans="1:37" ht="18" customHeight="1">
      <c r="A10" s="1006" t="s">
        <v>402</v>
      </c>
      <c r="B10" s="1274" t="s">
        <v>699</v>
      </c>
      <c r="C10" s="308">
        <f ca="1">ROUND(IF(F10="押一",C6/12*F11,IF(F10="押二",C6/12*2*F11,IF(F10="押三",C6/12*3*F11,C11*F11))),0)</f>
        <v>0</v>
      </c>
      <c r="D10" s="150" t="s">
        <v>2115</v>
      </c>
      <c r="E10" s="305" t="s">
        <v>700</v>
      </c>
      <c r="F10" s="1053"/>
      <c r="G10" s="1292"/>
      <c r="H10" s="1006" t="s">
        <v>402</v>
      </c>
      <c r="I10" s="1274" t="s">
        <v>699</v>
      </c>
      <c r="J10" s="293">
        <f ca="1">ROUND(IF(M10="押一",J6/12*M11,IF(M10="押二",J6/12*2*M11,IF(M10="押三",J6/12*3*M11,J11*M11))),0)</f>
        <v>0</v>
      </c>
      <c r="K10" s="150" t="s">
        <v>2114</v>
      </c>
      <c r="L10" s="305" t="s">
        <v>700</v>
      </c>
      <c r="M10" s="1053"/>
    </row>
    <row r="11" spans="1:37" ht="18" customHeight="1">
      <c r="A11" s="300"/>
      <c r="B11" s="1275" t="s">
        <v>678</v>
      </c>
      <c r="C11" s="905"/>
      <c r="D11" s="1276"/>
      <c r="E11" s="305" t="s">
        <v>701</v>
      </c>
      <c r="F11" s="306">
        <f ca="1">'数据-取费表'!B39</f>
        <v>1.4999999999999999E-2</v>
      </c>
      <c r="G11" s="1292"/>
      <c r="H11" s="1014"/>
      <c r="I11" s="1275" t="s">
        <v>678</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0</v>
      </c>
      <c r="D13" s="1018" t="s">
        <v>704</v>
      </c>
      <c r="E13" s="1018" t="s">
        <v>705</v>
      </c>
      <c r="F13" s="1019">
        <f ca="1">INDIRECT("'数据-取费表'!y"&amp;$G$1)</f>
        <v>0</v>
      </c>
      <c r="G13" s="1292"/>
      <c r="H13" s="1016">
        <v>2</v>
      </c>
      <c r="I13" s="1017" t="s">
        <v>703</v>
      </c>
      <c r="J13" s="1005">
        <f ca="1">ROUND(J14*J15,0)</f>
        <v>0</v>
      </c>
      <c r="K13" s="1024" t="s">
        <v>704</v>
      </c>
      <c r="L13" s="1299"/>
      <c r="M13" s="1300"/>
    </row>
    <row r="14" spans="1:37" ht="18" customHeight="1">
      <c r="A14" s="928" t="s">
        <v>397</v>
      </c>
      <c r="B14" s="294" t="s">
        <v>706</v>
      </c>
      <c r="C14" s="310">
        <f ca="1">INDIRECT("'数据-取费表'!m"&amp;$G$1)+INDIRECT("'数据-取费表'!t"&amp;$G$1)</f>
        <v>0</v>
      </c>
      <c r="D14" s="1257" t="s">
        <v>707</v>
      </c>
      <c r="E14" s="1255"/>
      <c r="F14" s="311"/>
      <c r="G14" s="1292"/>
      <c r="H14" s="928" t="s">
        <v>398</v>
      </c>
      <c r="I14" s="294" t="s">
        <v>708</v>
      </c>
      <c r="J14" s="21">
        <f ca="1">C29</f>
        <v>0</v>
      </c>
      <c r="K14" s="12"/>
      <c r="L14" s="759"/>
      <c r="M14" s="760"/>
    </row>
    <row r="15" spans="1:37" s="1304" customFormat="1" ht="18" customHeight="1" thickBot="1">
      <c r="A15" s="928" t="s">
        <v>399</v>
      </c>
      <c r="B15" s="294" t="s">
        <v>709</v>
      </c>
      <c r="C15" s="21">
        <f ca="1">ROUND(C14*F15,0)</f>
        <v>0</v>
      </c>
      <c r="D15" s="312" t="s">
        <v>710</v>
      </c>
      <c r="E15" s="312" t="s">
        <v>711</v>
      </c>
      <c r="F15" s="313">
        <f>'数据-取费表'!B33</f>
        <v>0.03</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2"/>
      <c r="H16" s="1016" t="s">
        <v>393</v>
      </c>
      <c r="I16" s="1017" t="s">
        <v>713</v>
      </c>
      <c r="J16" s="302">
        <f ca="1">ROUND(J17+J22+J23+J24,0)</f>
        <v>0</v>
      </c>
      <c r="K16" s="1024" t="s">
        <v>714</v>
      </c>
      <c r="L16" s="1025"/>
      <c r="M16" s="1009"/>
    </row>
    <row r="17" spans="1:37" s="1304" customFormat="1" ht="18" customHeight="1">
      <c r="A17" s="928" t="s">
        <v>680</v>
      </c>
      <c r="B17" s="294" t="s">
        <v>715</v>
      </c>
      <c r="C17" s="21">
        <f ca="1">ROUND(F17*(F43+INDIRECT("'数据-取费表'!S"&amp;$G$1))/10000,0)</f>
        <v>0</v>
      </c>
      <c r="D17" s="294" t="s">
        <v>716</v>
      </c>
      <c r="E17" s="294" t="s">
        <v>717</v>
      </c>
      <c r="F17" s="23">
        <f>'数据-取费表'!B35</f>
        <v>200</v>
      </c>
      <c r="G17" s="1303"/>
      <c r="H17" s="928" t="s">
        <v>398</v>
      </c>
      <c r="I17" s="294" t="s">
        <v>718</v>
      </c>
      <c r="J17" s="2140">
        <f ca="1">ROUND(IF(AND(项目基本情况!B11="自然人",项目基本情况!B10="北京市"),J6*M17/(1+'数据-取费表'!C42),J18+J19+J20),2)</f>
        <v>0</v>
      </c>
      <c r="K17" s="1257" t="s">
        <v>719</v>
      </c>
      <c r="L17" s="1256" t="s">
        <v>720</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0</v>
      </c>
      <c r="D18" s="294" t="s">
        <v>710</v>
      </c>
      <c r="E18" s="294" t="s">
        <v>711</v>
      </c>
      <c r="F18" s="314">
        <f>'数据-取费表'!B36</f>
        <v>0.02</v>
      </c>
      <c r="G18" s="1303"/>
      <c r="H18" s="928" t="s">
        <v>397</v>
      </c>
      <c r="I18" s="294" t="s">
        <v>722</v>
      </c>
      <c r="J18" s="21">
        <f ca="1">ROUND(J6*M18/(1+'数据-取费表'!C42),2)</f>
        <v>0</v>
      </c>
      <c r="K18" s="1256" t="s">
        <v>723</v>
      </c>
      <c r="L18" s="294" t="s">
        <v>711</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0</v>
      </c>
      <c r="D19" s="123" t="s">
        <v>725</v>
      </c>
      <c r="E19" s="1269"/>
      <c r="F19" s="23"/>
      <c r="G19" s="1292"/>
      <c r="H19" s="928" t="s">
        <v>399</v>
      </c>
      <c r="I19" s="294" t="s">
        <v>726</v>
      </c>
      <c r="J19" s="21">
        <f ca="1">IF(K19="按租金收入计税",ROUND(J6*M19/(1+'数据-取费表'!C42),2),ROUND(C29*M19*0.7,2))</f>
        <v>0</v>
      </c>
      <c r="K19" s="1278" t="s">
        <v>3334</v>
      </c>
      <c r="L19" s="294" t="s">
        <v>711</v>
      </c>
      <c r="M19" s="314">
        <f>IF(K19="按租金收入计税",'数据-取费表'!B51,'数据-取费表'!B50)</f>
        <v>0.12</v>
      </c>
    </row>
    <row r="20" spans="1:37" s="1304" customFormat="1" ht="18" customHeight="1">
      <c r="A20" s="928" t="s">
        <v>402</v>
      </c>
      <c r="B20" s="294" t="s">
        <v>727</v>
      </c>
      <c r="C20" s="21">
        <f ca="1">ROUND(C19*F20,0)</f>
        <v>0</v>
      </c>
      <c r="D20" s="315" t="s">
        <v>728</v>
      </c>
      <c r="E20" s="294" t="s">
        <v>711</v>
      </c>
      <c r="F20" s="314">
        <f>'数据-取费表'!B37</f>
        <v>0.02</v>
      </c>
      <c r="G20" s="1303"/>
      <c r="H20" s="928" t="s">
        <v>679</v>
      </c>
      <c r="I20" s="147" t="s">
        <v>729</v>
      </c>
      <c r="J20" s="22">
        <f ca="1">ROUND(M20*M21/10000,2)</f>
        <v>0</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15</v>
      </c>
      <c r="D21" s="315" t="s">
        <v>733</v>
      </c>
      <c r="E21" s="294" t="s">
        <v>734</v>
      </c>
      <c r="F21" s="314">
        <f>'数据-取费表'!B38</f>
        <v>0.02</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ROUND(J14*M22,2)</f>
        <v>0</v>
      </c>
      <c r="K22" s="1256" t="s">
        <v>738</v>
      </c>
      <c r="L22" s="294" t="s">
        <v>711</v>
      </c>
      <c r="M22" s="320">
        <f ca="1">INDIRECT("'数据-取费表'!Ak"&amp;$G$1)</f>
        <v>0</v>
      </c>
    </row>
    <row r="23" spans="1:37" s="1304" customFormat="1" ht="18" customHeight="1">
      <c r="A23" s="928"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ROUND(J13*M23,2)</f>
        <v>0</v>
      </c>
      <c r="K23" s="1256" t="s">
        <v>742</v>
      </c>
      <c r="L23" s="294" t="s">
        <v>743</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3"/>
      <c r="H24" s="1026" t="s">
        <v>683</v>
      </c>
      <c r="I24" s="1027" t="s">
        <v>727</v>
      </c>
      <c r="J24" s="1028">
        <f ca="1">ROUND(J5*M24,2)</f>
        <v>0</v>
      </c>
      <c r="K24" s="1029" t="s">
        <v>747</v>
      </c>
      <c r="L24" s="1027" t="s">
        <v>743</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748</v>
      </c>
      <c r="B25" s="294" t="s">
        <v>749</v>
      </c>
      <c r="C25" s="21"/>
      <c r="D25" s="123" t="s">
        <v>750</v>
      </c>
      <c r="E25" s="1269"/>
      <c r="F25" s="23"/>
      <c r="G25" s="1292"/>
      <c r="H25" s="1016" t="s">
        <v>394</v>
      </c>
      <c r="I25" s="1031" t="s">
        <v>751</v>
      </c>
      <c r="J25" s="302">
        <f ca="1">J5-J16</f>
        <v>0</v>
      </c>
      <c r="K25" s="1032" t="s">
        <v>752</v>
      </c>
      <c r="L25" s="1033"/>
      <c r="M25" s="1034"/>
    </row>
    <row r="26" spans="1:37">
      <c r="A26" s="928" t="s">
        <v>397</v>
      </c>
      <c r="B26" s="294" t="s">
        <v>753</v>
      </c>
      <c r="C26" s="21">
        <f ca="1">ROUND((C19+C20)*F26,0)</f>
        <v>0</v>
      </c>
      <c r="D26" s="315" t="s">
        <v>754</v>
      </c>
      <c r="E26" s="305" t="s">
        <v>755</v>
      </c>
      <c r="F26" s="304">
        <f ca="1">INDIRECT("'数据-取费表'!q"&amp;$G$1)</f>
        <v>0</v>
      </c>
      <c r="G26" s="1292"/>
      <c r="H26" s="291" t="s">
        <v>395</v>
      </c>
      <c r="I26" s="292" t="s">
        <v>756</v>
      </c>
      <c r="J26" s="293">
        <f ca="1">IF(J5&lt;&gt;0,ROUND(J25*(1-((1+M28)/(1+M26))^M27)/(M26-M28),0),0)</f>
        <v>0</v>
      </c>
      <c r="K26" s="316" t="s">
        <v>757</v>
      </c>
      <c r="L26" s="294" t="s">
        <v>758</v>
      </c>
      <c r="M26" s="304">
        <f ca="1">INDIRECT("'数据-取费表'!I"&amp;$G$1)</f>
        <v>0</v>
      </c>
    </row>
    <row r="27" spans="1:37" ht="18" customHeight="1">
      <c r="A27" s="928" t="s">
        <v>399</v>
      </c>
      <c r="B27" s="294" t="s">
        <v>759</v>
      </c>
      <c r="C27" s="21">
        <f ca="1">ROUND(F21*F26,4)</f>
        <v>0</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5.2400000000000002E-2</v>
      </c>
      <c r="D28" s="315" t="s">
        <v>764</v>
      </c>
      <c r="E28" s="294" t="s">
        <v>711</v>
      </c>
      <c r="F28" s="314">
        <f>'数据-取费表'!B41</f>
        <v>5.5000000000000007E-2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0</v>
      </c>
      <c r="D29" s="1029"/>
      <c r="E29" s="1027"/>
      <c r="F29" s="1030"/>
      <c r="G29" s="1303"/>
      <c r="H29" s="325" t="s">
        <v>396</v>
      </c>
      <c r="I29" s="326" t="s">
        <v>767</v>
      </c>
      <c r="J29" s="327">
        <f ca="1">ROUND(J26/(1+F40)^F41,0)</f>
        <v>0</v>
      </c>
      <c r="K29" s="328" t="s">
        <v>768</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0</v>
      </c>
      <c r="D30" s="1024" t="s">
        <v>714</v>
      </c>
      <c r="E30" s="1025"/>
      <c r="F30" s="1009"/>
      <c r="G30" s="1292"/>
      <c r="H30" s="2469"/>
      <c r="I30" s="1305"/>
      <c r="J30" s="1306"/>
      <c r="K30" s="121"/>
      <c r="L30" s="2470"/>
      <c r="M30" s="2471"/>
    </row>
    <row r="31" spans="1:37" ht="18" customHeight="1">
      <c r="A31" s="928" t="s">
        <v>398</v>
      </c>
      <c r="B31" s="294" t="s">
        <v>718</v>
      </c>
      <c r="C31" s="2140">
        <f ca="1">ROUND(IF(AND(项目基本情况!B11="自然人",项目基本情况!B10="北京市"),C6*F31/(1+'数据-取费表'!C42),C32+C33+C34),2)</f>
        <v>0</v>
      </c>
      <c r="D31" s="1257" t="s">
        <v>719</v>
      </c>
      <c r="E31" s="1256" t="s">
        <v>769</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722</v>
      </c>
      <c r="C32" s="21" t="str">
        <f>IF(项目基本情况!B11="自然人","——",ROUND(C6*F32/(1+'数据-取费表'!C42),2))</f>
        <v>——</v>
      </c>
      <c r="D32" s="1256" t="s">
        <v>723</v>
      </c>
      <c r="E32" s="294" t="s">
        <v>711</v>
      </c>
      <c r="F32" s="322">
        <f>'数据-取费表'!B41</f>
        <v>5.5000000000000007E-2</v>
      </c>
      <c r="G32" s="1292"/>
      <c r="H32" s="2469"/>
      <c r="I32" s="1305"/>
      <c r="J32" s="1306"/>
      <c r="K32" s="121"/>
      <c r="L32" s="2470"/>
      <c r="M32" s="2471"/>
    </row>
    <row r="33" spans="1:18" ht="18" customHeight="1">
      <c r="A33" s="928" t="s">
        <v>399</v>
      </c>
      <c r="B33" s="294" t="s">
        <v>726</v>
      </c>
      <c r="C33" s="21" t="str">
        <f ca="1">IF(项目基本情况!B11="自然人","——",IF(D33="按租金收入计税",ROUND(C6*F33/(1+'数据-取费表'!C42),2),IF(D33="按房产原值计税",ROUND(C29*F33*0.7,2),INDIRECT("'数据-取费表'!Aj"&amp;$G$1))))</f>
        <v>——</v>
      </c>
      <c r="D33" s="1278" t="s">
        <v>3334</v>
      </c>
      <c r="E33" s="294" t="s">
        <v>711</v>
      </c>
      <c r="F33" s="314">
        <f>IF(D33="按票据","——",IF(D33="按租金收入计税",'数据-取费表'!B51,'数据-取费表'!B50))</f>
        <v>0.12</v>
      </c>
      <c r="G33" s="1292"/>
      <c r="H33" s="2472"/>
      <c r="I33" s="1305"/>
      <c r="J33" s="1306"/>
      <c r="K33" s="2473"/>
      <c r="L33" s="2472"/>
      <c r="M33" s="2472"/>
    </row>
    <row r="34" spans="1:18" ht="18" customHeight="1">
      <c r="A34" s="1006" t="s">
        <v>679</v>
      </c>
      <c r="B34" s="147" t="s">
        <v>729</v>
      </c>
      <c r="C34" s="22" t="str">
        <f>IF(项目基本情况!B11="自然人","——",ROUND(F34*F35/10000,2))</f>
        <v>——</v>
      </c>
      <c r="D34" s="316" t="s">
        <v>730</v>
      </c>
      <c r="E34" s="294" t="s">
        <v>731</v>
      </c>
      <c r="F34" s="317">
        <f>'数据-取费表'!B52</f>
        <v>1.5</v>
      </c>
      <c r="G34" s="1292"/>
      <c r="H34" s="2469"/>
      <c r="I34" s="1305"/>
      <c r="J34" s="1306"/>
      <c r="K34" s="2474"/>
      <c r="L34" s="2475"/>
      <c r="M34" s="2475"/>
    </row>
    <row r="35" spans="1:18" ht="18" customHeight="1">
      <c r="A35" s="1040"/>
      <c r="B35" s="1038"/>
      <c r="C35" s="26"/>
      <c r="D35" s="319"/>
      <c r="E35" s="294" t="s">
        <v>735</v>
      </c>
      <c r="F35" s="295">
        <f ca="1">INDIRECT("'数据-取费表'!r"&amp;$G$1)</f>
        <v>0</v>
      </c>
      <c r="G35" s="1292"/>
      <c r="H35" s="2469"/>
      <c r="I35" s="1305"/>
      <c r="J35" s="1306"/>
      <c r="K35" s="2473"/>
      <c r="L35" s="2472"/>
      <c r="M35" s="2472"/>
    </row>
    <row r="36" spans="1:18" ht="18" customHeight="1">
      <c r="A36" s="1039" t="s">
        <v>402</v>
      </c>
      <c r="B36" s="294" t="s">
        <v>737</v>
      </c>
      <c r="C36" s="21">
        <f ca="1">ROUND(C29*F36,2)</f>
        <v>0</v>
      </c>
      <c r="D36" s="1256" t="s">
        <v>770</v>
      </c>
      <c r="E36" s="294" t="s">
        <v>711</v>
      </c>
      <c r="F36" s="320">
        <f ca="1">INDIRECT("'数据-取费表'!Ak"&amp;$G$1)</f>
        <v>0</v>
      </c>
      <c r="G36" s="1292"/>
      <c r="H36" s="2472"/>
      <c r="I36" s="1305"/>
      <c r="J36" s="1306"/>
      <c r="K36" s="2330"/>
      <c r="L36" s="2472"/>
      <c r="M36" s="2472"/>
    </row>
    <row r="37" spans="1:18" ht="18" customHeight="1">
      <c r="A37" s="928" t="s">
        <v>437</v>
      </c>
      <c r="B37" s="294" t="s">
        <v>741</v>
      </c>
      <c r="C37" s="21">
        <f ca="1">ROUND(C13*F37,2)</f>
        <v>0</v>
      </c>
      <c r="D37" s="1256" t="s">
        <v>742</v>
      </c>
      <c r="E37" s="294" t="s">
        <v>743</v>
      </c>
      <c r="F37" s="321">
        <f ca="1">INDIRECT("'数据-取费表'!Al"&amp;$G$1)</f>
        <v>0</v>
      </c>
      <c r="G37" s="1292"/>
      <c r="H37" s="2472"/>
      <c r="I37" s="1305"/>
      <c r="J37" s="1306"/>
      <c r="K37" s="2330"/>
      <c r="L37" s="2472"/>
      <c r="M37" s="2472"/>
    </row>
    <row r="38" spans="1:18" ht="18" customHeight="1" thickBot="1">
      <c r="A38" s="1026" t="s">
        <v>683</v>
      </c>
      <c r="B38" s="1027" t="s">
        <v>727</v>
      </c>
      <c r="C38" s="1028">
        <f ca="1">ROUND(C5*F38,2)</f>
        <v>0</v>
      </c>
      <c r="D38" s="1029" t="s">
        <v>747</v>
      </c>
      <c r="E38" s="1027" t="s">
        <v>743</v>
      </c>
      <c r="F38" s="1023">
        <f ca="1">INDIRECT("'数据-取费表'!Am"&amp;$G$1)</f>
        <v>0</v>
      </c>
      <c r="G38" s="1292"/>
      <c r="H38" s="2472"/>
      <c r="I38" s="1305"/>
      <c r="J38" s="1306"/>
      <c r="K38" s="2470"/>
      <c r="L38" s="2472"/>
      <c r="M38" s="2472"/>
    </row>
    <row r="39" spans="1:18" ht="24.6" customHeight="1" thickTop="1">
      <c r="A39" s="1016" t="s">
        <v>394</v>
      </c>
      <c r="B39" s="1031" t="s">
        <v>771</v>
      </c>
      <c r="C39" s="302">
        <f ca="1">C5-C30</f>
        <v>0</v>
      </c>
      <c r="D39" s="1032" t="s">
        <v>772</v>
      </c>
      <c r="E39" s="1033"/>
      <c r="F39" s="1034"/>
      <c r="G39" s="1292"/>
      <c r="H39" s="2472"/>
      <c r="I39" s="1305"/>
      <c r="J39" s="1306"/>
      <c r="K39" s="2470"/>
      <c r="L39" s="2472"/>
      <c r="M39" s="2472"/>
    </row>
    <row r="40" spans="1:18" ht="18" customHeight="1">
      <c r="A40" s="291" t="s">
        <v>395</v>
      </c>
      <c r="B40" s="292" t="s">
        <v>773</v>
      </c>
      <c r="C40" s="293" t="e">
        <f ca="1">ROUND(C39*(1-((1+F42)/(1+F40))^F41)/(F40-F42),0)</f>
        <v>#DIV/0!</v>
      </c>
      <c r="D40" s="316" t="s">
        <v>757</v>
      </c>
      <c r="E40" s="294" t="s">
        <v>758</v>
      </c>
      <c r="F40" s="304">
        <f ca="1">INDIRECT("'数据-取费表'!I"&amp;$G$1)</f>
        <v>0</v>
      </c>
      <c r="G40" s="1292"/>
      <c r="H40" s="1366"/>
      <c r="I40" s="1305"/>
      <c r="J40" s="1306"/>
      <c r="K40" s="2470"/>
      <c r="L40" s="1366"/>
      <c r="M40" s="1366"/>
    </row>
    <row r="41" spans="1:18" ht="18" customHeight="1">
      <c r="A41" s="296"/>
      <c r="B41" s="297"/>
      <c r="C41" s="298"/>
      <c r="D41" s="323" t="s">
        <v>774</v>
      </c>
      <c r="E41" s="294" t="s">
        <v>762</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765</v>
      </c>
      <c r="F42" s="304">
        <f ca="1">INDIRECT("'数据-取费表'!v"&amp;$G$1)</f>
        <v>0</v>
      </c>
      <c r="G42" s="1292"/>
      <c r="H42" s="121"/>
      <c r="I42" s="1305"/>
      <c r="J42" s="1306"/>
      <c r="K42" s="2330"/>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807</v>
      </c>
      <c r="P45" s="1366"/>
      <c r="Q45" s="1366"/>
      <c r="R45" s="1366"/>
    </row>
    <row r="46" spans="1:18" s="1292" customFormat="1" ht="13.8" thickBot="1">
      <c r="A46" s="1311" t="s">
        <v>808</v>
      </c>
      <c r="C46" s="1312" t="e">
        <f ca="1">C68-C40</f>
        <v>#DIV/0!</v>
      </c>
      <c r="D46" s="1313" t="str">
        <f>C2</f>
        <v>万元</v>
      </c>
      <c r="E46" s="1307"/>
      <c r="F46" s="1307"/>
      <c r="I46" s="1314" t="s">
        <v>809</v>
      </c>
      <c r="J46" s="1315"/>
      <c r="K46" s="1316"/>
      <c r="L46" s="1317" t="e">
        <f ca="1">IF(M47="住宅",0,IF(L48&gt;J51,L60,J60))</f>
        <v>#DIV/0!</v>
      </c>
      <c r="O46" s="1318" t="s">
        <v>810</v>
      </c>
      <c r="P46" s="1319" t="s">
        <v>811</v>
      </c>
      <c r="Q46" s="1320" t="s">
        <v>812</v>
      </c>
      <c r="R46" s="1320" t="s">
        <v>813</v>
      </c>
    </row>
    <row r="47" spans="1:18" s="1292" customFormat="1" ht="13.8" thickBot="1">
      <c r="A47" s="892" t="s">
        <v>686</v>
      </c>
      <c r="B47" s="924" t="s">
        <v>687</v>
      </c>
      <c r="C47" s="1054" t="s">
        <v>688</v>
      </c>
      <c r="D47" s="924" t="s">
        <v>689</v>
      </c>
      <c r="E47" s="995" t="s">
        <v>690</v>
      </c>
      <c r="F47" s="996"/>
      <c r="G47" s="681"/>
      <c r="I47" s="1321" t="s">
        <v>814</v>
      </c>
      <c r="J47" s="1322"/>
      <c r="K47" s="1323" t="s">
        <v>815</v>
      </c>
      <c r="L47" s="1324">
        <f ca="1">INDIRECT("'数据-取费表'!d"&amp;$G$1)</f>
        <v>0</v>
      </c>
      <c r="M47" s="1288" t="str">
        <f>IF(ISNUMBER(FIND("住宅",C1)),"住宅","非住宅")</f>
        <v>非住宅</v>
      </c>
      <c r="O47" s="1325" t="s">
        <v>403</v>
      </c>
      <c r="P47" s="1326" t="s">
        <v>816</v>
      </c>
      <c r="Q47" s="1327" t="e">
        <f ca="1">C40+J29</f>
        <v>#DIV/0!</v>
      </c>
      <c r="R47" s="1327" t="s">
        <v>817</v>
      </c>
    </row>
    <row r="48" spans="1:18" s="1292" customFormat="1" ht="40.200000000000003" thickBot="1">
      <c r="A48" s="1047" t="s">
        <v>438</v>
      </c>
      <c r="B48" s="292" t="s">
        <v>691</v>
      </c>
      <c r="C48" s="1268">
        <f ca="1">C49+C53+C55</f>
        <v>0</v>
      </c>
      <c r="D48" s="1049"/>
      <c r="E48" s="1050"/>
      <c r="F48" s="908"/>
      <c r="G48" s="681"/>
      <c r="H48" s="682"/>
      <c r="I48" s="1328" t="s">
        <v>818</v>
      </c>
      <c r="J48" s="1329"/>
      <c r="K48" s="1330" t="s">
        <v>819</v>
      </c>
      <c r="L48" s="1331">
        <f ca="1">INDIRECT("'数据-取费表'!f"&amp;$G$1)</f>
        <v>0</v>
      </c>
      <c r="O48" s="1325" t="s">
        <v>404</v>
      </c>
      <c r="P48" s="1326" t="s">
        <v>820</v>
      </c>
      <c r="Q48" s="1327" t="e">
        <f ca="1">J60</f>
        <v>#DIV/0!</v>
      </c>
      <c r="R48" s="1327" t="s">
        <v>821</v>
      </c>
    </row>
    <row r="49" spans="1:18" s="1292" customFormat="1" ht="13.8" thickBot="1">
      <c r="A49" s="921" t="s">
        <v>439</v>
      </c>
      <c r="B49" s="1279" t="s">
        <v>778</v>
      </c>
      <c r="C49" s="1051">
        <f ca="1">ROUND(F49*F51*F50*(1-F52)/10000,0)</f>
        <v>0</v>
      </c>
      <c r="D49" s="992" t="s">
        <v>2108</v>
      </c>
      <c r="E49" s="1280" t="s">
        <v>779</v>
      </c>
      <c r="F49" s="997"/>
      <c r="H49" s="682"/>
      <c r="I49" s="1328" t="s">
        <v>822</v>
      </c>
      <c r="J49" s="1332"/>
      <c r="K49" s="1330" t="s">
        <v>823</v>
      </c>
      <c r="L49" s="1333"/>
      <c r="O49" s="1334" t="s">
        <v>405</v>
      </c>
      <c r="P49" s="1326" t="s">
        <v>824</v>
      </c>
      <c r="Q49" s="1327">
        <f ca="1">C29</f>
        <v>0</v>
      </c>
      <c r="R49" s="1327" t="s">
        <v>817</v>
      </c>
    </row>
    <row r="50" spans="1:18" s="1292" customFormat="1" ht="13.8" thickBot="1">
      <c r="A50" s="922"/>
      <c r="B50" s="925"/>
      <c r="C50" s="1055"/>
      <c r="D50" s="899"/>
      <c r="E50" s="993" t="s">
        <v>696</v>
      </c>
      <c r="F50" s="994">
        <f ca="1">F7</f>
        <v>0</v>
      </c>
      <c r="H50" s="682"/>
      <c r="I50" s="1328" t="s">
        <v>825</v>
      </c>
      <c r="J50" s="1335">
        <f>SUMPRODUCT((I63:I65=J47)*(J62:L62=J48)*(J63:L65))</f>
        <v>0</v>
      </c>
      <c r="K50" s="1330" t="s">
        <v>826</v>
      </c>
      <c r="L50" s="1333"/>
      <c r="M50" s="1336"/>
      <c r="O50" s="1334" t="s">
        <v>406</v>
      </c>
      <c r="P50" s="1326" t="s">
        <v>827</v>
      </c>
      <c r="Q50" s="1337" t="e">
        <f ca="1">J58</f>
        <v>#DIV/0!</v>
      </c>
      <c r="R50" s="1327"/>
    </row>
    <row r="51" spans="1:18" s="1292" customFormat="1" ht="13.8" thickBot="1">
      <c r="A51" s="923"/>
      <c r="B51" s="925"/>
      <c r="C51" s="926"/>
      <c r="D51" s="899"/>
      <c r="E51" s="927" t="s">
        <v>697</v>
      </c>
      <c r="F51" s="295">
        <f ca="1">F8</f>
        <v>0</v>
      </c>
      <c r="I51" s="1338" t="s">
        <v>828</v>
      </c>
      <c r="J51" s="1331">
        <f>IF(J49="",J50,J49+J50-YEAR('数据-取费表'!B2))</f>
        <v>0</v>
      </c>
      <c r="K51" s="1339" t="s">
        <v>829</v>
      </c>
      <c r="L51" s="1340">
        <f ca="1">ROUND(-PV(INDIRECT("'数据-取费表'!h"&amp;$G$1),J51,(C39-C13*C76),0),0)</f>
        <v>0</v>
      </c>
      <c r="M51" s="1341"/>
      <c r="O51" s="1334" t="s">
        <v>407</v>
      </c>
      <c r="P51" s="1326" t="s">
        <v>830</v>
      </c>
      <c r="Q51" s="1337">
        <f>J52</f>
        <v>0</v>
      </c>
      <c r="R51" s="1327"/>
    </row>
    <row r="52" spans="1:18" s="1292" customFormat="1" ht="13.8" thickBot="1">
      <c r="A52" s="923"/>
      <c r="B52" s="925"/>
      <c r="C52" s="926"/>
      <c r="D52" s="899"/>
      <c r="E52" s="927" t="s">
        <v>698</v>
      </c>
      <c r="F52" s="991"/>
      <c r="I52" s="1342" t="s">
        <v>831</v>
      </c>
      <c r="J52" s="1343"/>
      <c r="K52" s="1342" t="s">
        <v>832</v>
      </c>
      <c r="L52" s="1343"/>
      <c r="O52" s="1334" t="s">
        <v>408</v>
      </c>
      <c r="P52" s="1326" t="s">
        <v>833</v>
      </c>
      <c r="Q52" s="1327">
        <f ca="1">J53</f>
        <v>0</v>
      </c>
      <c r="R52" s="1327" t="s">
        <v>834</v>
      </c>
    </row>
    <row r="53" spans="1:18" s="1292" customFormat="1" ht="36.6" thickBot="1">
      <c r="A53" s="1079" t="s">
        <v>440</v>
      </c>
      <c r="B53" s="1281" t="s">
        <v>699</v>
      </c>
      <c r="C53" s="308">
        <f ca="1">ROUND(IF(F53="押一",C49/12*F11,IF(F53="押二",C49/12*2*F11,IF(F53="押三",C49/12*3*F11,C54*F11))),0)</f>
        <v>0</v>
      </c>
      <c r="D53" s="150" t="s">
        <v>2114</v>
      </c>
      <c r="E53" s="305" t="s">
        <v>700</v>
      </c>
      <c r="F53" s="1053"/>
      <c r="I53" s="1344" t="s">
        <v>835</v>
      </c>
      <c r="J53" s="2006">
        <f ca="1">IF(M47="住宅",IF(D1="——",MAX(J51,L48),MAX(J51,L48-'数据-取费表'!B24)),IF(D1="——",MIN(J51,L48),MIN(J51,L48-'数据-取费表'!B24)))</f>
        <v>0</v>
      </c>
      <c r="K53" s="3354" t="s">
        <v>836</v>
      </c>
      <c r="L53" s="3355"/>
      <c r="O53" s="1325" t="s">
        <v>409</v>
      </c>
      <c r="P53" s="1326" t="s">
        <v>837</v>
      </c>
      <c r="Q53" s="1327" t="e">
        <f ca="1">Q47+Q48</f>
        <v>#DIV/0!</v>
      </c>
      <c r="R53" s="1327" t="s">
        <v>410</v>
      </c>
    </row>
    <row r="54" spans="1:18" s="1292" customFormat="1" ht="24.6" thickBot="1">
      <c r="A54" s="1080"/>
      <c r="B54" s="1275" t="s">
        <v>678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838</v>
      </c>
      <c r="P54" s="1289"/>
      <c r="Q54" s="1289"/>
      <c r="R54" s="1289"/>
    </row>
    <row r="55" spans="1:18" s="1292" customFormat="1" ht="13.8" thickBot="1">
      <c r="A55" s="1020" t="s">
        <v>437</v>
      </c>
      <c r="B55" s="1277" t="s">
        <v>702</v>
      </c>
      <c r="C55" s="1021"/>
      <c r="D55" s="150"/>
      <c r="E55" s="1282"/>
      <c r="F55" s="1345"/>
      <c r="I55" s="1348" t="s">
        <v>839</v>
      </c>
      <c r="J55" s="1349" t="e">
        <f ca="1">ROUND(IF(J47="钢混",J57/J50,1-(1-2%)*(J50-J57)/J50),3)</f>
        <v>#DIV/0!</v>
      </c>
      <c r="K55" s="1350" t="s">
        <v>840</v>
      </c>
      <c r="L55" s="1351"/>
      <c r="O55" s="1318" t="s">
        <v>810</v>
      </c>
      <c r="P55" s="1319" t="s">
        <v>811</v>
      </c>
      <c r="Q55" s="1320" t="s">
        <v>812</v>
      </c>
      <c r="R55" s="1320" t="s">
        <v>813</v>
      </c>
    </row>
    <row r="56" spans="1:18" s="1292" customFormat="1" ht="37.200000000000003" thickTop="1" thickBot="1">
      <c r="A56" s="903">
        <v>2</v>
      </c>
      <c r="B56" s="904" t="s">
        <v>703</v>
      </c>
      <c r="C56" s="224">
        <f ca="1">C13</f>
        <v>0</v>
      </c>
      <c r="D56" s="1352"/>
      <c r="E56" s="1353"/>
      <c r="F56" s="1345"/>
      <c r="I56" s="1354" t="s">
        <v>841</v>
      </c>
      <c r="J56" s="1355"/>
      <c r="K56" s="1328" t="s">
        <v>842</v>
      </c>
      <c r="L56" s="1331">
        <f ca="1">IF(L48&lt;J51,"——",L48-J53)</f>
        <v>0</v>
      </c>
      <c r="O56" s="1325" t="s">
        <v>403</v>
      </c>
      <c r="P56" s="1326" t="s">
        <v>816</v>
      </c>
      <c r="Q56" s="1327" t="e">
        <f ca="1">C40+J29</f>
        <v>#DIV/0!</v>
      </c>
      <c r="R56" s="1327" t="s">
        <v>817</v>
      </c>
    </row>
    <row r="57" spans="1:18" s="1292" customFormat="1" ht="24.6" thickBot="1">
      <c r="A57" s="1356"/>
      <c r="B57" s="896" t="s">
        <v>766</v>
      </c>
      <c r="C57" s="230">
        <f ca="1">C29</f>
        <v>0</v>
      </c>
      <c r="D57" s="1357"/>
      <c r="E57" s="1358"/>
      <c r="F57" s="1359"/>
      <c r="I57" s="1360" t="s">
        <v>843</v>
      </c>
      <c r="J57" s="1361">
        <f ca="1">IF(OR(M47="住宅",J51&lt;L48,J56="是"),"——",J51-L48)</f>
        <v>0</v>
      </c>
      <c r="K57" s="1328" t="s">
        <v>844</v>
      </c>
      <c r="L57" s="1331">
        <f ca="1">IF(L48&lt;J51,"——",IF(L55="比较法",L49,IF(L55="基准地价",L50,L51)))</f>
        <v>0</v>
      </c>
      <c r="O57" s="1325" t="s">
        <v>404</v>
      </c>
      <c r="P57" s="1326" t="s">
        <v>845</v>
      </c>
      <c r="Q57" s="1327" t="e">
        <f ca="1">L60</f>
        <v>#DIV/0!</v>
      </c>
      <c r="R57" s="1327" t="s">
        <v>846</v>
      </c>
    </row>
    <row r="58" spans="1:18" s="1292" customFormat="1" ht="24.6" thickBot="1">
      <c r="A58" s="307" t="s">
        <v>393</v>
      </c>
      <c r="B58" s="904" t="s">
        <v>713</v>
      </c>
      <c r="C58" s="308">
        <f ca="1">ROUND(C59+C64+C65+C66,0)</f>
        <v>0</v>
      </c>
      <c r="D58" s="906" t="s">
        <v>714</v>
      </c>
      <c r="E58" s="907"/>
      <c r="F58" s="908"/>
      <c r="I58" s="1360" t="s">
        <v>847</v>
      </c>
      <c r="J58" s="1362" t="e">
        <f ca="1">IF(J55&lt;0.4,0.4,J55)</f>
        <v>#DIV/0!</v>
      </c>
      <c r="K58" s="1339" t="s">
        <v>848</v>
      </c>
      <c r="L58" s="1331" t="e">
        <f ca="1">ROUND(POWER(1+L52,L47-L48)*(POWER(1+L52,L48)-1)/(POWER(1+L52,L47)-1),4)</f>
        <v>#DIV/0!</v>
      </c>
      <c r="O58" s="1334" t="s">
        <v>405</v>
      </c>
      <c r="P58" s="1326" t="s">
        <v>849</v>
      </c>
      <c r="Q58" s="1327">
        <f>IF(L55="比较法",L49,IF(L55="基准地价",L50,0))</f>
        <v>0</v>
      </c>
      <c r="R58" s="1327" t="s">
        <v>817</v>
      </c>
    </row>
    <row r="59" spans="1:18" s="1292" customFormat="1" ht="24.6" thickBot="1">
      <c r="A59" s="928" t="s">
        <v>398</v>
      </c>
      <c r="B59" s="896" t="s">
        <v>718</v>
      </c>
      <c r="C59" s="2140">
        <f ca="1">ROUND(IF(AND(项目基本情况!B11="自然人",项目基本情况!B10="北京市"),C49*F59/(1+'数据-取费表'!C42),C60+C61+C62),0)</f>
        <v>0</v>
      </c>
      <c r="D59" s="909" t="s">
        <v>719</v>
      </c>
      <c r="E59" s="910" t="s">
        <v>720</v>
      </c>
      <c r="F59" s="2139">
        <f ca="1">IF(项目基本情况!B11="企业","——",IF('数据-取费表'!B10="住宅",IF(F49*F50*F51/12/(1+'数据-取费表'!F30)&gt;100000,4%,2.5%),IF(F49*F50*F51/12/(1+'数据-取费表'!F30)&gt;100000,12%,7%)))</f>
        <v>7.0000000000000007E-2</v>
      </c>
      <c r="I59" s="1360" t="s">
        <v>850</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851</v>
      </c>
      <c r="Q59" s="1337">
        <f>L52</f>
        <v>0</v>
      </c>
      <c r="R59" s="1327"/>
    </row>
    <row r="60" spans="1:18" s="1292" customFormat="1" ht="16.2" thickBot="1">
      <c r="A60" s="928" t="s">
        <v>397</v>
      </c>
      <c r="B60" s="896" t="s">
        <v>722</v>
      </c>
      <c r="C60" s="21" t="str">
        <f>IF(项目基本情况!B11="自然人","——",ROUND(C48*F60/(1+'数据-取费表'!C42),2))</f>
        <v>——</v>
      </c>
      <c r="D60" s="910" t="s">
        <v>723</v>
      </c>
      <c r="E60" s="896" t="s">
        <v>711</v>
      </c>
      <c r="F60" s="322">
        <f t="shared" ref="F60:F66" si="0">F32</f>
        <v>5.5000000000000007E-2</v>
      </c>
      <c r="I60" s="1363" t="s">
        <v>852</v>
      </c>
      <c r="J60" s="1364" t="e">
        <f ca="1">IF(OR(M47="住宅",J51&lt;L48,J56="是"),"0",ROUND(J59/(1+J52)^J53,0))</f>
        <v>#DIV/0!</v>
      </c>
      <c r="K60" s="1365" t="s">
        <v>853</v>
      </c>
      <c r="L60" s="1364" t="e">
        <f ca="1">IF(OR(M47="住宅",L48&lt;J51),0,ROUND(L57*(L58/L59-1),0))</f>
        <v>#DIV/0!</v>
      </c>
      <c r="O60" s="1334" t="s">
        <v>407</v>
      </c>
      <c r="P60" s="1326" t="s">
        <v>854</v>
      </c>
      <c r="Q60" s="1327" t="e">
        <f ca="1">L58</f>
        <v>#DIV/0!</v>
      </c>
      <c r="R60" s="1327" t="s">
        <v>855</v>
      </c>
    </row>
    <row r="61" spans="1:18" s="1292" customFormat="1" ht="13.8" thickBot="1">
      <c r="A61" s="928" t="s">
        <v>780</v>
      </c>
      <c r="B61" s="896" t="s">
        <v>781</v>
      </c>
      <c r="C61" s="21" t="str">
        <f ca="1">IF(项目基本情况!B11="自然人","——",IF(D61="按租金收入计税",ROUND(C49*F61/(1+'数据-取费表'!C42),2),IF(D61="按房产原值计税",ROUND(C57*F61*0.7,2),INDIRECT("'数据-取费表'!Aj"&amp;$G$1))))</f>
        <v>——</v>
      </c>
      <c r="D61" s="1278" t="s">
        <v>3334</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8" thickBot="1">
      <c r="A62" s="928" t="s">
        <v>783</v>
      </c>
      <c r="B62" s="895" t="s">
        <v>784</v>
      </c>
      <c r="C62" s="22" t="str">
        <f>IF(项目基本情况!B11="自然人","——",ROUND(F62*F63/10000,2))</f>
        <v>——</v>
      </c>
      <c r="D62" s="911" t="s">
        <v>785</v>
      </c>
      <c r="E62" s="896" t="s">
        <v>786</v>
      </c>
      <c r="F62" s="317">
        <f t="shared" si="0"/>
        <v>1.5</v>
      </c>
      <c r="I62" s="1367" t="s">
        <v>857</v>
      </c>
      <c r="J62" s="610" t="s">
        <v>858</v>
      </c>
      <c r="K62" s="610" t="s">
        <v>859</v>
      </c>
      <c r="L62" s="610" t="s">
        <v>860</v>
      </c>
      <c r="M62" s="1368" t="s">
        <v>861</v>
      </c>
      <c r="O62" s="1325" t="s">
        <v>409</v>
      </c>
      <c r="P62" s="1326" t="s">
        <v>862</v>
      </c>
      <c r="Q62" s="1327" t="e">
        <f ca="1">Q56+Q57</f>
        <v>#DIV/0!</v>
      </c>
      <c r="R62" s="1327" t="s">
        <v>410</v>
      </c>
    </row>
    <row r="63" spans="1:18" s="1292" customFormat="1" ht="13.8"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8" thickBot="1">
      <c r="A64" s="928" t="s">
        <v>788</v>
      </c>
      <c r="B64" s="896" t="s">
        <v>789</v>
      </c>
      <c r="C64" s="21">
        <f ca="1">ROUND(C57*F64,2)</f>
        <v>0</v>
      </c>
      <c r="D64" s="910" t="s">
        <v>790</v>
      </c>
      <c r="E64" s="896" t="s">
        <v>782</v>
      </c>
      <c r="F64" s="320">
        <f t="shared" ca="1" si="0"/>
        <v>0</v>
      </c>
      <c r="I64" s="1367" t="s">
        <v>865</v>
      </c>
      <c r="J64" s="610">
        <v>50</v>
      </c>
      <c r="K64" s="610">
        <v>35</v>
      </c>
      <c r="L64" s="610">
        <v>60</v>
      </c>
      <c r="M64" s="1368">
        <v>0</v>
      </c>
      <c r="O64" s="1318" t="s">
        <v>810</v>
      </c>
      <c r="P64" s="1319" t="s">
        <v>811</v>
      </c>
      <c r="Q64" s="1320" t="s">
        <v>812</v>
      </c>
      <c r="R64" s="1320" t="s">
        <v>813</v>
      </c>
    </row>
    <row r="65" spans="1:18" s="1292" customFormat="1" ht="13.8" thickBot="1">
      <c r="A65" s="928" t="s">
        <v>791</v>
      </c>
      <c r="B65" s="896" t="s">
        <v>741</v>
      </c>
      <c r="C65" s="21">
        <f ca="1">ROUND(C56*F65,2)</f>
        <v>0</v>
      </c>
      <c r="D65" s="910" t="s">
        <v>742</v>
      </c>
      <c r="E65" s="896" t="s">
        <v>743</v>
      </c>
      <c r="F65" s="321">
        <f t="shared" ca="1" si="0"/>
        <v>0</v>
      </c>
      <c r="I65" s="1367" t="s">
        <v>866</v>
      </c>
      <c r="J65" s="610">
        <v>40</v>
      </c>
      <c r="K65" s="610">
        <v>30</v>
      </c>
      <c r="L65" s="610">
        <v>50</v>
      </c>
      <c r="M65" s="1369">
        <v>0.02</v>
      </c>
      <c r="O65" s="1325" t="s">
        <v>403</v>
      </c>
      <c r="P65" s="1326" t="s">
        <v>867</v>
      </c>
      <c r="Q65" s="1327" t="e">
        <f ca="1">C40+J29</f>
        <v>#DIV/0!</v>
      </c>
      <c r="R65" s="1327" t="s">
        <v>817</v>
      </c>
    </row>
    <row r="66" spans="1:18" s="1292" customFormat="1" ht="16.2" thickBot="1">
      <c r="A66" s="928" t="s">
        <v>792</v>
      </c>
      <c r="B66" s="896" t="s">
        <v>727</v>
      </c>
      <c r="C66" s="21">
        <f ca="1">ROUND(C48*F66,2)</f>
        <v>0</v>
      </c>
      <c r="D66" s="910" t="s">
        <v>793</v>
      </c>
      <c r="E66" s="896" t="s">
        <v>711</v>
      </c>
      <c r="F66" s="304">
        <f t="shared" ca="1" si="0"/>
        <v>0</v>
      </c>
      <c r="O66" s="1325" t="s">
        <v>404</v>
      </c>
      <c r="P66" s="1326" t="s">
        <v>845</v>
      </c>
      <c r="Q66" s="1327" t="e">
        <f ca="1">L60</f>
        <v>#DIV/0!</v>
      </c>
      <c r="R66" s="1327" t="s">
        <v>868</v>
      </c>
    </row>
    <row r="67" spans="1:18" s="1292" customFormat="1" ht="24.6" thickBot="1">
      <c r="A67" s="903" t="s">
        <v>394</v>
      </c>
      <c r="B67" s="913" t="s">
        <v>751</v>
      </c>
      <c r="C67" s="308">
        <f ca="1">C48-C58</f>
        <v>0</v>
      </c>
      <c r="D67" s="909" t="s">
        <v>752</v>
      </c>
      <c r="E67" s="914"/>
      <c r="F67" s="915"/>
      <c r="O67" s="1334" t="s">
        <v>405</v>
      </c>
      <c r="P67" s="1326" t="s">
        <v>849</v>
      </c>
      <c r="Q67" s="1370">
        <f ca="1">L51</f>
        <v>0</v>
      </c>
      <c r="R67" s="1327" t="s">
        <v>869</v>
      </c>
    </row>
    <row r="68" spans="1:18" s="1292" customFormat="1" ht="16.2" thickBot="1">
      <c r="A68" s="893" t="s">
        <v>395</v>
      </c>
      <c r="B68" s="894" t="s">
        <v>773</v>
      </c>
      <c r="C68" s="293" t="e">
        <f ca="1">ROUND(C67*(1-((1+F70)/(1+F68))^F69)/(F68-F70),0)</f>
        <v>#DIV/0!</v>
      </c>
      <c r="D68" s="911" t="s">
        <v>757</v>
      </c>
      <c r="E68" s="896" t="s">
        <v>758</v>
      </c>
      <c r="F68" s="304">
        <f ca="1">F40</f>
        <v>0</v>
      </c>
      <c r="O68" s="1334" t="s">
        <v>406</v>
      </c>
      <c r="P68" s="1371" t="s">
        <v>870</v>
      </c>
      <c r="Q68" s="1327">
        <f ca="1">ROUND(Q69-Q70*Q71,0)</f>
        <v>0</v>
      </c>
      <c r="R68" s="1327" t="s">
        <v>414</v>
      </c>
    </row>
    <row r="69" spans="1:18" s="1292" customFormat="1" ht="13.8" thickBot="1">
      <c r="A69" s="897"/>
      <c r="B69" s="898"/>
      <c r="C69" s="298"/>
      <c r="D69" s="916" t="s">
        <v>761</v>
      </c>
      <c r="E69" s="896" t="s">
        <v>762</v>
      </c>
      <c r="F69" s="324">
        <f ca="1">F41</f>
        <v>0</v>
      </c>
      <c r="O69" s="1334" t="s">
        <v>411</v>
      </c>
      <c r="P69" s="1371" t="s">
        <v>871</v>
      </c>
      <c r="Q69" s="1327">
        <f ca="1">C39</f>
        <v>0</v>
      </c>
      <c r="R69" s="1327" t="s">
        <v>817</v>
      </c>
    </row>
    <row r="70" spans="1:18" s="1292" customFormat="1" ht="13.8" thickBot="1">
      <c r="A70" s="900"/>
      <c r="B70" s="901"/>
      <c r="C70" s="302"/>
      <c r="D70" s="912"/>
      <c r="E70" s="896" t="s">
        <v>765</v>
      </c>
      <c r="F70" s="991"/>
      <c r="O70" s="1334" t="s">
        <v>412</v>
      </c>
      <c r="P70" s="1371" t="s">
        <v>872</v>
      </c>
      <c r="Q70" s="1327">
        <f ca="1">C13</f>
        <v>0</v>
      </c>
      <c r="R70" s="1327" t="s">
        <v>817</v>
      </c>
    </row>
    <row r="71" spans="1:18" s="1292" customFormat="1" ht="13.8" thickBot="1">
      <c r="A71" s="917" t="s">
        <v>396</v>
      </c>
      <c r="B71" s="918" t="s">
        <v>775</v>
      </c>
      <c r="C71" s="327" t="e">
        <f ca="1">ROUND(C68*10000/F71,0)</f>
        <v>#DIV/0!</v>
      </c>
      <c r="D71" s="919" t="s">
        <v>776</v>
      </c>
      <c r="E71" s="920" t="s">
        <v>777</v>
      </c>
      <c r="F71" s="330">
        <f ca="1">F43</f>
        <v>0</v>
      </c>
      <c r="O71" s="1334" t="s">
        <v>413</v>
      </c>
      <c r="P71" s="1371" t="s">
        <v>873</v>
      </c>
      <c r="Q71" s="1337">
        <f ca="1">C76</f>
        <v>0</v>
      </c>
      <c r="R71" s="1327"/>
    </row>
    <row r="72" spans="1:18" s="1292" customFormat="1" ht="13.8" thickBot="1">
      <c r="B72" s="685"/>
      <c r="C72" s="685"/>
      <c r="O72" s="1334" t="s">
        <v>407</v>
      </c>
      <c r="P72" s="1326" t="s">
        <v>851</v>
      </c>
      <c r="Q72" s="1337">
        <f>L52</f>
        <v>0</v>
      </c>
      <c r="R72" s="1327"/>
    </row>
    <row r="73" spans="1:18" ht="16.2" thickBot="1">
      <c r="A73" s="1292"/>
      <c r="B73" s="685"/>
      <c r="C73" s="685"/>
      <c r="D73" s="1292"/>
      <c r="E73" s="1292"/>
      <c r="F73" s="1292"/>
      <c r="O73" s="1334" t="s">
        <v>408</v>
      </c>
      <c r="P73" s="1326" t="s">
        <v>854</v>
      </c>
      <c r="Q73" s="1327" t="e">
        <f ca="1">L58</f>
        <v>#DIV/0!</v>
      </c>
      <c r="R73" s="1327" t="s">
        <v>855</v>
      </c>
    </row>
    <row r="74" spans="1:18" ht="13.8"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8" thickBot="1">
      <c r="A75" s="1292"/>
      <c r="B75" s="331" t="s">
        <v>794</v>
      </c>
      <c r="C75" s="332">
        <f ca="1">ROUND(C13*C76,0)</f>
        <v>0</v>
      </c>
      <c r="D75" s="1292"/>
      <c r="E75" s="1292"/>
      <c r="F75" s="1292"/>
      <c r="K75" s="1309"/>
      <c r="L75" s="1292"/>
      <c r="O75" s="1325" t="s">
        <v>409</v>
      </c>
      <c r="P75" s="1326" t="s">
        <v>837</v>
      </c>
      <c r="Q75" s="1327" t="e">
        <f ca="1">Q65+Q66</f>
        <v>#DIV/0!</v>
      </c>
      <c r="R75" s="1327" t="s">
        <v>410</v>
      </c>
    </row>
    <row r="76" spans="1:18">
      <c r="B76" s="333" t="s">
        <v>795</v>
      </c>
      <c r="C76" s="334">
        <f ca="1">INDIRECT("'数据-取费表'!j"&amp;$G$1)</f>
        <v>0</v>
      </c>
      <c r="I76" s="1292"/>
      <c r="J76" s="1292"/>
      <c r="K76" s="1309"/>
      <c r="L76" s="1292"/>
    </row>
    <row r="77" spans="1:18">
      <c r="B77" s="335" t="s">
        <v>796</v>
      </c>
      <c r="C77" s="336"/>
      <c r="I77" s="1292"/>
      <c r="J77" s="1292"/>
      <c r="K77" s="1309"/>
      <c r="L77" s="1292"/>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98" priority="3">
      <formula>$F$10="自定义"</formula>
    </cfRule>
  </conditionalFormatting>
  <conditionalFormatting sqref="C54">
    <cfRule type="expression" dxfId="197" priority="1">
      <formula>$F$53="自定义"</formula>
    </cfRule>
  </conditionalFormatting>
  <conditionalFormatting sqref="I55 I60">
    <cfRule type="expression" dxfId="196" priority="57">
      <formula>$J$51&gt;$L$48</formula>
    </cfRule>
  </conditionalFormatting>
  <conditionalFormatting sqref="J11">
    <cfRule type="expression" dxfId="195" priority="2">
      <formula>$M$10="自定义"</formula>
    </cfRule>
  </conditionalFormatting>
  <conditionalFormatting sqref="K55 K60">
    <cfRule type="expression" dxfId="194"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AC131"/>
  <sheetViews>
    <sheetView view="pageBreakPreview" topLeftCell="A29" zoomScale="70" zoomScaleNormal="70" zoomScaleSheetLayoutView="70" workbookViewId="0">
      <selection activeCell="E44" sqref="E4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1658</v>
      </c>
      <c r="B1" s="1734" t="s">
        <v>1764</v>
      </c>
      <c r="C1" s="1155" t="s">
        <v>1660</v>
      </c>
      <c r="D1" s="1142" t="s">
        <v>3502</v>
      </c>
      <c r="E1" s="3123" t="s">
        <v>3433</v>
      </c>
      <c r="F1" s="1735" t="s">
        <v>3434</v>
      </c>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f>IF(E1="项目模式",IF(C2="——",ROUND(C49*D3/10000,0),ROUND(C49*D3/10000,0)-D2),IF(E1="单套模式",IF(C2="——",ROUND(C49*D3/10000,4),ROUND(C49*D3/10000,4)-D2)))</f>
        <v>625.12890000000004</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40485</v>
      </c>
      <c r="C3" s="344" t="s">
        <v>1766</v>
      </c>
      <c r="D3" s="343">
        <f>IF(D1="",'数据-汇总表'!E3,SUMIF('数据-汇总表'!$C19:$C33,D1,'数据-汇总表'!$E19:$E33))</f>
        <v>154.41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1767</v>
      </c>
      <c r="B4" s="346"/>
      <c r="C4" s="3378" t="s">
        <v>1768</v>
      </c>
      <c r="D4" s="3379"/>
      <c r="E4" s="3380" t="s">
        <v>1769</v>
      </c>
      <c r="F4" s="3381"/>
      <c r="G4" s="3378" t="s">
        <v>1770</v>
      </c>
      <c r="H4" s="3379"/>
      <c r="I4" s="3378" t="s">
        <v>1771</v>
      </c>
      <c r="J4" s="3379"/>
      <c r="K4" s="537" t="s">
        <v>1772</v>
      </c>
      <c r="L4" s="2485"/>
      <c r="M4" s="2486"/>
      <c r="N4" s="2486"/>
      <c r="O4" s="2486"/>
      <c r="P4" s="3382" t="s">
        <v>1773</v>
      </c>
      <c r="Q4" s="3383"/>
      <c r="R4" s="3365" t="s">
        <v>1769</v>
      </c>
      <c r="S4" s="3366"/>
      <c r="T4" s="3365" t="s">
        <v>1770</v>
      </c>
      <c r="U4" s="3366"/>
      <c r="V4" s="3362" t="s">
        <v>1771</v>
      </c>
      <c r="W4" s="3362"/>
      <c r="X4" s="1265"/>
      <c r="Y4" s="3365" t="s">
        <v>1773</v>
      </c>
      <c r="Z4" s="3366"/>
      <c r="AA4" s="3359" t="s">
        <v>1769</v>
      </c>
      <c r="AB4" s="3362" t="s">
        <v>1770</v>
      </c>
      <c r="AC4" s="3359" t="s">
        <v>1771</v>
      </c>
    </row>
    <row r="5" spans="1:29">
      <c r="A5" s="348"/>
      <c r="B5" s="349"/>
      <c r="C5" s="3371" t="s">
        <v>1671</v>
      </c>
      <c r="D5" s="3372"/>
      <c r="E5" s="3369" t="s">
        <v>3584</v>
      </c>
      <c r="F5" s="3370"/>
      <c r="G5" s="3390" t="s">
        <v>3586</v>
      </c>
      <c r="H5" s="3372"/>
      <c r="I5" s="3371" t="str">
        <f>案例!N111</f>
        <v>云河墅</v>
      </c>
      <c r="J5" s="3372"/>
      <c r="K5" s="537"/>
      <c r="L5" s="2485"/>
      <c r="M5" s="2486"/>
      <c r="N5" s="2486"/>
      <c r="O5" s="2486"/>
      <c r="P5" s="3384"/>
      <c r="Q5" s="3385"/>
      <c r="R5" s="3367"/>
      <c r="S5" s="3368"/>
      <c r="T5" s="3367"/>
      <c r="U5" s="3368"/>
      <c r="V5" s="3362"/>
      <c r="W5" s="3362"/>
      <c r="X5" s="1265"/>
      <c r="Y5" s="3367"/>
      <c r="Z5" s="3368"/>
      <c r="AA5" s="3360"/>
      <c r="AB5" s="3362"/>
      <c r="AC5" s="3360"/>
    </row>
    <row r="6" spans="1:29" ht="15" thickBot="1">
      <c r="A6" s="350"/>
      <c r="B6" s="351"/>
      <c r="C6" s="3373" t="s">
        <v>1675</v>
      </c>
      <c r="D6" s="3374"/>
      <c r="E6" s="3375" t="s">
        <v>1675</v>
      </c>
      <c r="F6" s="3376"/>
      <c r="G6" s="3373" t="s">
        <v>1675</v>
      </c>
      <c r="H6" s="3374"/>
      <c r="I6" s="3373" t="s">
        <v>1675</v>
      </c>
      <c r="J6" s="3374"/>
      <c r="K6" s="537" t="s">
        <v>1676</v>
      </c>
      <c r="L6" s="2485"/>
      <c r="M6" s="2486"/>
      <c r="N6" s="2486"/>
      <c r="O6" s="2486"/>
      <c r="P6" s="3386"/>
      <c r="Q6" s="3387"/>
      <c r="R6" s="3367"/>
      <c r="S6" s="3368"/>
      <c r="T6" s="3388"/>
      <c r="U6" s="3389"/>
      <c r="V6" s="3362"/>
      <c r="W6" s="3362"/>
      <c r="X6" s="1265"/>
      <c r="Y6" s="3388"/>
      <c r="Z6" s="3389"/>
      <c r="AA6" s="3361"/>
      <c r="AB6" s="3362"/>
      <c r="AC6" s="3361"/>
    </row>
    <row r="7" spans="1:29" s="102" customFormat="1" ht="15" thickBot="1">
      <c r="A7" s="352" t="s">
        <v>1677</v>
      </c>
      <c r="B7" s="353"/>
      <c r="C7" s="354">
        <f>'数据-取费表'!B2</f>
        <v>45635</v>
      </c>
      <c r="D7" s="355">
        <v>100</v>
      </c>
      <c r="E7" s="356">
        <f>C7</f>
        <v>45635</v>
      </c>
      <c r="F7" s="357">
        <f>SUMIF(58:58,YEAR(E7)&amp;"-"&amp;MONTH(E7),59:59)</f>
        <v>100</v>
      </c>
      <c r="G7" s="356">
        <f>C7</f>
        <v>45635</v>
      </c>
      <c r="H7" s="355">
        <f>SUMIF(58:58,YEAR(G7)&amp;"-"&amp;MONTH(G7),59:59)</f>
        <v>100</v>
      </c>
      <c r="I7" s="356">
        <f>C7</f>
        <v>45635</v>
      </c>
      <c r="J7" s="355">
        <f>SUMIF(58:58,YEAR(I7)&amp;"-"&amp;MONTH(I7),59:59)</f>
        <v>100</v>
      </c>
      <c r="K7" s="38"/>
      <c r="L7" s="2487"/>
      <c r="M7" s="2439"/>
      <c r="N7" s="2439"/>
      <c r="O7" s="2439"/>
      <c r="P7" s="3363" t="s">
        <v>1678</v>
      </c>
      <c r="Q7" s="3391"/>
      <c r="R7" s="664" t="s">
        <v>14</v>
      </c>
      <c r="S7" s="665">
        <f t="shared" ref="S7:S15" si="0">F7</f>
        <v>100</v>
      </c>
      <c r="T7" s="664" t="s">
        <v>14</v>
      </c>
      <c r="U7" s="665">
        <f t="shared" ref="U7:U15" si="1">H7</f>
        <v>100</v>
      </c>
      <c r="V7" s="664" t="s">
        <v>14</v>
      </c>
      <c r="W7" s="665">
        <f t="shared" ref="W7:W15" si="2">J7</f>
        <v>100</v>
      </c>
      <c r="X7" s="666"/>
      <c r="Y7" s="3363" t="s">
        <v>1678</v>
      </c>
      <c r="Z7" s="3364"/>
      <c r="AA7" s="50">
        <f>D7/F7</f>
        <v>1</v>
      </c>
      <c r="AB7" s="50">
        <f>D7/H7</f>
        <v>1</v>
      </c>
      <c r="AC7" s="50">
        <f>D7/J7</f>
        <v>1</v>
      </c>
    </row>
    <row r="8" spans="1:29" s="102" customFormat="1" ht="15" thickBot="1">
      <c r="A8" s="352" t="s">
        <v>1679</v>
      </c>
      <c r="B8" s="353"/>
      <c r="C8" s="358" t="s">
        <v>3435</v>
      </c>
      <c r="D8" s="355">
        <v>100</v>
      </c>
      <c r="E8" s="358" t="s">
        <v>3436</v>
      </c>
      <c r="F8" s="357">
        <f>SUMIF(61:61,E8,62:62)-SUMIF(61:61,C8,62:62)+100</f>
        <v>105</v>
      </c>
      <c r="G8" s="358" t="s">
        <v>3436</v>
      </c>
      <c r="H8" s="355">
        <f>SUMIF(61:61,G8,62:62)-SUMIF(61:61,C8,62:62)+100</f>
        <v>105</v>
      </c>
      <c r="I8" s="358" t="s">
        <v>3436</v>
      </c>
      <c r="J8" s="355">
        <f>SUMIF(61:61,I8,62:62)-SUMIF(61:61,C8,62:62)+100</f>
        <v>105</v>
      </c>
      <c r="K8" s="38"/>
      <c r="L8" s="2487"/>
      <c r="M8" s="2439"/>
      <c r="N8" s="2439"/>
      <c r="O8" s="2439"/>
      <c r="P8" s="3363" t="s">
        <v>1681</v>
      </c>
      <c r="Q8" s="3364"/>
      <c r="R8" s="664" t="s">
        <v>14</v>
      </c>
      <c r="S8" s="665">
        <f t="shared" si="0"/>
        <v>105</v>
      </c>
      <c r="T8" s="664" t="s">
        <v>14</v>
      </c>
      <c r="U8" s="665">
        <f t="shared" si="1"/>
        <v>105</v>
      </c>
      <c r="V8" s="664" t="s">
        <v>14</v>
      </c>
      <c r="W8" s="665">
        <f t="shared" si="2"/>
        <v>105</v>
      </c>
      <c r="X8" s="666"/>
      <c r="Y8" s="3363" t="s">
        <v>1681</v>
      </c>
      <c r="Z8" s="3364"/>
      <c r="AA8" s="50">
        <f t="shared" ref="AA8:AA46" si="3">D8/F8</f>
        <v>0.95238095238095233</v>
      </c>
      <c r="AB8" s="50">
        <f t="shared" ref="AB8:AB46" si="4">D8/H8</f>
        <v>0.95238095238095233</v>
      </c>
      <c r="AC8" s="50">
        <f t="shared" ref="AC8:AC46" si="5">D8/J8</f>
        <v>0.95238095238095233</v>
      </c>
    </row>
    <row r="9" spans="1:29" s="102" customFormat="1" ht="15" thickBot="1">
      <c r="A9" s="359" t="s">
        <v>1682</v>
      </c>
      <c r="B9" s="60" t="s">
        <v>1683</v>
      </c>
      <c r="C9" s="3147" t="s">
        <v>3438</v>
      </c>
      <c r="D9" s="59">
        <v>100</v>
      </c>
      <c r="E9" s="361" t="s">
        <v>672</v>
      </c>
      <c r="F9" s="60">
        <f>SUMIF(63:63,E9,64:64)-SUMIF(63:63,C9,64:64)+100</f>
        <v>100</v>
      </c>
      <c r="G9" s="361" t="s">
        <v>672</v>
      </c>
      <c r="H9" s="59">
        <f>SUMIF(63:63,G9,64:64)-SUMIF(63:63,C9,64:64)+100</f>
        <v>100</v>
      </c>
      <c r="I9" s="361" t="s">
        <v>672</v>
      </c>
      <c r="J9" s="59">
        <f>SUMIF(63:63,I9,64:64)-SUMIF(63:63,C9,64:64)+100</f>
        <v>100</v>
      </c>
      <c r="K9" s="38"/>
      <c r="L9" s="2487"/>
      <c r="M9" s="2439"/>
      <c r="N9" s="2439"/>
      <c r="O9" s="2439"/>
      <c r="P9" s="3377" t="s">
        <v>1684</v>
      </c>
      <c r="Q9" s="530" t="str">
        <f t="shared" ref="Q9:Q15" si="6">B9</f>
        <v>用途</v>
      </c>
      <c r="R9" s="664" t="s">
        <v>14</v>
      </c>
      <c r="S9" s="665">
        <f t="shared" si="0"/>
        <v>100</v>
      </c>
      <c r="T9" s="664" t="s">
        <v>14</v>
      </c>
      <c r="U9" s="665">
        <f t="shared" si="1"/>
        <v>100</v>
      </c>
      <c r="V9" s="664" t="s">
        <v>14</v>
      </c>
      <c r="W9" s="665">
        <f t="shared" si="2"/>
        <v>100</v>
      </c>
      <c r="X9" s="666"/>
      <c r="Y9" s="3327" t="s">
        <v>1685</v>
      </c>
      <c r="Z9" s="50" t="str">
        <f t="shared" ref="Z9:Z15" si="7">Q9</f>
        <v>用途</v>
      </c>
      <c r="AA9" s="50">
        <f t="shared" si="3"/>
        <v>1</v>
      </c>
      <c r="AB9" s="50">
        <f t="shared" si="4"/>
        <v>1</v>
      </c>
      <c r="AC9" s="50">
        <f t="shared" si="5"/>
        <v>1</v>
      </c>
    </row>
    <row r="10" spans="1:29" s="366" customFormat="1" ht="29.4" thickTop="1">
      <c r="A10" s="363"/>
      <c r="B10" s="364" t="s">
        <v>1686</v>
      </c>
      <c r="C10" s="3167" t="s">
        <v>3593</v>
      </c>
      <c r="D10" s="119">
        <v>100</v>
      </c>
      <c r="E10" s="3167" t="s">
        <v>3591</v>
      </c>
      <c r="F10" s="364">
        <f>SUMIF(65:65,E10,66:66)-SUMIF(65:65,C10,66:66)+100</f>
        <v>110</v>
      </c>
      <c r="G10" s="3167" t="s">
        <v>3592</v>
      </c>
      <c r="H10" s="119">
        <f>SUMIF(65:65,G10,66:66)-SUMIF(65:65,C10,66:66)+100</f>
        <v>105</v>
      </c>
      <c r="I10" s="3167" t="s">
        <v>3591</v>
      </c>
      <c r="J10" s="119">
        <f>SUMIF(65:65,I10,66:66)-SUMIF(65:65,C10,66:66)+100</f>
        <v>110</v>
      </c>
      <c r="K10" s="38"/>
      <c r="L10" s="2488"/>
      <c r="M10" s="2489"/>
      <c r="N10" s="2489"/>
      <c r="O10" s="2489"/>
      <c r="P10" s="3377"/>
      <c r="Q10" s="530" t="str">
        <f t="shared" si="6"/>
        <v>土地使用年限（年）</v>
      </c>
      <c r="R10" s="664" t="s">
        <v>14</v>
      </c>
      <c r="S10" s="665">
        <f t="shared" si="0"/>
        <v>110</v>
      </c>
      <c r="T10" s="664" t="s">
        <v>14</v>
      </c>
      <c r="U10" s="665">
        <f t="shared" si="1"/>
        <v>105</v>
      </c>
      <c r="V10" s="664" t="s">
        <v>14</v>
      </c>
      <c r="W10" s="665">
        <f t="shared" si="2"/>
        <v>110</v>
      </c>
      <c r="X10" s="666"/>
      <c r="Y10" s="3327"/>
      <c r="Z10" s="50" t="str">
        <f t="shared" si="7"/>
        <v>土地使用年限（年）</v>
      </c>
      <c r="AA10" s="50">
        <f t="shared" si="3"/>
        <v>0.90909090909090906</v>
      </c>
      <c r="AB10" s="50">
        <f t="shared" si="4"/>
        <v>0.95238095238095233</v>
      </c>
      <c r="AC10" s="50">
        <f t="shared" si="5"/>
        <v>0.90909090909090906</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7"/>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392" t="s">
        <v>1689</v>
      </c>
      <c r="Q15" s="1263" t="str">
        <f t="shared" si="6"/>
        <v>商业繁华度</v>
      </c>
      <c r="R15" s="667" t="s">
        <v>14</v>
      </c>
      <c r="S15" s="668">
        <f t="shared" si="0"/>
        <v>100</v>
      </c>
      <c r="T15" s="667" t="s">
        <v>14</v>
      </c>
      <c r="U15" s="668">
        <f t="shared" si="1"/>
        <v>100</v>
      </c>
      <c r="V15" s="667" t="s">
        <v>14</v>
      </c>
      <c r="W15" s="668">
        <f t="shared" si="2"/>
        <v>100</v>
      </c>
      <c r="X15" s="1265"/>
      <c r="Y15" s="3394" t="s">
        <v>1689</v>
      </c>
      <c r="Z15" s="1264" t="str">
        <f t="shared" si="7"/>
        <v>商业繁华度</v>
      </c>
      <c r="AA15" s="1264">
        <f t="shared" si="3"/>
        <v>1</v>
      </c>
      <c r="AB15" s="1264">
        <f t="shared" si="4"/>
        <v>1</v>
      </c>
      <c r="AC15" s="1264">
        <f t="shared" si="5"/>
        <v>1</v>
      </c>
    </row>
    <row r="16" spans="1:29" ht="15">
      <c r="A16" s="367"/>
      <c r="B16" s="385"/>
      <c r="C16" s="386" t="s">
        <v>3445</v>
      </c>
      <c r="D16" s="387"/>
      <c r="E16" s="386" t="s">
        <v>3445</v>
      </c>
      <c r="F16" s="388"/>
      <c r="G16" s="386" t="s">
        <v>3445</v>
      </c>
      <c r="H16" s="389"/>
      <c r="I16" s="386" t="s">
        <v>3445</v>
      </c>
      <c r="J16" s="387"/>
      <c r="K16" s="541"/>
      <c r="L16" s="2491"/>
      <c r="M16" s="2486"/>
      <c r="N16" s="2486"/>
      <c r="O16" s="2486"/>
      <c r="P16" s="3393"/>
      <c r="Q16" s="1263"/>
      <c r="R16" s="667"/>
      <c r="S16" s="668"/>
      <c r="T16" s="667"/>
      <c r="U16" s="668"/>
      <c r="V16" s="667"/>
      <c r="W16" s="668"/>
      <c r="X16" s="1265"/>
      <c r="Y16" s="3395"/>
      <c r="Z16" s="1264"/>
      <c r="AA16" s="1264">
        <v>1</v>
      </c>
      <c r="AB16" s="1264">
        <v>1</v>
      </c>
      <c r="AC16" s="1264">
        <v>1</v>
      </c>
    </row>
    <row r="17" spans="1:29" ht="82.8">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93"/>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395"/>
      <c r="C18" s="1755" t="s">
        <v>3443</v>
      </c>
      <c r="D18" s="389"/>
      <c r="E18" s="1757" t="s">
        <v>3443</v>
      </c>
      <c r="F18" s="392"/>
      <c r="G18" s="1756" t="s">
        <v>3443</v>
      </c>
      <c r="H18" s="387"/>
      <c r="I18" s="1757" t="s">
        <v>3443</v>
      </c>
      <c r="J18" s="387"/>
      <c r="K18" s="541"/>
      <c r="L18" s="2491"/>
      <c r="M18" s="2486"/>
      <c r="N18" s="2486"/>
      <c r="O18" s="2486"/>
      <c r="P18" s="3393"/>
      <c r="Q18" s="1263"/>
      <c r="R18" s="667"/>
      <c r="S18" s="668"/>
      <c r="T18" s="667"/>
      <c r="U18" s="668"/>
      <c r="V18" s="667"/>
      <c r="W18" s="668"/>
      <c r="X18" s="1265"/>
      <c r="Y18" s="3395"/>
      <c r="Z18" s="1264"/>
      <c r="AA18" s="1264">
        <v>1</v>
      </c>
      <c r="AB18" s="1264">
        <v>1</v>
      </c>
      <c r="AC18" s="1264">
        <v>1</v>
      </c>
    </row>
    <row r="19" spans="1:29" ht="41.4">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93"/>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
      <c r="A20" s="367"/>
      <c r="B20" s="395"/>
      <c r="C20" s="386" t="s">
        <v>3443</v>
      </c>
      <c r="D20" s="387"/>
      <c r="E20" s="1752" t="s">
        <v>3443</v>
      </c>
      <c r="F20" s="388"/>
      <c r="G20" s="1751" t="s">
        <v>3443</v>
      </c>
      <c r="H20" s="387"/>
      <c r="I20" s="1752" t="s">
        <v>3443</v>
      </c>
      <c r="J20" s="387"/>
      <c r="K20" s="541"/>
      <c r="L20" s="2491"/>
      <c r="M20" s="2486"/>
      <c r="N20" s="2486"/>
      <c r="O20" s="2486"/>
      <c r="P20" s="3393"/>
      <c r="Q20" s="1263"/>
      <c r="R20" s="667"/>
      <c r="S20" s="668"/>
      <c r="T20" s="667"/>
      <c r="U20" s="668"/>
      <c r="V20" s="667"/>
      <c r="W20" s="668"/>
      <c r="X20" s="1265"/>
      <c r="Y20" s="3395"/>
      <c r="Z20" s="1264"/>
      <c r="AA20" s="1264">
        <v>1</v>
      </c>
      <c r="AB20" s="1264">
        <v>1</v>
      </c>
      <c r="AC20" s="1264">
        <v>1</v>
      </c>
    </row>
    <row r="21" spans="1:29" ht="27.6">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t="s">
        <v>3459</v>
      </c>
      <c r="D22" s="387"/>
      <c r="E22" s="386" t="s">
        <v>3459</v>
      </c>
      <c r="F22" s="388"/>
      <c r="G22" s="386" t="s">
        <v>3459</v>
      </c>
      <c r="H22" s="387"/>
      <c r="I22" s="386" t="s">
        <v>3459</v>
      </c>
      <c r="J22" s="387"/>
      <c r="K22" s="1064"/>
      <c r="L22" s="2491"/>
      <c r="M22" s="2486"/>
      <c r="N22" s="2486"/>
      <c r="O22" s="2486"/>
      <c r="P22" s="3393"/>
      <c r="Q22" s="1263"/>
      <c r="R22" s="667"/>
      <c r="S22" s="668"/>
      <c r="T22" s="667"/>
      <c r="U22" s="668"/>
      <c r="V22" s="667"/>
      <c r="W22" s="668"/>
      <c r="X22" s="1265"/>
      <c r="Y22" s="3395"/>
      <c r="Z22" s="1264"/>
      <c r="AA22" s="1264">
        <v>1</v>
      </c>
      <c r="AB22" s="1264">
        <v>1</v>
      </c>
      <c r="AC22" s="1264">
        <v>1</v>
      </c>
    </row>
    <row r="23" spans="1:29" ht="55.2">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93"/>
      <c r="Q23" s="1263" t="str">
        <f>B23</f>
        <v>自然及人文环境</v>
      </c>
      <c r="R23" s="667" t="s">
        <v>14</v>
      </c>
      <c r="S23" s="668">
        <f>F23</f>
        <v>100</v>
      </c>
      <c r="T23" s="667" t="s">
        <v>14</v>
      </c>
      <c r="U23" s="668">
        <f>H23</f>
        <v>100</v>
      </c>
      <c r="V23" s="667" t="s">
        <v>14</v>
      </c>
      <c r="W23" s="668">
        <f>J23</f>
        <v>100</v>
      </c>
      <c r="X23" s="1265"/>
      <c r="Y23" s="3395"/>
      <c r="Z23" s="1264" t="str">
        <f>Q23</f>
        <v>自然及人文环境</v>
      </c>
      <c r="AA23" s="1264">
        <f t="shared" si="3"/>
        <v>1</v>
      </c>
      <c r="AB23" s="1264">
        <f t="shared" si="4"/>
        <v>1</v>
      </c>
      <c r="AC23" s="1264">
        <f t="shared" si="5"/>
        <v>1</v>
      </c>
    </row>
    <row r="24" spans="1:29" ht="15">
      <c r="A24" s="367"/>
      <c r="B24" s="395"/>
      <c r="C24" s="386" t="s">
        <v>3443</v>
      </c>
      <c r="D24" s="387"/>
      <c r="E24" s="1752" t="s">
        <v>3443</v>
      </c>
      <c r="F24" s="388"/>
      <c r="G24" s="1751" t="s">
        <v>3443</v>
      </c>
      <c r="H24" s="387"/>
      <c r="I24" s="1752" t="s">
        <v>3443</v>
      </c>
      <c r="J24" s="387"/>
      <c r="K24" s="541"/>
      <c r="L24" s="2491"/>
      <c r="M24" s="2486"/>
      <c r="N24" s="2486"/>
      <c r="O24" s="2486"/>
      <c r="P24" s="3393"/>
      <c r="Q24" s="1263"/>
      <c r="R24" s="667"/>
      <c r="S24" s="668"/>
      <c r="T24" s="667"/>
      <c r="U24" s="668"/>
      <c r="V24" s="667"/>
      <c r="W24" s="668"/>
      <c r="X24" s="1265"/>
      <c r="Y24" s="3395"/>
      <c r="Z24" s="1264"/>
      <c r="AA24" s="1264">
        <v>1</v>
      </c>
      <c r="AB24" s="1264">
        <v>1</v>
      </c>
      <c r="AC24" s="1264">
        <v>1</v>
      </c>
    </row>
    <row r="25" spans="1:29" ht="15">
      <c r="A25" s="367"/>
      <c r="B25" s="364" t="s">
        <v>1778</v>
      </c>
      <c r="C25" s="542" t="s">
        <v>3440</v>
      </c>
      <c r="D25" s="374">
        <v>100</v>
      </c>
      <c r="E25" s="542" t="s">
        <v>3440</v>
      </c>
      <c r="F25" s="400">
        <f>SUMIF(86:86,E25,87:87)-SUMIF(86:86,C25,87:87)+100</f>
        <v>100</v>
      </c>
      <c r="G25" s="542" t="s">
        <v>3440</v>
      </c>
      <c r="H25" s="374">
        <f>SUMIF(86:86,G25,87:87)-SUMIF(86:86,C25,87:87)+100</f>
        <v>100</v>
      </c>
      <c r="I25" s="542" t="s">
        <v>3440</v>
      </c>
      <c r="J25" s="374">
        <f>SUMIF(86:86,I25,87:87)-SUMIF(86:86,C25,87:87)+100</f>
        <v>100</v>
      </c>
      <c r="K25" s="538">
        <v>5</v>
      </c>
      <c r="L25" s="2491"/>
      <c r="M25" s="2486"/>
      <c r="N25" s="2486"/>
      <c r="O25" s="2486"/>
      <c r="P25" s="3393"/>
      <c r="Q25" s="1263" t="str">
        <f t="shared" ref="Q25:Q46" si="11">B25</f>
        <v>临街状况</v>
      </c>
      <c r="R25" s="667" t="s">
        <v>14</v>
      </c>
      <c r="S25" s="668">
        <f>F25</f>
        <v>100</v>
      </c>
      <c r="T25" s="667" t="s">
        <v>14</v>
      </c>
      <c r="U25" s="668">
        <f>H25</f>
        <v>100</v>
      </c>
      <c r="V25" s="667" t="s">
        <v>14</v>
      </c>
      <c r="W25" s="668">
        <f>J25</f>
        <v>100</v>
      </c>
      <c r="X25" s="1265"/>
      <c r="Y25" s="3395"/>
      <c r="Z25" s="1264" t="str">
        <f>Q25</f>
        <v>临街状况</v>
      </c>
      <c r="AA25" s="1264">
        <f t="shared" si="3"/>
        <v>1</v>
      </c>
      <c r="AB25" s="1264">
        <f t="shared" si="4"/>
        <v>1</v>
      </c>
      <c r="AC25" s="1264">
        <f t="shared" si="5"/>
        <v>1</v>
      </c>
    </row>
    <row r="26" spans="1:29" ht="15">
      <c r="A26" s="367"/>
      <c r="B26" s="1066" t="s">
        <v>1779</v>
      </c>
      <c r="C26" s="3152" t="s">
        <v>3444</v>
      </c>
      <c r="D26" s="374">
        <v>100</v>
      </c>
      <c r="E26" s="3152" t="s">
        <v>3444</v>
      </c>
      <c r="F26" s="400">
        <f>SUMIF(88:88,E26,89:89)-SUMIF(88:88,C26,89:89)+100</f>
        <v>100</v>
      </c>
      <c r="G26" s="3152" t="s">
        <v>3587</v>
      </c>
      <c r="H26" s="374">
        <f>SUMIF(88:88,G26,89:89)-SUMIF(88:88,C26,89:89)+100</f>
        <v>95</v>
      </c>
      <c r="I26" s="3152" t="s">
        <v>3444</v>
      </c>
      <c r="J26" s="374">
        <f>SUMIF(88:88,I26,89:89)-SUMIF(88:88,C26,89:89)+100</f>
        <v>100</v>
      </c>
      <c r="K26" s="539"/>
      <c r="L26" s="2491"/>
      <c r="M26" s="2486"/>
      <c r="N26" s="2486"/>
      <c r="O26" s="2486"/>
      <c r="P26" s="3393"/>
      <c r="Q26" s="1263" t="str">
        <f t="shared" si="11"/>
        <v>平面位置/可视性</v>
      </c>
      <c r="R26" s="667" t="s">
        <v>14</v>
      </c>
      <c r="S26" s="668">
        <f>F26</f>
        <v>100</v>
      </c>
      <c r="T26" s="667" t="s">
        <v>14</v>
      </c>
      <c r="U26" s="668">
        <f>H26</f>
        <v>95</v>
      </c>
      <c r="V26" s="667" t="s">
        <v>14</v>
      </c>
      <c r="W26" s="668">
        <f>J26</f>
        <v>100</v>
      </c>
      <c r="X26" s="1265"/>
      <c r="Y26" s="3395"/>
      <c r="Z26" s="1264" t="str">
        <f>Q26</f>
        <v>平面位置/可视性</v>
      </c>
      <c r="AA26" s="1264">
        <f t="shared" si="3"/>
        <v>1</v>
      </c>
      <c r="AB26" s="1264">
        <f t="shared" si="4"/>
        <v>1.0526315789473684</v>
      </c>
      <c r="AC26" s="1264">
        <f t="shared" si="5"/>
        <v>1</v>
      </c>
    </row>
    <row r="27" spans="1:29" s="102" customFormat="1" ht="15">
      <c r="A27" s="370"/>
      <c r="B27" s="390" t="s">
        <v>1780</v>
      </c>
      <c r="C27" s="1807" t="s">
        <v>3445</v>
      </c>
      <c r="D27" s="401">
        <v>100</v>
      </c>
      <c r="E27" s="1807" t="s">
        <v>3445</v>
      </c>
      <c r="F27" s="395">
        <f>SUMIF(90:90,E27,91:91)-SUMIF(90:90,C27,91:91)+100</f>
        <v>100</v>
      </c>
      <c r="G27" s="1807" t="s">
        <v>3588</v>
      </c>
      <c r="H27" s="401">
        <f>SUMIF(90:90,G27,91:91)-SUMIF(90:90,C27,91:91)+100</f>
        <v>97</v>
      </c>
      <c r="I27" s="1807" t="s">
        <v>3445</v>
      </c>
      <c r="J27" s="401">
        <f>SUMIF(90:90,I27,91:91)-SUMIF(90:90,C27,91:91)+100</f>
        <v>100</v>
      </c>
      <c r="K27" s="538">
        <v>3</v>
      </c>
      <c r="L27" s="2487"/>
      <c r="M27" s="2439"/>
      <c r="N27" s="2439"/>
      <c r="O27" s="2439"/>
      <c r="P27" s="3393"/>
      <c r="Q27" s="530" t="str">
        <f t="shared" si="11"/>
        <v>人流量</v>
      </c>
      <c r="R27" s="664" t="s">
        <v>14</v>
      </c>
      <c r="S27" s="665">
        <f>F27</f>
        <v>100</v>
      </c>
      <c r="T27" s="664" t="s">
        <v>14</v>
      </c>
      <c r="U27" s="665">
        <f>H27</f>
        <v>97</v>
      </c>
      <c r="V27" s="664" t="s">
        <v>14</v>
      </c>
      <c r="W27" s="665">
        <f>J27</f>
        <v>100</v>
      </c>
      <c r="X27" s="666"/>
      <c r="Y27" s="3395"/>
      <c r="Z27" s="50" t="str">
        <f>Q27</f>
        <v>人流量</v>
      </c>
      <c r="AA27" s="1264">
        <f>D27/F27</f>
        <v>1</v>
      </c>
      <c r="AB27" s="1264">
        <f>D27/H27</f>
        <v>1.0309278350515463</v>
      </c>
      <c r="AC27" s="1264">
        <f>D27/J27</f>
        <v>1</v>
      </c>
    </row>
    <row r="28" spans="1:29" ht="15">
      <c r="A28" s="367"/>
      <c r="B28" s="364" t="s">
        <v>1781</v>
      </c>
      <c r="C28" s="542" t="s">
        <v>3536</v>
      </c>
      <c r="D28" s="374">
        <v>100</v>
      </c>
      <c r="E28" s="542" t="s">
        <v>3536</v>
      </c>
      <c r="F28" s="400">
        <f>SUMIF(92:92,E28,93:93)-SUMIF(92:92,C28,93:93)+100</f>
        <v>100</v>
      </c>
      <c r="G28" s="542" t="s">
        <v>3536</v>
      </c>
      <c r="H28" s="374">
        <f>SUMIF(92:92,G28,93:93)-SUMIF(92:92,C28,93:93)+100</f>
        <v>100</v>
      </c>
      <c r="I28" s="542" t="s">
        <v>3536</v>
      </c>
      <c r="J28" s="374">
        <f>SUMIF(92:92,I28,93:93)-SUMIF(92:92,C28,93:93)+100</f>
        <v>100</v>
      </c>
      <c r="K28" s="539"/>
      <c r="L28" s="2491"/>
      <c r="M28" s="2486"/>
      <c r="N28" s="2486"/>
      <c r="O28" s="2486"/>
      <c r="P28" s="339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5"/>
      <c r="Z28" s="1264" t="str">
        <f t="shared" ref="Z28:Z46" si="15">Q28</f>
        <v>楼层</v>
      </c>
      <c r="AA28" s="1264">
        <f t="shared" si="3"/>
        <v>1</v>
      </c>
      <c r="AB28" s="1264">
        <f t="shared" si="4"/>
        <v>1</v>
      </c>
      <c r="AC28" s="1264">
        <f t="shared" si="5"/>
        <v>1</v>
      </c>
    </row>
    <row r="29" spans="1:29" ht="15">
      <c r="A29" s="367"/>
      <c r="B29" s="3156"/>
      <c r="C29" s="3152"/>
      <c r="D29" s="374">
        <v>100</v>
      </c>
      <c r="E29" s="3152"/>
      <c r="F29" s="400">
        <f>SUMIF(94:94,E29,95:95)-SUMIF(94:94,C29,95:95)+100</f>
        <v>100</v>
      </c>
      <c r="G29" s="3152"/>
      <c r="H29" s="374">
        <f>SUMIF(94:94,G29,95:95)-SUMIF(94:94,C29,95:95)+100</f>
        <v>100</v>
      </c>
      <c r="I29" s="3152"/>
      <c r="J29" s="374">
        <f>SUMIF(94:94,I29,95:95)-SUMIF(94:94,C29,95:95)+100</f>
        <v>100</v>
      </c>
      <c r="K29" s="539"/>
      <c r="L29" s="2491"/>
      <c r="M29" s="2486"/>
      <c r="N29" s="2486"/>
      <c r="O29" s="2486"/>
      <c r="P29" s="3393"/>
      <c r="Q29" s="1263">
        <f t="shared" si="11"/>
        <v>0</v>
      </c>
      <c r="R29" s="667" t="s">
        <v>14</v>
      </c>
      <c r="S29" s="668">
        <f t="shared" si="12"/>
        <v>100</v>
      </c>
      <c r="T29" s="667" t="s">
        <v>14</v>
      </c>
      <c r="U29" s="668">
        <f t="shared" si="13"/>
        <v>100</v>
      </c>
      <c r="V29" s="667" t="s">
        <v>14</v>
      </c>
      <c r="W29" s="668">
        <f t="shared" si="14"/>
        <v>100</v>
      </c>
      <c r="X29" s="1265"/>
      <c r="Y29" s="3395"/>
      <c r="Z29" s="1264">
        <f t="shared" si="15"/>
        <v>0</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3"/>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3154" t="s">
        <v>3598</v>
      </c>
      <c r="O31" s="3154" t="s">
        <v>3599</v>
      </c>
      <c r="P31" s="3393"/>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264">
        <f t="shared" si="5"/>
        <v>1</v>
      </c>
    </row>
    <row r="32" spans="1:29" ht="15">
      <c r="A32" s="379" t="s">
        <v>1692</v>
      </c>
      <c r="B32" s="60" t="s">
        <v>1782</v>
      </c>
      <c r="C32" s="1764" t="s">
        <v>3455</v>
      </c>
      <c r="D32" s="405">
        <v>100</v>
      </c>
      <c r="E32" s="1764" t="s">
        <v>3455</v>
      </c>
      <c r="F32" s="400">
        <f>SUMIF(100:100,E32,101:101)-SUMIF(100:100,C32,101:101)+100</f>
        <v>100</v>
      </c>
      <c r="G32" s="1764" t="s">
        <v>3455</v>
      </c>
      <c r="H32" s="374">
        <f>SUMIF(100:100,G32,101:101)-SUMIF(100:100,C32,101:101)+100</f>
        <v>100</v>
      </c>
      <c r="I32" s="1764" t="s">
        <v>3455</v>
      </c>
      <c r="J32" s="405">
        <f>SUMIF(100:100,I32,101:101)-SUMIF(100:100,C32,101:101)+100</f>
        <v>100</v>
      </c>
      <c r="K32" s="538">
        <v>5</v>
      </c>
      <c r="L32" s="2491"/>
      <c r="M32" s="3154" t="s">
        <v>3554</v>
      </c>
      <c r="N32" s="2486">
        <v>2013</v>
      </c>
      <c r="O32" s="2486">
        <f>ROUND(1-(1-0)*(2024-N32)/60,2)</f>
        <v>0.82</v>
      </c>
      <c r="P32" s="3396" t="s">
        <v>1694</v>
      </c>
      <c r="Q32" s="1263" t="str">
        <f t="shared" si="11"/>
        <v>商业类型</v>
      </c>
      <c r="R32" s="667" t="s">
        <v>14</v>
      </c>
      <c r="S32" s="668">
        <f t="shared" si="12"/>
        <v>100</v>
      </c>
      <c r="T32" s="667" t="s">
        <v>14</v>
      </c>
      <c r="U32" s="668">
        <f t="shared" si="13"/>
        <v>100</v>
      </c>
      <c r="V32" s="667" t="s">
        <v>14</v>
      </c>
      <c r="W32" s="668">
        <f t="shared" si="14"/>
        <v>100</v>
      </c>
      <c r="X32" s="1265"/>
      <c r="Y32" s="3399" t="s">
        <v>1694</v>
      </c>
      <c r="Z32" s="1264" t="str">
        <f t="shared" si="15"/>
        <v>商业类型</v>
      </c>
      <c r="AA32" s="1264">
        <f t="shared" si="3"/>
        <v>1</v>
      </c>
      <c r="AB32" s="1264">
        <f t="shared" si="4"/>
        <v>1</v>
      </c>
      <c r="AC32" s="1264">
        <f t="shared" si="5"/>
        <v>1</v>
      </c>
    </row>
    <row r="33" spans="1:29" s="408" customFormat="1" ht="15">
      <c r="A33" s="406"/>
      <c r="B33" s="364" t="s">
        <v>1695</v>
      </c>
      <c r="C33" s="407">
        <f>'数据-汇总表'!E19</f>
        <v>154.41</v>
      </c>
      <c r="D33" s="119">
        <v>100</v>
      </c>
      <c r="E33" s="369">
        <v>190.35</v>
      </c>
      <c r="F33" s="364">
        <f>LOOKUP(E33,103:103,104:104)-LOOKUP(C33,103:103,104:104)+100</f>
        <v>100</v>
      </c>
      <c r="G33" s="368">
        <v>58.26</v>
      </c>
      <c r="H33" s="119">
        <f>LOOKUP(G33,103:103,104:104)-LOOKUP(C33,103:103,104:104)+100</f>
        <v>107</v>
      </c>
      <c r="I33" s="368">
        <f>案例!O112</f>
        <v>131.91</v>
      </c>
      <c r="J33" s="119">
        <f>LOOKUP(I33,103:103,104:104)-LOOKUP(C33,103:103,104:104)+100</f>
        <v>102</v>
      </c>
      <c r="K33" s="539"/>
      <c r="L33" s="2490"/>
      <c r="M33" s="3154" t="s">
        <v>3555</v>
      </c>
      <c r="N33" s="2486">
        <v>2016</v>
      </c>
      <c r="O33" s="2486">
        <f>ROUND(1-(1-0)*(2024-N33)/60,2)</f>
        <v>0.87</v>
      </c>
      <c r="P33" s="3397"/>
      <c r="Q33" s="531" t="str">
        <f t="shared" si="11"/>
        <v>项目建筑规模</v>
      </c>
      <c r="R33" s="669" t="s">
        <v>14</v>
      </c>
      <c r="S33" s="670">
        <f t="shared" si="12"/>
        <v>100</v>
      </c>
      <c r="T33" s="669" t="s">
        <v>14</v>
      </c>
      <c r="U33" s="670">
        <f t="shared" si="13"/>
        <v>107</v>
      </c>
      <c r="V33" s="669" t="s">
        <v>14</v>
      </c>
      <c r="W33" s="670">
        <f t="shared" si="14"/>
        <v>102</v>
      </c>
      <c r="X33" s="671"/>
      <c r="Y33" s="3399"/>
      <c r="Z33" s="672" t="str">
        <f t="shared" si="15"/>
        <v>项目建筑规模</v>
      </c>
      <c r="AA33" s="1264">
        <f t="shared" si="3"/>
        <v>1</v>
      </c>
      <c r="AB33" s="1264">
        <f t="shared" si="4"/>
        <v>0.93457943925233644</v>
      </c>
      <c r="AC33" s="1264">
        <f t="shared" si="5"/>
        <v>0.98039215686274506</v>
      </c>
    </row>
    <row r="34" spans="1:29" ht="15">
      <c r="A34" s="409"/>
      <c r="B34" s="364" t="s">
        <v>1696</v>
      </c>
      <c r="C34" s="399" t="s">
        <v>3402</v>
      </c>
      <c r="D34" s="374">
        <v>100</v>
      </c>
      <c r="E34" s="399" t="s">
        <v>3402</v>
      </c>
      <c r="F34" s="400">
        <f>SUMIF(105:105,E34,106:106)-SUMIF(105:105,C34,106:106)+100</f>
        <v>100</v>
      </c>
      <c r="G34" s="399" t="s">
        <v>3402</v>
      </c>
      <c r="H34" s="374">
        <f>SUMIF(105:105,G34,106:106)-SUMIF(105:105,C34,106:106)+100</f>
        <v>100</v>
      </c>
      <c r="I34" s="399" t="s">
        <v>3402</v>
      </c>
      <c r="J34" s="374">
        <f>SUMIF(105:105,I34,106:106)-SUMIF(105:105,C34,106:106)+100</f>
        <v>100</v>
      </c>
      <c r="K34" s="538">
        <v>1</v>
      </c>
      <c r="L34" s="2491"/>
      <c r="M34" s="3154" t="s">
        <v>3556</v>
      </c>
      <c r="N34" s="2486">
        <v>2007</v>
      </c>
      <c r="O34" s="2486">
        <f>ROUND(1-(1-0)*(2024-N34)/60,2)</f>
        <v>0.72</v>
      </c>
      <c r="P34" s="3397"/>
      <c r="Q34" s="1263" t="str">
        <f t="shared" si="11"/>
        <v>建筑结构</v>
      </c>
      <c r="R34" s="667" t="s">
        <v>14</v>
      </c>
      <c r="S34" s="668">
        <f t="shared" si="12"/>
        <v>100</v>
      </c>
      <c r="T34" s="667" t="s">
        <v>14</v>
      </c>
      <c r="U34" s="668">
        <f t="shared" si="13"/>
        <v>100</v>
      </c>
      <c r="V34" s="667" t="s">
        <v>14</v>
      </c>
      <c r="W34" s="668">
        <f t="shared" si="14"/>
        <v>100</v>
      </c>
      <c r="X34" s="1265"/>
      <c r="Y34" s="3399"/>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3154" t="s">
        <v>3597</v>
      </c>
      <c r="N35" s="2486">
        <v>2012</v>
      </c>
      <c r="O35" s="2486">
        <f t="shared" ref="O35:O36" si="16">ROUND(1-(1-0)*(2024-N35)/60,2)</f>
        <v>0.8</v>
      </c>
      <c r="P35" s="3397"/>
      <c r="Q35" s="1263" t="str">
        <f t="shared" si="11"/>
        <v>公共部分装修</v>
      </c>
      <c r="R35" s="667" t="s">
        <v>14</v>
      </c>
      <c r="S35" s="668">
        <f t="shared" si="12"/>
        <v>100</v>
      </c>
      <c r="T35" s="667" t="s">
        <v>14</v>
      </c>
      <c r="U35" s="668">
        <f t="shared" si="13"/>
        <v>100</v>
      </c>
      <c r="V35" s="667" t="s">
        <v>14</v>
      </c>
      <c r="W35" s="668">
        <f t="shared" si="14"/>
        <v>100</v>
      </c>
      <c r="X35" s="1265"/>
      <c r="Y35" s="3399"/>
      <c r="Z35" s="1264" t="str">
        <f t="shared" si="15"/>
        <v>公共部分装修</v>
      </c>
      <c r="AA35" s="1264">
        <f t="shared" si="3"/>
        <v>1</v>
      </c>
      <c r="AB35" s="1264">
        <f t="shared" si="4"/>
        <v>1</v>
      </c>
      <c r="AC35" s="1264">
        <f t="shared" si="5"/>
        <v>1</v>
      </c>
    </row>
    <row r="36" spans="1:29" ht="15">
      <c r="A36" s="409"/>
      <c r="B36" s="364" t="s">
        <v>1784</v>
      </c>
      <c r="C36" s="411">
        <f>'数据-取费表'!N6</f>
        <v>0.74</v>
      </c>
      <c r="D36" s="374">
        <v>100</v>
      </c>
      <c r="E36" s="411">
        <f>O35</f>
        <v>0.8</v>
      </c>
      <c r="F36" s="400">
        <f>LOOKUP(E36,110:110,111:111)-LOOKUP(C36,110:110,111:111)+100</f>
        <v>101</v>
      </c>
      <c r="G36" s="411">
        <f>O36</f>
        <v>0.77</v>
      </c>
      <c r="H36" s="400">
        <f>LOOKUP(G36,110:110,111:111)-LOOKUP(C36,110:110,111:111)+100</f>
        <v>100</v>
      </c>
      <c r="I36" s="411">
        <f>O32</f>
        <v>0.82</v>
      </c>
      <c r="J36" s="374">
        <f>LOOKUP(I36,110:110,111:111)-LOOKUP(C36,110:110,111:111)+100</f>
        <v>101</v>
      </c>
      <c r="K36" s="538">
        <v>1</v>
      </c>
      <c r="L36" s="2491"/>
      <c r="M36" s="3154" t="s">
        <v>3600</v>
      </c>
      <c r="N36" s="2486">
        <v>2010</v>
      </c>
      <c r="O36" s="2486">
        <f t="shared" si="16"/>
        <v>0.77</v>
      </c>
      <c r="P36" s="3397"/>
      <c r="Q36" s="1263" t="str">
        <f t="shared" si="11"/>
        <v>成新度</v>
      </c>
      <c r="R36" s="667" t="s">
        <v>14</v>
      </c>
      <c r="S36" s="668">
        <f t="shared" si="12"/>
        <v>101</v>
      </c>
      <c r="T36" s="667" t="s">
        <v>14</v>
      </c>
      <c r="U36" s="668">
        <f t="shared" si="13"/>
        <v>100</v>
      </c>
      <c r="V36" s="667" t="s">
        <v>14</v>
      </c>
      <c r="W36" s="668">
        <f t="shared" si="14"/>
        <v>101</v>
      </c>
      <c r="X36" s="1265"/>
      <c r="Y36" s="3399"/>
      <c r="Z36" s="1264" t="str">
        <f t="shared" si="15"/>
        <v>成新度</v>
      </c>
      <c r="AA36" s="1264">
        <f t="shared" si="3"/>
        <v>0.99009900990099009</v>
      </c>
      <c r="AB36" s="1264">
        <f t="shared" si="4"/>
        <v>1</v>
      </c>
      <c r="AC36" s="1264">
        <f t="shared" si="5"/>
        <v>0.99009900990099009</v>
      </c>
    </row>
    <row r="37" spans="1:29" s="102" customFormat="1" ht="15">
      <c r="A37" s="410"/>
      <c r="B37" s="364" t="s">
        <v>1785</v>
      </c>
      <c r="C37" s="1760" t="s">
        <v>3461</v>
      </c>
      <c r="D37" s="119">
        <v>100</v>
      </c>
      <c r="E37" s="1760" t="s">
        <v>3459</v>
      </c>
      <c r="F37" s="400">
        <f>SUMIF(112:112,E37,113:113)-SUMIF(112:112,C37,113:113)+100</f>
        <v>101</v>
      </c>
      <c r="G37" s="1760" t="s">
        <v>3461</v>
      </c>
      <c r="H37" s="374">
        <f>SUMIF(112:112,G37,113:113)-SUMIF(112:112,C37,113:113)+100</f>
        <v>100</v>
      </c>
      <c r="I37" s="1760" t="s">
        <v>3461</v>
      </c>
      <c r="J37" s="374">
        <f>SUMIF(112:112,I37,113:113)-SUMIF(112:112,C37,113:113)+100</f>
        <v>100</v>
      </c>
      <c r="K37" s="538">
        <v>1</v>
      </c>
      <c r="L37" s="2487"/>
      <c r="M37" s="2486"/>
      <c r="N37" s="2486"/>
      <c r="O37" s="2439"/>
      <c r="P37" s="3397"/>
      <c r="Q37" s="530" t="str">
        <f t="shared" si="11"/>
        <v>市政基础设施</v>
      </c>
      <c r="R37" s="664" t="s">
        <v>14</v>
      </c>
      <c r="S37" s="665">
        <f t="shared" si="12"/>
        <v>101</v>
      </c>
      <c r="T37" s="664" t="s">
        <v>14</v>
      </c>
      <c r="U37" s="665">
        <f t="shared" si="13"/>
        <v>100</v>
      </c>
      <c r="V37" s="664" t="s">
        <v>14</v>
      </c>
      <c r="W37" s="665">
        <f t="shared" si="14"/>
        <v>100</v>
      </c>
      <c r="X37" s="666"/>
      <c r="Y37" s="3399"/>
      <c r="Z37" s="50" t="str">
        <f t="shared" si="15"/>
        <v>市政基础设施</v>
      </c>
      <c r="AA37" s="50">
        <f t="shared" si="3"/>
        <v>0.99009900990099009</v>
      </c>
      <c r="AB37" s="50">
        <f t="shared" si="4"/>
        <v>1</v>
      </c>
      <c r="AC37" s="50">
        <f t="shared" si="5"/>
        <v>1</v>
      </c>
    </row>
    <row r="38" spans="1:29" ht="15">
      <c r="A38" s="409"/>
      <c r="B38" s="364" t="s">
        <v>1786</v>
      </c>
      <c r="C38" s="1760" t="s">
        <v>3464</v>
      </c>
      <c r="D38" s="374">
        <v>100</v>
      </c>
      <c r="E38" s="1760" t="s">
        <v>3466</v>
      </c>
      <c r="F38" s="400">
        <f>SUMIF(114:114,E38,115:115)-SUMIF(114:114,C38,115:115)+100</f>
        <v>95</v>
      </c>
      <c r="G38" s="1760" t="s">
        <v>3466</v>
      </c>
      <c r="H38" s="374">
        <f>SUMIF(114:114,G38,115:115)-SUMIF(114:114,C38,115:115)+100</f>
        <v>95</v>
      </c>
      <c r="I38" s="1760" t="s">
        <v>3466</v>
      </c>
      <c r="J38" s="374">
        <f>SUMIF(114:114,I38,115:115)-SUMIF(114:114,C38,115:115)+100</f>
        <v>95</v>
      </c>
      <c r="K38" s="538">
        <v>5</v>
      </c>
      <c r="L38" s="2491"/>
      <c r="N38" s="3154" t="s">
        <v>3601</v>
      </c>
      <c r="O38" s="2486"/>
      <c r="P38" s="3397" t="s">
        <v>1694</v>
      </c>
      <c r="Q38" s="1263" t="str">
        <f t="shared" si="11"/>
        <v>业态</v>
      </c>
      <c r="R38" s="667" t="s">
        <v>14</v>
      </c>
      <c r="S38" s="668">
        <f t="shared" si="12"/>
        <v>95</v>
      </c>
      <c r="T38" s="667" t="s">
        <v>14</v>
      </c>
      <c r="U38" s="668">
        <f t="shared" si="13"/>
        <v>95</v>
      </c>
      <c r="V38" s="667" t="s">
        <v>14</v>
      </c>
      <c r="W38" s="668">
        <f t="shared" si="14"/>
        <v>95</v>
      </c>
      <c r="X38" s="1265"/>
      <c r="Y38" s="3399" t="s">
        <v>1694</v>
      </c>
      <c r="Z38" s="1264" t="str">
        <f t="shared" si="15"/>
        <v>业态</v>
      </c>
      <c r="AA38" s="1264">
        <f t="shared" si="3"/>
        <v>1.0526315789473684</v>
      </c>
      <c r="AB38" s="1264">
        <f t="shared" si="4"/>
        <v>1.0526315789473684</v>
      </c>
      <c r="AC38" s="1264">
        <f t="shared" si="5"/>
        <v>1.0526315789473684</v>
      </c>
    </row>
    <row r="39" spans="1:29" ht="15">
      <c r="A39" s="409"/>
      <c r="B39" s="364" t="s">
        <v>1787</v>
      </c>
      <c r="C39" s="1760" t="s">
        <v>3468</v>
      </c>
      <c r="D39" s="374">
        <v>100</v>
      </c>
      <c r="E39" s="1760" t="s">
        <v>3579</v>
      </c>
      <c r="F39" s="400">
        <f>SUMIF(116:116,E39,117:117)-SUMIF(116:116,C39,117:117)+100</f>
        <v>105</v>
      </c>
      <c r="G39" s="1760" t="s">
        <v>3468</v>
      </c>
      <c r="H39" s="374">
        <f>SUMIF(116:116,G39,117:117)-SUMIF(116:116,C39,117:117)+100</f>
        <v>100</v>
      </c>
      <c r="I39" s="1760" t="s">
        <v>3468</v>
      </c>
      <c r="J39" s="374">
        <f>SUMIF(116:116,I39,117:117)-SUMIF(116:116,C39,117:117)+100</f>
        <v>100</v>
      </c>
      <c r="K39" s="538">
        <v>5</v>
      </c>
      <c r="L39" s="3154" t="s">
        <v>3597</v>
      </c>
      <c r="M39" s="2486">
        <f>N35-2+40</f>
        <v>2050</v>
      </c>
      <c r="N39" s="2486">
        <f>M39-2024</f>
        <v>26</v>
      </c>
      <c r="O39" s="2486"/>
      <c r="P39" s="3397"/>
      <c r="Q39" s="1263" t="str">
        <f t="shared" si="11"/>
        <v>层高</v>
      </c>
      <c r="R39" s="667" t="s">
        <v>14</v>
      </c>
      <c r="S39" s="668">
        <f t="shared" si="12"/>
        <v>105</v>
      </c>
      <c r="T39" s="667" t="s">
        <v>14</v>
      </c>
      <c r="U39" s="668">
        <f t="shared" si="13"/>
        <v>100</v>
      </c>
      <c r="V39" s="667" t="s">
        <v>14</v>
      </c>
      <c r="W39" s="668">
        <f t="shared" si="14"/>
        <v>100</v>
      </c>
      <c r="X39" s="1265"/>
      <c r="Y39" s="3399"/>
      <c r="Z39" s="1264" t="str">
        <f t="shared" si="15"/>
        <v>层高</v>
      </c>
      <c r="AA39" s="1264">
        <f t="shared" si="3"/>
        <v>0.95238095238095233</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3154" t="s">
        <v>3600</v>
      </c>
      <c r="M40" s="2486">
        <f>N36-2+40</f>
        <v>2048</v>
      </c>
      <c r="N40" s="2486">
        <f t="shared" ref="N40:N41" si="17">M40-2024</f>
        <v>24</v>
      </c>
      <c r="O40" s="2486"/>
      <c r="P40" s="3397"/>
      <c r="Q40" s="1263" t="str">
        <f t="shared" si="11"/>
        <v>单套建筑面积</v>
      </c>
      <c r="R40" s="667" t="s">
        <v>14</v>
      </c>
      <c r="S40" s="668">
        <f t="shared" si="12"/>
        <v>100</v>
      </c>
      <c r="T40" s="667" t="s">
        <v>14</v>
      </c>
      <c r="U40" s="668">
        <f t="shared" si="13"/>
        <v>100</v>
      </c>
      <c r="V40" s="667" t="s">
        <v>14</v>
      </c>
      <c r="W40" s="668">
        <f t="shared" si="14"/>
        <v>100</v>
      </c>
      <c r="X40" s="1265"/>
      <c r="Y40" s="3399"/>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3154" t="s">
        <v>3602</v>
      </c>
      <c r="M41" s="2486">
        <f>N32-2+40</f>
        <v>2051</v>
      </c>
      <c r="N41" s="2486">
        <f t="shared" si="17"/>
        <v>27</v>
      </c>
      <c r="O41" s="2492"/>
      <c r="P41" s="3397"/>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4">
        <f t="shared" si="3"/>
        <v>1</v>
      </c>
      <c r="AB41" s="1264">
        <f t="shared" si="4"/>
        <v>1</v>
      </c>
      <c r="AC41" s="1264">
        <f t="shared" si="5"/>
        <v>1</v>
      </c>
    </row>
    <row r="42" spans="1:29" ht="15">
      <c r="A42" s="409"/>
      <c r="B42" s="364" t="s">
        <v>1790</v>
      </c>
      <c r="C42" s="1760" t="s">
        <v>3473</v>
      </c>
      <c r="D42" s="374">
        <v>100</v>
      </c>
      <c r="E42" s="1760" t="s">
        <v>3473</v>
      </c>
      <c r="F42" s="400">
        <f>SUMIF(122:122,E42,123:123)-SUMIF(122:122,C42,123:123)+100</f>
        <v>100</v>
      </c>
      <c r="G42" s="1760" t="s">
        <v>3473</v>
      </c>
      <c r="H42" s="374">
        <f>SUMIF(122:122,G42,123:123)-SUMIF(122:122,C42,123:123)+100</f>
        <v>100</v>
      </c>
      <c r="I42" s="1760" t="s">
        <v>3470</v>
      </c>
      <c r="J42" s="374">
        <f>SUMIF(122:122,I42,123:123)-SUMIF(122:122,C42,123:123)+100</f>
        <v>104</v>
      </c>
      <c r="K42" s="538">
        <v>2</v>
      </c>
      <c r="L42" s="2491"/>
      <c r="M42" s="2486"/>
      <c r="N42" s="3164" t="s">
        <v>3609</v>
      </c>
      <c r="O42" s="2486"/>
      <c r="P42" s="3397"/>
      <c r="Q42" s="1263" t="str">
        <f t="shared" si="11"/>
        <v>内部装修</v>
      </c>
      <c r="R42" s="667" t="s">
        <v>14</v>
      </c>
      <c r="S42" s="668">
        <f t="shared" si="12"/>
        <v>100</v>
      </c>
      <c r="T42" s="667" t="s">
        <v>14</v>
      </c>
      <c r="U42" s="668">
        <f t="shared" si="13"/>
        <v>100</v>
      </c>
      <c r="V42" s="667" t="s">
        <v>14</v>
      </c>
      <c r="W42" s="668">
        <f t="shared" si="14"/>
        <v>104</v>
      </c>
      <c r="X42" s="1265"/>
      <c r="Y42" s="3399"/>
      <c r="Z42" s="1264" t="str">
        <f t="shared" si="15"/>
        <v>内部装修</v>
      </c>
      <c r="AA42" s="1264">
        <f t="shared" si="3"/>
        <v>1</v>
      </c>
      <c r="AB42" s="1264">
        <f t="shared" si="4"/>
        <v>1</v>
      </c>
      <c r="AC42" s="1264">
        <f t="shared" si="5"/>
        <v>0.96153846153846156</v>
      </c>
    </row>
    <row r="43" spans="1:29" ht="28.8">
      <c r="A43" s="409"/>
      <c r="B43" s="364" t="s">
        <v>1705</v>
      </c>
      <c r="C43" s="1760" t="s">
        <v>3443</v>
      </c>
      <c r="D43" s="374">
        <v>100</v>
      </c>
      <c r="E43" s="1760" t="s">
        <v>3443</v>
      </c>
      <c r="F43" s="400">
        <f>SUMIF(124:124,E43,125:125)-SUMIF(124:124,C43,125:125)+100</f>
        <v>100</v>
      </c>
      <c r="G43" s="1760" t="s">
        <v>3443</v>
      </c>
      <c r="H43" s="374">
        <f>SUMIF(124:124,G43,125:125)-SUMIF(124:124,C43,125:125)+100</f>
        <v>100</v>
      </c>
      <c r="I43" s="1760" t="s">
        <v>3443</v>
      </c>
      <c r="J43" s="374">
        <f>SUMIF(124:124,I43,125:125)-SUMIF(124:124,C43,125:125)+100</f>
        <v>100</v>
      </c>
      <c r="K43" s="538">
        <v>2</v>
      </c>
      <c r="L43" s="3509" t="s">
        <v>3607</v>
      </c>
      <c r="M43" s="2486">
        <f>案例!N79</f>
        <v>55162</v>
      </c>
      <c r="N43" s="3508">
        <f>ROUND(M43/C93*100,0)</f>
        <v>46747</v>
      </c>
      <c r="O43" s="2486"/>
      <c r="P43" s="3397"/>
      <c r="Q43" s="1263" t="str">
        <f t="shared" si="11"/>
        <v>内部装修维护情况</v>
      </c>
      <c r="R43" s="667" t="s">
        <v>14</v>
      </c>
      <c r="S43" s="668">
        <f t="shared" si="12"/>
        <v>100</v>
      </c>
      <c r="T43" s="667" t="s">
        <v>14</v>
      </c>
      <c r="U43" s="668">
        <f t="shared" si="13"/>
        <v>100</v>
      </c>
      <c r="V43" s="667" t="s">
        <v>14</v>
      </c>
      <c r="W43" s="668">
        <f t="shared" si="14"/>
        <v>100</v>
      </c>
      <c r="X43" s="1265"/>
      <c r="Y43" s="339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3507" t="s">
        <v>3608</v>
      </c>
      <c r="M44" s="2439">
        <v>48061</v>
      </c>
      <c r="N44" s="3508">
        <f>ROUND(M44/C93*100,0)</f>
        <v>40730</v>
      </c>
      <c r="O44" s="2439"/>
      <c r="P44" s="3397"/>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3506"/>
      <c r="M45" s="2486"/>
      <c r="N45" s="2486"/>
      <c r="O45" s="2486"/>
      <c r="P45" s="3397"/>
      <c r="Q45" s="1263">
        <f t="shared" si="11"/>
        <v>111</v>
      </c>
      <c r="R45" s="667" t="s">
        <v>14</v>
      </c>
      <c r="S45" s="668">
        <f t="shared" si="12"/>
        <v>100</v>
      </c>
      <c r="T45" s="667" t="s">
        <v>14</v>
      </c>
      <c r="U45" s="668">
        <f t="shared" si="13"/>
        <v>100</v>
      </c>
      <c r="V45" s="667" t="s">
        <v>14</v>
      </c>
      <c r="W45" s="668">
        <f t="shared" si="14"/>
        <v>100</v>
      </c>
      <c r="X45" s="1265"/>
      <c r="Y45" s="339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264">
        <f t="shared" si="5"/>
        <v>1</v>
      </c>
    </row>
    <row r="47" spans="1:29" ht="14.4">
      <c r="A47" s="416" t="s">
        <v>1706</v>
      </c>
      <c r="B47" s="417"/>
      <c r="C47" s="1081" t="s">
        <v>0</v>
      </c>
      <c r="D47" s="418"/>
      <c r="E47" s="419">
        <f>N43</f>
        <v>46747</v>
      </c>
      <c r="F47" s="420"/>
      <c r="G47" s="421">
        <f>N44</f>
        <v>40730</v>
      </c>
      <c r="H47" s="422"/>
      <c r="I47" s="419">
        <f>案例!O113</f>
        <v>49656</v>
      </c>
      <c r="J47" s="422"/>
      <c r="K47" s="674"/>
      <c r="L47" s="2493"/>
      <c r="M47" s="2486"/>
      <c r="N47" s="2486"/>
      <c r="O47" s="2486"/>
      <c r="P47" s="3401" t="str">
        <f>A47</f>
        <v>成交单价（元/平方米）</v>
      </c>
      <c r="Q47" s="3401"/>
      <c r="R47" s="3362">
        <f>E47</f>
        <v>46747</v>
      </c>
      <c r="S47" s="3362"/>
      <c r="T47" s="3362">
        <f>G47</f>
        <v>40730</v>
      </c>
      <c r="U47" s="3362"/>
      <c r="V47" s="3362">
        <f>I47</f>
        <v>49656</v>
      </c>
      <c r="W47" s="3362"/>
      <c r="X47" s="385"/>
      <c r="Y47" s="673"/>
      <c r="Z47" s="385"/>
      <c r="AA47" s="385"/>
      <c r="AB47" s="385"/>
      <c r="AC47" s="385"/>
    </row>
    <row r="48" spans="1:29" ht="15" thickBot="1">
      <c r="A48" s="423" t="s">
        <v>1791</v>
      </c>
      <c r="B48" s="424"/>
      <c r="C48" s="1082">
        <f>R49</f>
        <v>40485</v>
      </c>
      <c r="D48" s="2141" t="s">
        <v>2136</v>
      </c>
      <c r="E48" s="1083">
        <f>R48</f>
        <v>39776</v>
      </c>
      <c r="F48" s="2142"/>
      <c r="G48" s="1082">
        <f>T48</f>
        <v>39440</v>
      </c>
      <c r="H48" s="2142"/>
      <c r="I48" s="1083">
        <f>V48</f>
        <v>42239</v>
      </c>
      <c r="J48" s="2142"/>
      <c r="K48" s="2144">
        <f>F48+H48+J48</f>
        <v>0</v>
      </c>
      <c r="L48" s="2493"/>
      <c r="M48" s="2486"/>
      <c r="N48" s="2486"/>
      <c r="O48" s="2486"/>
      <c r="P48" s="3401" t="str">
        <f>A48</f>
        <v>比较价值（元/平方米）</v>
      </c>
      <c r="Q48" s="3401"/>
      <c r="R48" s="3362">
        <f>IF(F1="售价",ROUND(PRODUCT(R47,AA7:AA46),0),ROUND(PRODUCT(R47,AA7:AA46),1))</f>
        <v>39776</v>
      </c>
      <c r="S48" s="3362"/>
      <c r="T48" s="3362">
        <f>IF(F1="售价",ROUND(PRODUCT(T47,AB7:AB46),0),ROUND(PRODUCT(T47,AB7:AB46),1))</f>
        <v>39440</v>
      </c>
      <c r="U48" s="3362"/>
      <c r="V48" s="3362">
        <f>IF(F1="售价",ROUND(PRODUCT(V47,AC7:AC46),0),ROUND(PRODUCT(V47,AC7:AC46),1))</f>
        <v>42239</v>
      </c>
      <c r="W48" s="3362"/>
      <c r="X48" s="385"/>
      <c r="Y48" s="385"/>
      <c r="Z48" s="385"/>
      <c r="AA48" s="385"/>
      <c r="AB48" s="385"/>
      <c r="AC48" s="385"/>
    </row>
    <row r="49" spans="1:29" ht="15" thickBot="1">
      <c r="A49" s="427" t="s">
        <v>1792</v>
      </c>
      <c r="B49" s="428"/>
      <c r="C49" s="351">
        <f>R49</f>
        <v>40485</v>
      </c>
      <c r="D49" s="351"/>
      <c r="E49" s="351"/>
      <c r="F49" s="351"/>
      <c r="G49" s="351"/>
      <c r="H49" s="351"/>
      <c r="I49" s="351"/>
      <c r="J49" s="351"/>
      <c r="K49" s="675"/>
      <c r="L49" s="2493"/>
      <c r="M49" s="2486"/>
      <c r="N49" s="2486"/>
      <c r="O49" s="2486"/>
      <c r="P49" s="3402" t="str">
        <f>A49</f>
        <v>估价对象XX用房的比较价值（楼面单价，元/平方米）</v>
      </c>
      <c r="Q49" s="3403"/>
      <c r="R49" s="3404">
        <f>IF(F1="售价",ROUND(IF(D48="简单平均",AVERAGE(R48:V48),R48*F48+T48*H48+V48*J48),0),ROUND(IF(D48="简单平均",AVERAGE(R48:V48),R48*F48+T48*H48+V48*J48),1))</f>
        <v>40485</v>
      </c>
      <c r="S49" s="3404"/>
      <c r="T49" s="3404"/>
      <c r="U49" s="3404"/>
      <c r="V49" s="3404"/>
      <c r="W49" s="3404"/>
      <c r="X49" s="385"/>
      <c r="Y49" s="385"/>
      <c r="Z49" s="385"/>
      <c r="AA49" s="385"/>
      <c r="AB49" s="385"/>
      <c r="AC49" s="385"/>
    </row>
    <row r="50" spans="1:29" ht="14.4">
      <c r="A50" s="2486"/>
      <c r="B50" s="2486"/>
      <c r="C50" s="3154" t="s">
        <v>3611</v>
      </c>
      <c r="D50" s="2486"/>
      <c r="E50" s="2486"/>
      <c r="F50" s="2486"/>
      <c r="G50" s="3510" t="s">
        <v>3612</v>
      </c>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ht="14.4">
      <c r="A51" s="2486"/>
      <c r="B51" s="2486"/>
      <c r="E51" s="2486"/>
      <c r="F51" s="2486"/>
      <c r="G51" s="3154" t="s">
        <v>3610</v>
      </c>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1793</v>
      </c>
      <c r="D52" s="433"/>
      <c r="E52" s="434">
        <f>IF(E47&lt;E48,E48/E47-1,E47/E48-1)</f>
        <v>0.17525643604183427</v>
      </c>
      <c r="F52" s="435" t="str">
        <f>IF(OR(E52&gt;=0.3,E52&lt;=-0.3),"超过30%","")</f>
        <v/>
      </c>
      <c r="G52" s="434">
        <f>IF(G47&lt;G48,G48/G47-1,G47/G48-1)</f>
        <v>3.2707910750507052E-2</v>
      </c>
      <c r="H52" s="435" t="str">
        <f>IF(OR(G52&gt;=0.3,G52&lt;=-0.3),"超过30%","")</f>
        <v/>
      </c>
      <c r="I52" s="434">
        <f>IF(I47&lt;I48,I48/I47-1,I47/I48-1)</f>
        <v>0.1755960131631904</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1794</v>
      </c>
      <c r="D53" s="436"/>
      <c r="E53" s="434">
        <f>IF(E48&lt;G48,G48/E48-1,E48/G48-1)</f>
        <v>8.519269776876337E-3</v>
      </c>
      <c r="F53" s="435" t="str">
        <f>IF(OR(E53&gt;=0.2,E53&lt;=-0.2),"超过20%","")</f>
        <v/>
      </c>
      <c r="G53" s="434">
        <f>IF(G48&lt;I48,I48/G48-1,G48/I48-1)</f>
        <v>7.0968559837728096E-2</v>
      </c>
      <c r="H53" s="435" t="str">
        <f>IF(OR(G53&gt;=0.2,G53&lt;=-0.2),"超过20%","")</f>
        <v/>
      </c>
      <c r="I53" s="434">
        <f>IF(I48&lt;E48,E48/I48-1,I48/E48-1)</f>
        <v>6.1921761866452041E-2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1795</v>
      </c>
      <c r="D54" s="436"/>
      <c r="E54" s="434">
        <f>IF(E47&lt;G47,G47/E47-1,E47/G47-1)</f>
        <v>0.14772894672231773</v>
      </c>
      <c r="F54" s="435" t="str">
        <f>IF(OR(E54&gt;=0.3,E54&lt;=-0.3),"超过30%","")</f>
        <v/>
      </c>
      <c r="G54" s="434">
        <f>IF(G47&lt;I47,I47/G47-1,G47/I47-1)</f>
        <v>0.21915050331451025</v>
      </c>
      <c r="H54" s="435" t="str">
        <f>IF(OR(G54&gt;=0.3,G54&lt;=-0.3),"超过30%","")</f>
        <v/>
      </c>
      <c r="I54" s="434">
        <f>IF(I47&lt;E47,E47/I47-1,I47/E47-1)</f>
        <v>6.2228592209125688E-2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1796</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1677</v>
      </c>
      <c r="B58" s="441"/>
      <c r="C58" s="1103" t="str">
        <f>YEAR(C7)&amp;"-"&amp;MONTH(C7)</f>
        <v>2024-12</v>
      </c>
      <c r="D58" s="1104">
        <f>EDATE(C58,-1)</f>
        <v>45597</v>
      </c>
      <c r="E58" s="1104">
        <f t="shared" ref="E58:N58" si="18">EDATE(D58,-1)</f>
        <v>45566</v>
      </c>
      <c r="F58" s="1104">
        <f t="shared" si="18"/>
        <v>45536</v>
      </c>
      <c r="G58" s="1104">
        <f t="shared" si="18"/>
        <v>45505</v>
      </c>
      <c r="H58" s="1104">
        <f t="shared" si="18"/>
        <v>45474</v>
      </c>
      <c r="I58" s="1104">
        <f t="shared" si="18"/>
        <v>45444</v>
      </c>
      <c r="J58" s="1104">
        <f t="shared" si="18"/>
        <v>45413</v>
      </c>
      <c r="K58" s="1104">
        <f t="shared" si="18"/>
        <v>45383</v>
      </c>
      <c r="L58" s="1104">
        <f t="shared" si="18"/>
        <v>45352</v>
      </c>
      <c r="M58" s="1104">
        <f t="shared" si="18"/>
        <v>45323</v>
      </c>
      <c r="N58" s="1104">
        <f t="shared" si="18"/>
        <v>45292</v>
      </c>
      <c r="O58" s="1104">
        <f>EDATE(N58,-1)</f>
        <v>45261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1714</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1679</v>
      </c>
      <c r="B61" s="444"/>
      <c r="C61" s="456" t="s">
        <v>1774</v>
      </c>
      <c r="D61" s="3146" t="s">
        <v>3437</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1717</v>
      </c>
      <c r="B63" s="460" t="s">
        <v>1683</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1686</v>
      </c>
      <c r="C65" s="3167" t="s">
        <v>3589</v>
      </c>
      <c r="D65" s="3167" t="s">
        <v>3590</v>
      </c>
      <c r="E65" s="3167" t="s">
        <v>3591</v>
      </c>
      <c r="F65" s="3167" t="s">
        <v>3592</v>
      </c>
      <c r="G65" s="3167" t="s">
        <v>3593</v>
      </c>
      <c r="H65" s="3167" t="s">
        <v>3594</v>
      </c>
      <c r="I65" s="3167" t="s">
        <v>3595</v>
      </c>
      <c r="J65" s="3167" t="s">
        <v>3596</v>
      </c>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3168">
        <v>100</v>
      </c>
      <c r="D66" s="3168">
        <f>C66-$N$66</f>
        <v>95</v>
      </c>
      <c r="E66" s="3168">
        <f t="shared" ref="E66:J66" si="19">D66-$N$66</f>
        <v>90</v>
      </c>
      <c r="F66" s="3168">
        <f t="shared" si="19"/>
        <v>85</v>
      </c>
      <c r="G66" s="3168">
        <f t="shared" si="19"/>
        <v>80</v>
      </c>
      <c r="H66" s="3168">
        <f t="shared" si="19"/>
        <v>75</v>
      </c>
      <c r="I66" s="3168">
        <f t="shared" si="19"/>
        <v>70</v>
      </c>
      <c r="J66" s="3168">
        <f t="shared" si="19"/>
        <v>65</v>
      </c>
      <c r="K66" s="467"/>
      <c r="L66" s="467"/>
      <c r="M66" s="468"/>
      <c r="N66" s="2521">
        <v>5</v>
      </c>
      <c r="O66" s="2521"/>
      <c r="P66" s="2512"/>
      <c r="Q66" s="2507"/>
      <c r="R66" s="2486"/>
      <c r="S66" s="2486"/>
      <c r="T66" s="2486"/>
      <c r="U66" s="2486"/>
      <c r="V66" s="2486"/>
      <c r="W66" s="2486"/>
      <c r="X66" s="2486"/>
      <c r="Y66" s="2486"/>
      <c r="Z66" s="2486"/>
      <c r="AA66" s="2486"/>
      <c r="AB66" s="2486"/>
      <c r="AC66" s="2486"/>
    </row>
    <row r="67" spans="1:29" ht="15" thickTop="1">
      <c r="A67" s="367"/>
      <c r="B67" s="477" t="s">
        <v>1687</v>
      </c>
      <c r="C67" s="478" t="str">
        <f>C68&amp;"（含）"&amp;"-"&amp;D68</f>
        <v>0（含）-2</v>
      </c>
      <c r="D67" s="478" t="str">
        <f t="shared" ref="D67:L67" si="20">D68&amp;"（含）"&amp;"-"&amp;E68</f>
        <v>2（含）-</v>
      </c>
      <c r="E67" s="478" t="str">
        <f t="shared" si="20"/>
        <v>（含）-</v>
      </c>
      <c r="F67" s="478" t="str">
        <f t="shared" si="20"/>
        <v>（含）-</v>
      </c>
      <c r="G67" s="478" t="str">
        <f t="shared" si="20"/>
        <v>（含）-</v>
      </c>
      <c r="H67" s="478" t="str">
        <f t="shared" si="20"/>
        <v>（含）-</v>
      </c>
      <c r="I67" s="478" t="str">
        <f t="shared" si="20"/>
        <v>（含）-</v>
      </c>
      <c r="J67" s="478" t="str">
        <f t="shared" si="20"/>
        <v>（含）-</v>
      </c>
      <c r="K67" s="478" t="str">
        <f t="shared" si="20"/>
        <v>（含）-</v>
      </c>
      <c r="L67" s="478" t="str">
        <f t="shared" si="20"/>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1688</v>
      </c>
      <c r="B76" s="460" t="s">
        <v>1718</v>
      </c>
      <c r="C76" s="504" t="s">
        <v>1719</v>
      </c>
      <c r="D76" s="504" t="s">
        <v>1720</v>
      </c>
      <c r="E76" s="504" t="s">
        <v>1721</v>
      </c>
      <c r="F76" s="504" t="s">
        <v>1722</v>
      </c>
      <c r="G76" s="504" t="s">
        <v>1723</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1724</v>
      </c>
      <c r="C78" s="509" t="s">
        <v>1719</v>
      </c>
      <c r="D78" s="509" t="s">
        <v>1720</v>
      </c>
      <c r="E78" s="509" t="s">
        <v>1721</v>
      </c>
      <c r="F78" s="509" t="s">
        <v>1722</v>
      </c>
      <c r="G78" s="509" t="s">
        <v>1723</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1725</v>
      </c>
      <c r="C80" s="509" t="s">
        <v>1719</v>
      </c>
      <c r="D80" s="509" t="s">
        <v>1720</v>
      </c>
      <c r="E80" s="509" t="s">
        <v>1721</v>
      </c>
      <c r="F80" s="509" t="s">
        <v>1722</v>
      </c>
      <c r="G80" s="509" t="s">
        <v>1723</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1777</v>
      </c>
      <c r="C82" s="581" t="s">
        <v>1797</v>
      </c>
      <c r="D82" s="581" t="s">
        <v>1798</v>
      </c>
      <c r="E82" s="581" t="s">
        <v>1799</v>
      </c>
      <c r="F82" s="581" t="s">
        <v>1800</v>
      </c>
      <c r="G82" s="581" t="s">
        <v>1801</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22">D83-$K21</f>
        <v>98</v>
      </c>
      <c r="F83" s="475">
        <f t="shared" si="22"/>
        <v>97</v>
      </c>
      <c r="G83" s="475">
        <f t="shared" si="22"/>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1731</v>
      </c>
      <c r="C84" s="509" t="s">
        <v>1719</v>
      </c>
      <c r="D84" s="509" t="s">
        <v>1720</v>
      </c>
      <c r="E84" s="509" t="s">
        <v>1721</v>
      </c>
      <c r="F84" s="509" t="s">
        <v>1722</v>
      </c>
      <c r="G84" s="509" t="s">
        <v>1723</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1802</v>
      </c>
      <c r="C86" s="3148" t="s">
        <v>3439</v>
      </c>
      <c r="D86" s="3148" t="s">
        <v>3441</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3">C87-$K25</f>
        <v>95</v>
      </c>
      <c r="E87" s="475">
        <f t="shared" si="23"/>
        <v>90</v>
      </c>
      <c r="F87" s="475">
        <f t="shared" si="23"/>
        <v>85</v>
      </c>
      <c r="G87" s="475">
        <f t="shared" si="23"/>
        <v>80</v>
      </c>
      <c r="H87" s="475">
        <f t="shared" si="23"/>
        <v>75</v>
      </c>
      <c r="I87" s="475">
        <f t="shared" si="23"/>
        <v>70</v>
      </c>
      <c r="J87" s="475">
        <f t="shared" si="23"/>
        <v>65</v>
      </c>
      <c r="K87" s="475">
        <f t="shared" si="23"/>
        <v>60</v>
      </c>
      <c r="L87" s="475">
        <f t="shared" si="23"/>
        <v>55</v>
      </c>
      <c r="M87" s="475">
        <f t="shared" si="23"/>
        <v>50</v>
      </c>
      <c r="N87" s="2521"/>
      <c r="O87" s="2521"/>
      <c r="P87" s="2512"/>
      <c r="Q87" s="2507"/>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48" t="s">
        <v>3446</v>
      </c>
      <c r="D88" s="3148" t="s">
        <v>3447</v>
      </c>
      <c r="E88" s="3148" t="s">
        <v>3448</v>
      </c>
      <c r="F88" s="3149" t="s">
        <v>3449</v>
      </c>
      <c r="G88" s="3148" t="s">
        <v>3450</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v>100</v>
      </c>
      <c r="D89" s="467">
        <f>C89-5</f>
        <v>95</v>
      </c>
      <c r="E89" s="467">
        <f t="shared" ref="E89:G89" si="24">D89-5</f>
        <v>90</v>
      </c>
      <c r="F89" s="467">
        <f t="shared" si="24"/>
        <v>85</v>
      </c>
      <c r="G89" s="467">
        <f t="shared" si="24"/>
        <v>80</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 thickTop="1">
      <c r="A90" s="484"/>
      <c r="B90" s="469" t="str">
        <f>B27</f>
        <v>人流量</v>
      </c>
      <c r="C90" s="3148" t="s">
        <v>3451</v>
      </c>
      <c r="D90" s="3148" t="s">
        <v>3452</v>
      </c>
      <c r="E90" s="3148" t="s">
        <v>3448</v>
      </c>
      <c r="F90" s="3148" t="s">
        <v>3453</v>
      </c>
      <c r="G90" s="3148" t="s">
        <v>3454</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97</v>
      </c>
      <c r="E91" s="475">
        <f t="shared" ref="E91:M91" si="25">D91-$K27</f>
        <v>94</v>
      </c>
      <c r="F91" s="475">
        <f t="shared" si="25"/>
        <v>91</v>
      </c>
      <c r="G91" s="475">
        <f t="shared" si="25"/>
        <v>88</v>
      </c>
      <c r="H91" s="475">
        <f t="shared" si="25"/>
        <v>85</v>
      </c>
      <c r="I91" s="475">
        <f t="shared" si="25"/>
        <v>82</v>
      </c>
      <c r="J91" s="475">
        <f t="shared" si="25"/>
        <v>79</v>
      </c>
      <c r="K91" s="475">
        <f t="shared" si="25"/>
        <v>76</v>
      </c>
      <c r="L91" s="475">
        <f t="shared" si="25"/>
        <v>73</v>
      </c>
      <c r="M91" s="475">
        <f t="shared" si="25"/>
        <v>70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3533</v>
      </c>
      <c r="D92" s="485" t="s">
        <v>3534</v>
      </c>
      <c r="E92" s="485" t="s">
        <v>3535</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f>面积信息!Q9</f>
        <v>118</v>
      </c>
      <c r="D93" s="467">
        <f>面积信息!Q10</f>
        <v>82</v>
      </c>
      <c r="E93" s="467">
        <f>面积信息!Q11</f>
        <v>100</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f>B29</f>
        <v>0</v>
      </c>
      <c r="C94" s="3148" t="s">
        <v>3559</v>
      </c>
      <c r="D94" s="3148" t="s">
        <v>3558</v>
      </c>
      <c r="E94" s="3148" t="s">
        <v>3557</v>
      </c>
      <c r="F94" s="3148" t="s">
        <v>3560</v>
      </c>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f>C95-2</f>
        <v>98</v>
      </c>
      <c r="E95" s="467">
        <f t="shared" ref="E95:F95" si="26">D95-2</f>
        <v>96</v>
      </c>
      <c r="F95" s="467">
        <f t="shared" si="26"/>
        <v>94</v>
      </c>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1692</v>
      </c>
      <c r="B100" s="460" t="s">
        <v>1803</v>
      </c>
      <c r="C100" s="3150" t="s">
        <v>3456</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7">C101-$K32</f>
        <v>95</v>
      </c>
      <c r="E101" s="475">
        <f t="shared" si="27"/>
        <v>90</v>
      </c>
      <c r="F101" s="475">
        <f t="shared" si="27"/>
        <v>85</v>
      </c>
      <c r="G101" s="475">
        <f t="shared" si="27"/>
        <v>80</v>
      </c>
      <c r="H101" s="475">
        <f t="shared" si="27"/>
        <v>75</v>
      </c>
      <c r="I101" s="475">
        <f t="shared" si="27"/>
        <v>70</v>
      </c>
      <c r="J101" s="475">
        <f t="shared" si="27"/>
        <v>65</v>
      </c>
      <c r="K101" s="475">
        <f t="shared" si="27"/>
        <v>60</v>
      </c>
      <c r="L101" s="475">
        <f t="shared" si="27"/>
        <v>55</v>
      </c>
      <c r="M101" s="476">
        <f t="shared" si="27"/>
        <v>50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1735</v>
      </c>
      <c r="C102" s="509" t="str">
        <f>C103&amp;"(含)"&amp;"-"&amp;D103</f>
        <v>0(含)-50</v>
      </c>
      <c r="D102" s="509" t="str">
        <f t="shared" ref="D102:L102" si="28">D103&amp;"(含)"&amp;"-"&amp;E103</f>
        <v>50(含)-100</v>
      </c>
      <c r="E102" s="509" t="str">
        <f t="shared" si="28"/>
        <v>100(含)-150</v>
      </c>
      <c r="F102" s="509" t="str">
        <f t="shared" si="28"/>
        <v>150(含)-200</v>
      </c>
      <c r="G102" s="509" t="str">
        <f t="shared" si="28"/>
        <v>200(含)-300</v>
      </c>
      <c r="H102" s="509" t="str">
        <f t="shared" si="28"/>
        <v>300(含)-500</v>
      </c>
      <c r="I102" s="509" t="str">
        <f t="shared" si="28"/>
        <v>500(含)-</v>
      </c>
      <c r="J102" s="509" t="str">
        <f t="shared" si="28"/>
        <v>(含)-</v>
      </c>
      <c r="K102" s="509" t="str">
        <f t="shared" si="28"/>
        <v>(含)-</v>
      </c>
      <c r="L102" s="509" t="str">
        <f t="shared" si="28"/>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150</v>
      </c>
      <c r="G103" s="6">
        <v>200</v>
      </c>
      <c r="H103" s="6">
        <v>300</v>
      </c>
      <c r="I103" s="6">
        <v>500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v>95</v>
      </c>
      <c r="E104" s="467">
        <v>90</v>
      </c>
      <c r="F104" s="467">
        <f t="shared" ref="F104:G104" si="29">E104-2</f>
        <v>88</v>
      </c>
      <c r="G104" s="467">
        <f t="shared" si="29"/>
        <v>86</v>
      </c>
      <c r="H104" s="467">
        <f t="shared" ref="H104" si="30">G104-2</f>
        <v>84</v>
      </c>
      <c r="I104" s="467">
        <f t="shared" ref="I104" si="31">H104-2</f>
        <v>82</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1736</v>
      </c>
      <c r="C105" s="3148" t="s">
        <v>3457</v>
      </c>
      <c r="D105" s="3148" t="s">
        <v>3458</v>
      </c>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32">C106-$K34</f>
        <v>99</v>
      </c>
      <c r="E106" s="475">
        <f t="shared" si="32"/>
        <v>98</v>
      </c>
      <c r="F106" s="475">
        <f t="shared" si="32"/>
        <v>97</v>
      </c>
      <c r="G106" s="475">
        <f t="shared" si="32"/>
        <v>96</v>
      </c>
      <c r="H106" s="475">
        <f t="shared" si="32"/>
        <v>95</v>
      </c>
      <c r="I106" s="475">
        <f t="shared" si="32"/>
        <v>94</v>
      </c>
      <c r="J106" s="475">
        <f t="shared" si="32"/>
        <v>93</v>
      </c>
      <c r="K106" s="475">
        <f t="shared" si="32"/>
        <v>92</v>
      </c>
      <c r="L106" s="475">
        <f t="shared" si="32"/>
        <v>91</v>
      </c>
      <c r="M106" s="476">
        <f t="shared" si="32"/>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1738</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33">C108-$K35</f>
        <v>100</v>
      </c>
      <c r="E108" s="475">
        <f t="shared" si="33"/>
        <v>100</v>
      </c>
      <c r="F108" s="475">
        <f t="shared" si="33"/>
        <v>100</v>
      </c>
      <c r="G108" s="475">
        <f t="shared" si="33"/>
        <v>100</v>
      </c>
      <c r="H108" s="475">
        <f t="shared" si="33"/>
        <v>100</v>
      </c>
      <c r="I108" s="475">
        <f t="shared" si="33"/>
        <v>100</v>
      </c>
      <c r="J108" s="475">
        <f t="shared" si="33"/>
        <v>100</v>
      </c>
      <c r="K108" s="475">
        <f t="shared" si="33"/>
        <v>100</v>
      </c>
      <c r="L108" s="475">
        <f t="shared" si="33"/>
        <v>100</v>
      </c>
      <c r="M108" s="476">
        <f t="shared" si="33"/>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34">D111+$K36</f>
        <v>102</v>
      </c>
      <c r="F111" s="475">
        <f t="shared" si="34"/>
        <v>103</v>
      </c>
      <c r="G111" s="475">
        <f t="shared" si="34"/>
        <v>104</v>
      </c>
      <c r="H111" s="475">
        <f t="shared" si="34"/>
        <v>105</v>
      </c>
      <c r="I111" s="475">
        <f t="shared" si="34"/>
        <v>106</v>
      </c>
      <c r="J111" s="475">
        <f t="shared" si="34"/>
        <v>107</v>
      </c>
      <c r="K111" s="475">
        <f t="shared" si="34"/>
        <v>108</v>
      </c>
      <c r="L111" s="475">
        <f t="shared" si="34"/>
        <v>109</v>
      </c>
      <c r="M111" s="475">
        <f t="shared" si="34"/>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1740</v>
      </c>
      <c r="C112" s="3148" t="s">
        <v>3460</v>
      </c>
      <c r="D112" s="3148" t="s">
        <v>3462</v>
      </c>
      <c r="E112" s="3148" t="s">
        <v>3463</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35">D113-$K37</f>
        <v>98</v>
      </c>
      <c r="F113" s="475">
        <f t="shared" si="35"/>
        <v>97</v>
      </c>
      <c r="G113" s="475">
        <f t="shared" si="35"/>
        <v>96</v>
      </c>
      <c r="H113" s="475">
        <f t="shared" si="35"/>
        <v>95</v>
      </c>
      <c r="I113" s="475">
        <f t="shared" si="35"/>
        <v>94</v>
      </c>
      <c r="J113" s="475">
        <f t="shared" si="35"/>
        <v>93</v>
      </c>
      <c r="K113" s="475">
        <f t="shared" si="35"/>
        <v>92</v>
      </c>
      <c r="L113" s="475">
        <f t="shared" si="35"/>
        <v>91</v>
      </c>
      <c r="M113" s="475">
        <f t="shared" si="35"/>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1804</v>
      </c>
      <c r="C114" s="3148" t="s">
        <v>3465</v>
      </c>
      <c r="D114" s="3148" t="s">
        <v>3467</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6">C115-$K38</f>
        <v>95</v>
      </c>
      <c r="E115" s="475">
        <f t="shared" si="36"/>
        <v>90</v>
      </c>
      <c r="F115" s="475">
        <f t="shared" si="36"/>
        <v>85</v>
      </c>
      <c r="G115" s="475">
        <f t="shared" si="36"/>
        <v>80</v>
      </c>
      <c r="H115" s="475">
        <f t="shared" si="36"/>
        <v>75</v>
      </c>
      <c r="I115" s="475">
        <f t="shared" si="36"/>
        <v>70</v>
      </c>
      <c r="J115" s="475">
        <f t="shared" si="36"/>
        <v>65</v>
      </c>
      <c r="K115" s="475">
        <f t="shared" si="36"/>
        <v>60</v>
      </c>
      <c r="L115" s="475">
        <f t="shared" si="36"/>
        <v>55</v>
      </c>
      <c r="M115" s="476">
        <f t="shared" si="36"/>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1805</v>
      </c>
      <c r="C116" s="3148" t="s">
        <v>3585</v>
      </c>
      <c r="D116" s="3148" t="s">
        <v>3469</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1806</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1807</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7">D121-$K41</f>
        <v>100</v>
      </c>
      <c r="F121" s="475">
        <f t="shared" si="37"/>
        <v>100</v>
      </c>
      <c r="G121" s="475">
        <f t="shared" si="37"/>
        <v>100</v>
      </c>
      <c r="H121" s="475">
        <f t="shared" si="37"/>
        <v>100</v>
      </c>
      <c r="I121" s="475">
        <f t="shared" si="37"/>
        <v>100</v>
      </c>
      <c r="J121" s="475">
        <f t="shared" si="37"/>
        <v>100</v>
      </c>
      <c r="K121" s="475">
        <f t="shared" si="37"/>
        <v>100</v>
      </c>
      <c r="L121" s="475">
        <f t="shared" si="37"/>
        <v>100</v>
      </c>
      <c r="M121" s="476">
        <f t="shared" si="37"/>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1742</v>
      </c>
      <c r="C122" s="3148" t="s">
        <v>3471</v>
      </c>
      <c r="D122" s="3148" t="s">
        <v>3472</v>
      </c>
      <c r="E122" s="3148" t="s">
        <v>3474</v>
      </c>
      <c r="F122" s="3151" t="s">
        <v>3475</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8">C123-$K42</f>
        <v>98</v>
      </c>
      <c r="E123" s="475">
        <f t="shared" si="38"/>
        <v>96</v>
      </c>
      <c r="F123" s="475">
        <f t="shared" si="38"/>
        <v>94</v>
      </c>
      <c r="G123" s="475">
        <f t="shared" si="38"/>
        <v>92</v>
      </c>
      <c r="H123" s="475">
        <f t="shared" si="38"/>
        <v>90</v>
      </c>
      <c r="I123" s="475">
        <f t="shared" si="38"/>
        <v>88</v>
      </c>
      <c r="J123" s="475">
        <f t="shared" si="38"/>
        <v>86</v>
      </c>
      <c r="K123" s="475">
        <f t="shared" si="38"/>
        <v>84</v>
      </c>
      <c r="L123" s="475">
        <f t="shared" si="38"/>
        <v>82</v>
      </c>
      <c r="M123" s="476">
        <f t="shared" si="38"/>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1743</v>
      </c>
      <c r="C124" s="509" t="s">
        <v>1719</v>
      </c>
      <c r="D124" s="509" t="s">
        <v>1720</v>
      </c>
      <c r="E124" s="509" t="s">
        <v>1721</v>
      </c>
      <c r="F124" s="509" t="s">
        <v>1722</v>
      </c>
      <c r="G124" s="509" t="s">
        <v>1723</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93" priority="16" stopIfTrue="1">
      <formula>$F$52="超过30%"</formula>
    </cfRule>
  </conditionalFormatting>
  <conditionalFormatting sqref="E53">
    <cfRule type="expression" dxfId="192" priority="15" stopIfTrue="1">
      <formula>$F$53="超过20%"</formula>
    </cfRule>
  </conditionalFormatting>
  <conditionalFormatting sqref="E54">
    <cfRule type="expression" dxfId="191" priority="14" stopIfTrue="1">
      <formula>$F$54="超过30%"</formula>
    </cfRule>
  </conditionalFormatting>
  <conditionalFormatting sqref="F7:F46 H7:H46 J7:J46">
    <cfRule type="cellIs" dxfId="190" priority="1" operator="notEqual">
      <formula>100</formula>
    </cfRule>
  </conditionalFormatting>
  <conditionalFormatting sqref="F48">
    <cfRule type="expression" dxfId="189" priority="4">
      <formula>$D$48="简单平均"</formula>
    </cfRule>
  </conditionalFormatting>
  <conditionalFormatting sqref="F52:F54 H52:H54">
    <cfRule type="containsText" dxfId="188" priority="17" stopIfTrue="1" operator="containsText" text="超过">
      <formula>NOT(ISERROR(SEARCH("超过",F52)))</formula>
    </cfRule>
  </conditionalFormatting>
  <conditionalFormatting sqref="G52">
    <cfRule type="expression" dxfId="187" priority="12" stopIfTrue="1">
      <formula>$H$52="超过30%"</formula>
    </cfRule>
  </conditionalFormatting>
  <conditionalFormatting sqref="G53">
    <cfRule type="expression" dxfId="186" priority="11" stopIfTrue="1">
      <formula>$H$53="超过20%"</formula>
    </cfRule>
  </conditionalFormatting>
  <conditionalFormatting sqref="G54">
    <cfRule type="expression" dxfId="185" priority="13" stopIfTrue="1">
      <formula>$H$54="超过30%"</formula>
    </cfRule>
  </conditionalFormatting>
  <conditionalFormatting sqref="H48">
    <cfRule type="expression" dxfId="184" priority="3">
      <formula>$D$48="简单平均"</formula>
    </cfRule>
  </conditionalFormatting>
  <conditionalFormatting sqref="I52">
    <cfRule type="expression" dxfId="183" priority="7" stopIfTrue="1">
      <formula>$J$52="超过30%"</formula>
    </cfRule>
  </conditionalFormatting>
  <conditionalFormatting sqref="I53">
    <cfRule type="expression" dxfId="182" priority="6" stopIfTrue="1">
      <formula>$J$53="超过20%"</formula>
    </cfRule>
  </conditionalFormatting>
  <conditionalFormatting sqref="I54">
    <cfRule type="expression" dxfId="181" priority="5" stopIfTrue="1">
      <formula>$J$54="超过30%"</formula>
    </cfRule>
  </conditionalFormatting>
  <conditionalFormatting sqref="J48">
    <cfRule type="expression" dxfId="180" priority="2">
      <formula>$D$48="简单平均"</formula>
    </cfRule>
  </conditionalFormatting>
  <conditionalFormatting sqref="J52:J54">
    <cfRule type="containsText" dxfId="179" priority="8" stopIfTrue="1" operator="containsText" text="超过">
      <formula>NOT(ISERROR(SEARCH("超过",J52)))</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C43 E43 G43 I43" xr:uid="{00000000-0002-0000-1500-000001000000}">
      <formula1>内部装修维护情况</formula1>
    </dataValidation>
    <dataValidation type="list" allowBlank="1" showInputMessage="1" showErrorMessage="1" sqref="E20 I20 G20 C20" xr:uid="{00000000-0002-0000-1500-000002000000}">
      <formula1>公共配套设施</formula1>
    </dataValidation>
    <dataValidation type="list" allowBlank="1" showInputMessage="1" showErrorMessage="1" sqref="E18 G18 I18 C18" xr:uid="{00000000-0002-0000-1500-000003000000}">
      <formula1>交通便捷度</formula1>
    </dataValidation>
    <dataValidation type="list" allowBlank="1" showInputMessage="1" showErrorMessage="1" sqref="E24 G24 I24 C24" xr:uid="{00000000-0002-0000-1500-000004000000}">
      <formula1>环境</formula1>
    </dataValidation>
    <dataValidation type="list" allowBlank="1" showInputMessage="1" showErrorMessage="1" sqref="C25 E25 G25 I25" xr:uid="{00000000-0002-0000-1500-000005000000}">
      <formula1>商业临街状况</formula1>
    </dataValidation>
    <dataValidation type="list" allowBlank="1" showInputMessage="1" showErrorMessage="1" sqref="C27 E27 G27 I27" xr:uid="{00000000-0002-0000-1500-000006000000}">
      <formula1>商业人流量</formula1>
    </dataValidation>
    <dataValidation type="list" allowBlank="1" showInputMessage="1" showErrorMessage="1" sqref="C28 E28 G28 I28" xr:uid="{00000000-0002-0000-1500-000007000000}">
      <formula1>商业楼层</formula1>
    </dataValidation>
    <dataValidation type="list" allowBlank="1" showInputMessage="1" showErrorMessage="1" sqref="C32 E32 G32 I32" xr:uid="{00000000-0002-0000-1500-000008000000}">
      <formula1>商业类型</formula1>
    </dataValidation>
    <dataValidation type="list" allowBlank="1" showInputMessage="1" showErrorMessage="1" sqref="C34 E34 G34 I34" xr:uid="{00000000-0002-0000-1500-000009000000}">
      <formula1>商业建筑结构</formula1>
    </dataValidation>
    <dataValidation type="list" allowBlank="1" showInputMessage="1" showErrorMessage="1" sqref="C35 E35 G35 I35" xr:uid="{00000000-0002-0000-1500-00000A000000}">
      <formula1>商业公共部分装修</formula1>
    </dataValidation>
    <dataValidation type="list" allowBlank="1" showInputMessage="1" showErrorMessage="1" sqref="C37 E37 G37 I37" xr:uid="{00000000-0002-0000-1500-00000B000000}">
      <formula1>商业基础设施水平</formula1>
    </dataValidation>
    <dataValidation type="list" allowBlank="1" showInputMessage="1" showErrorMessage="1" sqref="C41 E41 G41 I41" xr:uid="{00000000-0002-0000-1500-00000C000000}">
      <formula1>商业进深比</formula1>
    </dataValidation>
    <dataValidation type="list" allowBlank="1" showInputMessage="1" showErrorMessage="1" sqref="C42 E42 G42 I42" xr:uid="{00000000-0002-0000-1500-00000D000000}">
      <formula1>商业内部装修</formula1>
    </dataValidation>
    <dataValidation type="list" allowBlank="1" showInputMessage="1" showErrorMessage="1" sqref="E9 G9 I9" xr:uid="{00000000-0002-0000-1500-00000E000000}">
      <formula1>商业用途</formula1>
    </dataValidation>
    <dataValidation type="list" allowBlank="1" showInputMessage="1" showErrorMessage="1" sqref="C38 E38 G38 I38" xr:uid="{00000000-0002-0000-1500-00000F000000}">
      <formula1>商业业态</formula1>
    </dataValidation>
    <dataValidation type="list" allowBlank="1" showInputMessage="1" showErrorMessage="1" sqref="C39 E39 G39 I39" xr:uid="{00000000-0002-0000-1500-000010000000}">
      <formula1>商业层高</formula1>
    </dataValidation>
    <dataValidation type="list" allowBlank="1" showInputMessage="1" showErrorMessage="1" sqref="C8 E8 G8 I8" xr:uid="{00000000-0002-0000-1500-000011000000}">
      <formula1>商业交易情况</formula1>
    </dataValidation>
    <dataValidation type="list" allowBlank="1" showInputMessage="1" showErrorMessage="1" sqref="C16 E16 G16 I16" xr:uid="{00000000-0002-0000-1500-000012000000}">
      <formula1>商业繁华度</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8"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39" sqref="I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876</v>
      </c>
      <c r="B1" s="663"/>
      <c r="C1" s="1287" t="s">
        <v>3502</v>
      </c>
      <c r="D1" s="1271" t="s">
        <v>43</v>
      </c>
      <c r="E1" s="1272" t="s">
        <v>677</v>
      </c>
      <c r="F1" s="999">
        <f ca="1">J53</f>
        <v>18.43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877</v>
      </c>
      <c r="B2" s="3122">
        <f ca="1">ROUND(D2/10000,4)</f>
        <v>344.85719999999998</v>
      </c>
      <c r="C2" s="1289" t="s">
        <v>878</v>
      </c>
      <c r="D2" s="1375">
        <f ca="1">C40+J29+L46</f>
        <v>3448572</v>
      </c>
      <c r="E2" s="1295" t="s">
        <v>879</v>
      </c>
      <c r="F2" s="1296"/>
      <c r="G2" s="2477"/>
      <c r="H2" s="2467"/>
      <c r="I2" s="2467"/>
      <c r="J2" s="2467"/>
      <c r="K2" s="2468"/>
      <c r="L2" s="2467"/>
      <c r="M2" s="2467"/>
    </row>
    <row r="3" spans="1:37" ht="18" customHeight="1" thickBot="1">
      <c r="A3" s="1297" t="s">
        <v>880</v>
      </c>
      <c r="B3" s="1298">
        <f ca="1">IF(ISERROR(D2/F43),0,ROUND(D2/F43,0))</f>
        <v>22334</v>
      </c>
      <c r="C3" s="1289" t="s">
        <v>881</v>
      </c>
      <c r="D3" s="1289"/>
      <c r="E3" s="1295"/>
      <c r="F3" s="1296"/>
      <c r="G3" s="2477"/>
      <c r="H3" s="649" t="s">
        <v>875</v>
      </c>
      <c r="I3" s="1290"/>
      <c r="J3" s="1290"/>
      <c r="K3" s="1291"/>
      <c r="L3" s="1290"/>
      <c r="M3" s="1290"/>
    </row>
    <row r="4" spans="1:37" ht="18" customHeight="1">
      <c r="A4" s="287" t="s">
        <v>882</v>
      </c>
      <c r="B4" s="288" t="s">
        <v>883</v>
      </c>
      <c r="C4" s="288" t="s">
        <v>884</v>
      </c>
      <c r="D4" s="288" t="s">
        <v>885</v>
      </c>
      <c r="E4" s="289" t="s">
        <v>886</v>
      </c>
      <c r="F4" s="290"/>
      <c r="G4" s="1292"/>
      <c r="H4" s="287" t="s">
        <v>882</v>
      </c>
      <c r="I4" s="288" t="s">
        <v>883</v>
      </c>
      <c r="J4" s="288" t="s">
        <v>884</v>
      </c>
      <c r="K4" s="288" t="s">
        <v>885</v>
      </c>
      <c r="L4" s="289" t="s">
        <v>886</v>
      </c>
      <c r="M4" s="290"/>
    </row>
    <row r="5" spans="1:37" ht="18" customHeight="1">
      <c r="A5" s="291">
        <v>1</v>
      </c>
      <c r="B5" s="292" t="s">
        <v>887</v>
      </c>
      <c r="C5" s="1007">
        <f ca="1">C6+C10+C12</f>
        <v>284408</v>
      </c>
      <c r="D5" s="1273" t="s">
        <v>888</v>
      </c>
      <c r="E5" s="1008"/>
      <c r="F5" s="1009"/>
      <c r="G5" s="1292"/>
      <c r="H5" s="291">
        <v>1</v>
      </c>
      <c r="I5" s="292" t="s">
        <v>887</v>
      </c>
      <c r="J5" s="1007">
        <f ca="1">J6+J10+J12</f>
        <v>0</v>
      </c>
      <c r="K5" s="1273" t="s">
        <v>888</v>
      </c>
      <c r="L5" s="1008"/>
      <c r="M5" s="1009"/>
    </row>
    <row r="6" spans="1:37" ht="18" customHeight="1">
      <c r="A6" s="1006" t="s">
        <v>398</v>
      </c>
      <c r="B6" s="3356" t="s">
        <v>693</v>
      </c>
      <c r="C6" s="1011">
        <f ca="1">ROUND(F6*F8*F7*(1-F9),0)</f>
        <v>284053</v>
      </c>
      <c r="D6" s="147" t="s">
        <v>2104</v>
      </c>
      <c r="E6" s="294" t="s">
        <v>695</v>
      </c>
      <c r="F6" s="295">
        <f ca="1">INDIRECT("'数据-取费表'!u"&amp;$G$1)</f>
        <v>5.6</v>
      </c>
      <c r="G6" s="1292"/>
      <c r="H6" s="1006" t="s">
        <v>398</v>
      </c>
      <c r="I6" s="3356" t="s">
        <v>693</v>
      </c>
      <c r="J6" s="293">
        <f ca="1">ROUND(M6*M8*M7*(1-M9),0)</f>
        <v>0</v>
      </c>
      <c r="K6" s="1284" t="s">
        <v>2105</v>
      </c>
      <c r="L6" s="294" t="s">
        <v>695</v>
      </c>
      <c r="M6" s="295">
        <f ca="1">INDIRECT("'数据-取费表'!z"&amp;$G$1)</f>
        <v>0</v>
      </c>
    </row>
    <row r="7" spans="1:37" ht="18" customHeight="1">
      <c r="A7" s="1010"/>
      <c r="B7" s="3357"/>
      <c r="C7" s="1012"/>
      <c r="D7" s="299"/>
      <c r="E7" s="1013" t="s">
        <v>696</v>
      </c>
      <c r="F7" s="295">
        <f ca="1">IF(INDIRECT("'数据-取费表'!ah"&amp;$G$1)="",INDIRECT("'数据-取费表'!k"&amp;$G$1),INDIRECT("'数据-取费表'!ah"&amp;$G$1))</f>
        <v>154.41</v>
      </c>
      <c r="G7" s="1292"/>
      <c r="H7" s="296"/>
      <c r="I7" s="3357"/>
      <c r="J7" s="298"/>
      <c r="K7" s="299"/>
      <c r="L7" s="294" t="s">
        <v>696</v>
      </c>
      <c r="M7" s="295">
        <f ca="1">F7</f>
        <v>154.41</v>
      </c>
    </row>
    <row r="8" spans="1:37" ht="18" customHeight="1">
      <c r="A8" s="296"/>
      <c r="B8" s="3357"/>
      <c r="C8" s="298"/>
      <c r="D8" s="299"/>
      <c r="E8" s="294" t="s">
        <v>697</v>
      </c>
      <c r="F8" s="295">
        <f ca="1">INDIRECT("'数据-取费表'!ai"&amp;$G$1)</f>
        <v>365</v>
      </c>
      <c r="G8" s="1292"/>
      <c r="H8" s="296"/>
      <c r="I8" s="3357"/>
      <c r="J8" s="298"/>
      <c r="K8" s="299"/>
      <c r="L8" s="294" t="s">
        <v>697</v>
      </c>
      <c r="M8" s="295">
        <f ca="1">INDIRECT("'数据-取费表'!ai"&amp;$G$1)</f>
        <v>365</v>
      </c>
    </row>
    <row r="9" spans="1:37" ht="18" customHeight="1">
      <c r="A9" s="296"/>
      <c r="B9" s="3358"/>
      <c r="C9" s="298"/>
      <c r="D9" s="299"/>
      <c r="E9" s="294" t="s">
        <v>698</v>
      </c>
      <c r="F9" s="304">
        <f ca="1">INDIRECT("'数据-取费表'!w"&amp;$G$1)</f>
        <v>0.1</v>
      </c>
      <c r="G9" s="1292"/>
      <c r="H9" s="296"/>
      <c r="I9" s="3358"/>
      <c r="J9" s="298"/>
      <c r="K9" s="299"/>
      <c r="L9" s="305" t="s">
        <v>698</v>
      </c>
      <c r="M9" s="306">
        <f ca="1">INDIRECT("'数据-取费表'!ab"&amp;$G$1)</f>
        <v>0</v>
      </c>
    </row>
    <row r="10" spans="1:37" ht="18" customHeight="1">
      <c r="A10" s="1006" t="s">
        <v>402</v>
      </c>
      <c r="B10" s="1274" t="s">
        <v>699</v>
      </c>
      <c r="C10" s="308">
        <f ca="1">ROUND(IF(F10="押一",C6/12*F11,IF(F10="押二",C6/12*2*F11,IF(F10="押三",C6/12*3*F11,C11*F11))),0)</f>
        <v>355</v>
      </c>
      <c r="D10" s="150" t="s">
        <v>2114</v>
      </c>
      <c r="E10" s="305" t="s">
        <v>700</v>
      </c>
      <c r="F10" s="1053" t="s">
        <v>3518</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520725</v>
      </c>
      <c r="D13" s="1018" t="s">
        <v>704</v>
      </c>
      <c r="E13" s="1018" t="s">
        <v>705</v>
      </c>
      <c r="F13" s="1019">
        <f ca="1">INDIRECT("'数据-取费表'!y"&amp;$G$1)</f>
        <v>0.74</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463230</v>
      </c>
      <c r="D14" s="1257" t="s">
        <v>707</v>
      </c>
      <c r="E14" s="1255"/>
      <c r="F14" s="311"/>
      <c r="G14" s="1292"/>
      <c r="H14" s="928" t="s">
        <v>398</v>
      </c>
      <c r="I14" s="294" t="s">
        <v>708</v>
      </c>
      <c r="J14" s="21">
        <f ca="1">C29</f>
        <v>703683</v>
      </c>
      <c r="K14" s="12"/>
      <c r="L14" s="759"/>
      <c r="M14" s="760"/>
    </row>
    <row r="15" spans="1:37" s="1304" customFormat="1" ht="18" customHeight="1" thickBot="1">
      <c r="A15" s="928" t="s">
        <v>399</v>
      </c>
      <c r="B15" s="294" t="s">
        <v>709</v>
      </c>
      <c r="C15" s="21">
        <f ca="1">ROUND(C14*F15,0)</f>
        <v>13897</v>
      </c>
      <c r="D15" s="312" t="s">
        <v>710</v>
      </c>
      <c r="E15" s="312" t="s">
        <v>711</v>
      </c>
      <c r="F15" s="313">
        <f>'数据-取费表'!B33</f>
        <v>0.03</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7037</v>
      </c>
      <c r="K16" s="1024" t="s">
        <v>714</v>
      </c>
      <c r="L16" s="1025"/>
      <c r="M16" s="1009"/>
    </row>
    <row r="17" spans="1:37" s="1304" customFormat="1" ht="18" customHeight="1">
      <c r="A17" s="928" t="s">
        <v>680</v>
      </c>
      <c r="B17" s="294" t="s">
        <v>715</v>
      </c>
      <c r="C17" s="21">
        <f ca="1">ROUND(F17*(F43+INDIRECT("'数据-取费表'!S"&amp;$G$1)),0)</f>
        <v>30882</v>
      </c>
      <c r="D17" s="294" t="s">
        <v>716</v>
      </c>
      <c r="E17" s="294" t="s">
        <v>717</v>
      </c>
      <c r="F17" s="23">
        <f>'数据-取费表'!B35</f>
        <v>200</v>
      </c>
      <c r="G17" s="1303"/>
      <c r="H17" s="928" t="s">
        <v>398</v>
      </c>
      <c r="I17" s="294" t="s">
        <v>718</v>
      </c>
      <c r="J17" s="2140">
        <f ca="1">ROUND(IF(AND(项目基本情况!B11="自然人",项目基本情况!B10="北京市"),J6*M17/(1+'数据-取费表'!C42),J18+J19+J20),0)</f>
        <v>0</v>
      </c>
      <c r="K17" s="1257" t="s">
        <v>719</v>
      </c>
      <c r="L17" s="1256" t="s">
        <v>720</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9265</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517274</v>
      </c>
      <c r="D19" s="123" t="s">
        <v>725</v>
      </c>
      <c r="E19" s="1269"/>
      <c r="F19" s="23"/>
      <c r="G19" s="1292"/>
      <c r="H19" s="928" t="s">
        <v>399</v>
      </c>
      <c r="I19" s="294" t="s">
        <v>726</v>
      </c>
      <c r="J19" s="21">
        <f ca="1">IF(K19="按租金收入计税",ROUND(J6*M19/(1+'数据-取费表'!C42),0),ROUND(C29*M19*0.7,0))</f>
        <v>0</v>
      </c>
      <c r="K19" s="1278" t="s">
        <v>3334</v>
      </c>
      <c r="L19" s="294" t="s">
        <v>711</v>
      </c>
      <c r="M19" s="314">
        <f>IF(K19="按租金收入计税",'数据-取费表'!B51,'数据-取费表'!B50)</f>
        <v>0.12</v>
      </c>
    </row>
    <row r="20" spans="1:37" s="1304" customFormat="1" ht="18" customHeight="1">
      <c r="A20" s="928" t="s">
        <v>402</v>
      </c>
      <c r="B20" s="294" t="s">
        <v>727</v>
      </c>
      <c r="C20" s="21">
        <f ca="1">ROUND(C19*F20,0)</f>
        <v>10345</v>
      </c>
      <c r="D20" s="315" t="s">
        <v>728</v>
      </c>
      <c r="E20" s="294" t="s">
        <v>711</v>
      </c>
      <c r="F20" s="314">
        <f>'数据-取费表'!B37</f>
        <v>0.02</v>
      </c>
      <c r="G20" s="1303"/>
      <c r="H20" s="928" t="s">
        <v>679</v>
      </c>
      <c r="I20" s="147" t="s">
        <v>729</v>
      </c>
      <c r="J20" s="22">
        <f ca="1">ROUND(M20*M21,0)</f>
        <v>0</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0.02</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7037</v>
      </c>
      <c r="K22" s="1256" t="s">
        <v>738</v>
      </c>
      <c r="L22" s="294" t="s">
        <v>711</v>
      </c>
      <c r="M22" s="320">
        <f ca="1">INDIRECT("'数据-取费表'!Ak"&amp;$G$1)</f>
        <v>0.01</v>
      </c>
    </row>
    <row r="23" spans="1:37" s="1304" customFormat="1" ht="18" customHeight="1">
      <c r="A23" s="928" t="s">
        <v>397</v>
      </c>
      <c r="B23" s="294" t="s">
        <v>739</v>
      </c>
      <c r="C23" s="21">
        <f ca="1">IF('数据-取费表'!B22&lt;=1,ROUND(C19*F24*F23/2,0)+ROUND(C20*F24*F23/2,0),ROUND(C19*(POWER((1+F24),F23/2)-1),0)+ROUND(C20*(POWER((1+F24),F23/2)-1),0))</f>
        <v>16356</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743</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3"/>
      <c r="H24" s="1026" t="s">
        <v>683</v>
      </c>
      <c r="I24" s="1027" t="s">
        <v>727</v>
      </c>
      <c r="J24" s="1028">
        <f ca="1">ROUND(J5*M24,0)</f>
        <v>0</v>
      </c>
      <c r="K24" s="1029" t="s">
        <v>747</v>
      </c>
      <c r="L24" s="1027" t="s">
        <v>743</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-7037</v>
      </c>
      <c r="K25" s="1032" t="s">
        <v>752</v>
      </c>
      <c r="L25" s="1033"/>
      <c r="M25" s="1034"/>
    </row>
    <row r="26" spans="1:37" ht="18" customHeight="1">
      <c r="A26" s="928" t="s">
        <v>397</v>
      </c>
      <c r="B26" s="294" t="s">
        <v>753</v>
      </c>
      <c r="C26" s="21">
        <f ca="1">ROUND((C19+C20)*F26,0)</f>
        <v>105524</v>
      </c>
      <c r="D26" s="315" t="s">
        <v>754</v>
      </c>
      <c r="E26" s="305" t="s">
        <v>755</v>
      </c>
      <c r="F26" s="304">
        <f ca="1">INDIRECT("'数据-取费表'!q"&amp;$G$1)</f>
        <v>0.2</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4.0000000000000001E-3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5.2400000000000002E-2</v>
      </c>
      <c r="D28" s="315" t="s">
        <v>764</v>
      </c>
      <c r="E28" s="294" t="s">
        <v>711</v>
      </c>
      <c r="F28" s="314">
        <f>'数据-取费表'!B41</f>
        <v>5.5000000000000007E-2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703683</v>
      </c>
      <c r="D29" s="1029"/>
      <c r="E29" s="1027"/>
      <c r="F29" s="1030"/>
      <c r="G29" s="1303"/>
      <c r="H29" s="325" t="s">
        <v>396</v>
      </c>
      <c r="I29" s="326" t="s">
        <v>767</v>
      </c>
      <c r="J29" s="327">
        <f ca="1">ROUND(J26/(1+F40)^F41,0)</f>
        <v>0</v>
      </c>
      <c r="K29" s="328" t="s">
        <v>768</v>
      </c>
      <c r="L29" s="329"/>
      <c r="M29" s="330">
        <f ca="1">INDIRECT("'数据-取费表'!k"&amp;$G$1)</f>
        <v>154.41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29339</v>
      </c>
      <c r="D30" s="1024" t="s">
        <v>714</v>
      </c>
      <c r="E30" s="1025"/>
      <c r="F30" s="1009"/>
      <c r="G30" s="1292"/>
      <c r="H30" s="2469"/>
      <c r="I30" s="1305"/>
      <c r="J30" s="1306"/>
      <c r="K30" s="121"/>
      <c r="L30" s="2470"/>
      <c r="M30" s="2471"/>
    </row>
    <row r="31" spans="1:37" ht="18" customHeight="1">
      <c r="A31" s="928" t="s">
        <v>398</v>
      </c>
      <c r="B31" s="294" t="s">
        <v>718</v>
      </c>
      <c r="C31" s="2140">
        <f ca="1">ROUND(IF(AND(项目基本情况!B11="自然人",项目基本情况!B10="北京市"),C6*F31/(1+'数据-取费表'!C42),C32+C33+C34),0)</f>
        <v>18937</v>
      </c>
      <c r="D31" s="1257" t="s">
        <v>719</v>
      </c>
      <c r="E31" s="1256" t="s">
        <v>769</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722</v>
      </c>
      <c r="C32" s="21" t="str">
        <f>IF(项目基本情况!B11="自然人","——",ROUND(C6*F32/(1+'数据-取费表'!C42),0))</f>
        <v>——</v>
      </c>
      <c r="D32" s="1256" t="s">
        <v>723</v>
      </c>
      <c r="E32" s="294" t="s">
        <v>711</v>
      </c>
      <c r="F32" s="322">
        <f>'数据-取费表'!B41</f>
        <v>5.5000000000000007E-2</v>
      </c>
      <c r="G32" s="1292"/>
      <c r="H32" s="2469"/>
      <c r="I32" s="1305"/>
      <c r="J32" s="1306"/>
      <c r="K32" s="121"/>
      <c r="L32" s="2470"/>
      <c r="M32" s="2471"/>
    </row>
    <row r="33" spans="1:18" ht="18" customHeight="1">
      <c r="A33" s="928" t="s">
        <v>399</v>
      </c>
      <c r="B33" s="294" t="s">
        <v>726</v>
      </c>
      <c r="C33" s="21" t="str">
        <f ca="1">IF(项目基本情况!B11="自然人","——",IF(D33="按租金收入计税",ROUND(C6*F33/(1+'数据-取费表'!C42),0),IF(D33="按房产原值计税",ROUND(C29*F33*0.7,0),INDIRECT("'数据-取费表'!Aj"&amp;$G$1))))</f>
        <v>——</v>
      </c>
      <c r="D33" s="1278" t="s">
        <v>3334</v>
      </c>
      <c r="E33" s="294" t="s">
        <v>711</v>
      </c>
      <c r="F33" s="314">
        <f>IF(D33="按票据","——",IF(D33="按租金收入计税",'数据-取费表'!B51,'数据-取费表'!B50))</f>
        <v>0.12</v>
      </c>
      <c r="G33" s="1292"/>
      <c r="H33" s="2472"/>
      <c r="I33" s="1305"/>
      <c r="J33" s="1306"/>
      <c r="K33" s="2473"/>
      <c r="L33" s="2472"/>
      <c r="M33" s="2472"/>
    </row>
    <row r="34" spans="1:18" ht="18" customHeight="1">
      <c r="A34" s="1006" t="s">
        <v>679</v>
      </c>
      <c r="B34" s="147" t="s">
        <v>729</v>
      </c>
      <c r="C34" s="22" t="str">
        <f>IF(项目基本情况!B11="自然人","——",ROUND(F34*F35,0))</f>
        <v>——</v>
      </c>
      <c r="D34" s="316" t="s">
        <v>730</v>
      </c>
      <c r="E34" s="294" t="s">
        <v>731</v>
      </c>
      <c r="F34" s="317">
        <f>'数据-取费表'!B52</f>
        <v>1.5</v>
      </c>
      <c r="G34" s="1292"/>
      <c r="H34" s="2469"/>
      <c r="I34" s="1305"/>
      <c r="J34" s="1306"/>
      <c r="K34" s="2474"/>
      <c r="L34" s="2475"/>
      <c r="M34" s="2475"/>
    </row>
    <row r="35" spans="1:18" ht="18" customHeight="1">
      <c r="A35" s="1040"/>
      <c r="B35" s="1038"/>
      <c r="C35" s="26"/>
      <c r="D35" s="319"/>
      <c r="E35" s="294" t="s">
        <v>735</v>
      </c>
      <c r="F35" s="295">
        <f ca="1">INDIRECT("'数据-取费表'!r"&amp;$G$1)</f>
        <v>0</v>
      </c>
      <c r="G35" s="1292"/>
      <c r="H35" s="2469"/>
      <c r="I35" s="1305"/>
      <c r="J35" s="1306"/>
      <c r="K35" s="2473"/>
      <c r="L35" s="2472"/>
      <c r="M35" s="2472"/>
    </row>
    <row r="36" spans="1:18" ht="18" customHeight="1">
      <c r="A36" s="1039" t="s">
        <v>402</v>
      </c>
      <c r="B36" s="294" t="s">
        <v>737</v>
      </c>
      <c r="C36" s="21">
        <f ca="1">ROUND(C29*F36,0)</f>
        <v>7037</v>
      </c>
      <c r="D36" s="1256" t="s">
        <v>770</v>
      </c>
      <c r="E36" s="294" t="s">
        <v>711</v>
      </c>
      <c r="F36" s="320">
        <f ca="1">INDIRECT("'数据-取费表'!Ak"&amp;$G$1)</f>
        <v>0.01</v>
      </c>
      <c r="G36" s="1292"/>
      <c r="H36" s="2472"/>
      <c r="I36" s="1305"/>
      <c r="J36" s="1306"/>
      <c r="K36" s="2330"/>
      <c r="L36" s="2472"/>
      <c r="M36" s="2472"/>
    </row>
    <row r="37" spans="1:18" ht="18" customHeight="1">
      <c r="A37" s="928" t="s">
        <v>437</v>
      </c>
      <c r="B37" s="294" t="s">
        <v>741</v>
      </c>
      <c r="C37" s="21">
        <f ca="1">ROUND(C13*F37,0)</f>
        <v>521</v>
      </c>
      <c r="D37" s="1256" t="s">
        <v>742</v>
      </c>
      <c r="E37" s="294" t="s">
        <v>743</v>
      </c>
      <c r="F37" s="321">
        <f ca="1">INDIRECT("'数据-取费表'!Al"&amp;$G$1)</f>
        <v>1E-3</v>
      </c>
      <c r="G37" s="1292"/>
      <c r="H37" s="2472"/>
      <c r="I37" s="1305"/>
      <c r="J37" s="1306"/>
      <c r="K37" s="2330"/>
      <c r="L37" s="2472"/>
      <c r="M37" s="2472"/>
    </row>
    <row r="38" spans="1:18" ht="18" customHeight="1" thickBot="1">
      <c r="A38" s="1026" t="s">
        <v>683</v>
      </c>
      <c r="B38" s="1027" t="s">
        <v>727</v>
      </c>
      <c r="C38" s="1028">
        <f ca="1">ROUND(C5*F38,0)</f>
        <v>2844</v>
      </c>
      <c r="D38" s="1029" t="s">
        <v>747</v>
      </c>
      <c r="E38" s="1027" t="s">
        <v>743</v>
      </c>
      <c r="F38" s="1023">
        <f ca="1">INDIRECT("'数据-取费表'!Am"&amp;$G$1)</f>
        <v>0.01</v>
      </c>
      <c r="G38" s="1292"/>
      <c r="H38" s="2472"/>
      <c r="I38" s="1305"/>
      <c r="J38" s="1306"/>
      <c r="K38" s="2470"/>
      <c r="L38" s="2472"/>
      <c r="M38" s="2472"/>
    </row>
    <row r="39" spans="1:18" ht="24.6" customHeight="1" thickTop="1">
      <c r="A39" s="1016" t="s">
        <v>394</v>
      </c>
      <c r="B39" s="1031" t="s">
        <v>771</v>
      </c>
      <c r="C39" s="302">
        <f ca="1">C5-C30</f>
        <v>255069</v>
      </c>
      <c r="D39" s="1032" t="s">
        <v>772</v>
      </c>
      <c r="E39" s="1033"/>
      <c r="F39" s="1034"/>
      <c r="G39" s="1292"/>
      <c r="H39" s="2472">
        <f ca="1">C39/C5</f>
        <v>0.8968418609884391</v>
      </c>
      <c r="I39" s="1305"/>
      <c r="J39" s="1306"/>
      <c r="K39" s="2470"/>
      <c r="L39" s="2472"/>
      <c r="M39" s="2472"/>
    </row>
    <row r="40" spans="1:18" ht="18" customHeight="1">
      <c r="A40" s="291" t="s">
        <v>395</v>
      </c>
      <c r="B40" s="292" t="s">
        <v>773</v>
      </c>
      <c r="C40" s="293">
        <f ca="1">ROUND(C39*(1-((1+F42)/(1+F40))^F41)/(F40-F42),0)</f>
        <v>3374342</v>
      </c>
      <c r="D40" s="316" t="s">
        <v>757</v>
      </c>
      <c r="E40" s="294" t="s">
        <v>758</v>
      </c>
      <c r="F40" s="304">
        <f ca="1">INDIRECT("'数据-取费表'!I"&amp;$G$1)</f>
        <v>5.5E-2</v>
      </c>
      <c r="G40" s="1292"/>
      <c r="H40" s="1366"/>
      <c r="I40" s="1305"/>
      <c r="J40" s="1306"/>
      <c r="K40" s="2470"/>
      <c r="L40" s="1366"/>
      <c r="M40" s="1366"/>
    </row>
    <row r="41" spans="1:18" ht="18" customHeight="1">
      <c r="A41" s="296"/>
      <c r="B41" s="297"/>
      <c r="C41" s="298"/>
      <c r="D41" s="323" t="s">
        <v>774</v>
      </c>
      <c r="E41" s="294" t="s">
        <v>762</v>
      </c>
      <c r="F41" s="324">
        <f ca="1">IF(INDIRECT("'数据-取费表'!af"&amp;$G$1)=0,INDIRECT("'数据-取费表'!ae"&amp;$G$1),INDIRECT("'数据-取费表'!af"&amp;$G$1))</f>
        <v>18.43</v>
      </c>
      <c r="G41" s="1292"/>
      <c r="H41" s="121"/>
      <c r="I41" s="1305"/>
      <c r="J41" s="1306"/>
      <c r="K41" s="2330"/>
      <c r="L41" s="121"/>
      <c r="M41" s="121"/>
    </row>
    <row r="42" spans="1:18" ht="18" customHeight="1">
      <c r="A42" s="300"/>
      <c r="B42" s="301"/>
      <c r="C42" s="302"/>
      <c r="D42" s="319"/>
      <c r="E42" s="294" t="s">
        <v>765</v>
      </c>
      <c r="F42" s="304">
        <f ca="1">INDIRECT("'数据-取费表'!v"&amp;$G$1)</f>
        <v>0.02</v>
      </c>
      <c r="G42" s="1292"/>
      <c r="H42" s="121"/>
      <c r="I42" s="1305"/>
      <c r="J42" s="1306"/>
      <c r="K42" s="2330"/>
      <c r="L42" s="121"/>
      <c r="M42" s="121"/>
    </row>
    <row r="43" spans="1:18" ht="18" customHeight="1" thickBot="1">
      <c r="A43" s="325" t="s">
        <v>396</v>
      </c>
      <c r="B43" s="326" t="s">
        <v>775</v>
      </c>
      <c r="C43" s="327">
        <f ca="1">ROUND(C40/F43,0)</f>
        <v>21853</v>
      </c>
      <c r="D43" s="328" t="s">
        <v>776</v>
      </c>
      <c r="E43" s="329" t="s">
        <v>777</v>
      </c>
      <c r="F43" s="330">
        <f ca="1">INDIRECT("'数据-取费表'!k"&amp;$G$1)</f>
        <v>154.41</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-346.05329999999998</v>
      </c>
      <c r="D45" s="3129" t="s">
        <v>3351</v>
      </c>
      <c r="E45" s="1307"/>
      <c r="F45" s="1307"/>
      <c r="O45" s="1310" t="s">
        <v>807</v>
      </c>
      <c r="P45" s="1366"/>
      <c r="Q45" s="1366"/>
      <c r="R45" s="1366"/>
    </row>
    <row r="46" spans="1:18" s="1292" customFormat="1" ht="13.8" thickBot="1">
      <c r="A46" s="1311" t="s">
        <v>808</v>
      </c>
      <c r="C46" s="1312">
        <f ca="1">ROUND(C45,0)</f>
        <v>-346</v>
      </c>
      <c r="D46" s="1313" t="str">
        <f>C2</f>
        <v>万元</v>
      </c>
      <c r="I46" s="1314" t="s">
        <v>809</v>
      </c>
      <c r="J46" s="1315"/>
      <c r="K46" s="1316"/>
      <c r="L46" s="1317">
        <f ca="1">IF(M47="住宅",0,IF(L48&gt;J51,L60,J60))</f>
        <v>74230</v>
      </c>
      <c r="O46" s="1318" t="s">
        <v>810</v>
      </c>
      <c r="P46" s="1319" t="s">
        <v>811</v>
      </c>
      <c r="Q46" s="1320" t="s">
        <v>812</v>
      </c>
      <c r="R46" s="1320" t="s">
        <v>813</v>
      </c>
    </row>
    <row r="47" spans="1:18" s="1292" customFormat="1" ht="13.8" thickBot="1">
      <c r="A47" s="892" t="s">
        <v>686</v>
      </c>
      <c r="B47" s="924" t="s">
        <v>687</v>
      </c>
      <c r="C47" s="924" t="s">
        <v>688</v>
      </c>
      <c r="D47" s="924" t="s">
        <v>689</v>
      </c>
      <c r="E47" s="995" t="s">
        <v>690</v>
      </c>
      <c r="F47" s="996"/>
      <c r="G47" s="681"/>
      <c r="I47" s="1321" t="s">
        <v>814</v>
      </c>
      <c r="J47" s="1322" t="s">
        <v>3402</v>
      </c>
      <c r="K47" s="1323" t="s">
        <v>815</v>
      </c>
      <c r="L47" s="1324">
        <f ca="1">INDIRECT("'数据-取费表'!d"&amp;$G$1)</f>
        <v>40</v>
      </c>
      <c r="M47" s="1288" t="str">
        <f>IF(ISNUMBER(FIND("住宅",C1)),"住宅","非住宅")</f>
        <v>非住宅</v>
      </c>
      <c r="O47" s="1325" t="s">
        <v>403</v>
      </c>
      <c r="P47" s="1326" t="s">
        <v>816</v>
      </c>
      <c r="Q47" s="1327">
        <f ca="1">C40+J29</f>
        <v>3374342</v>
      </c>
      <c r="R47" s="1327" t="s">
        <v>817</v>
      </c>
    </row>
    <row r="48" spans="1:18" s="1292" customFormat="1" ht="40.200000000000003" thickBot="1">
      <c r="A48" s="1047" t="s">
        <v>438</v>
      </c>
      <c r="B48" s="292" t="s">
        <v>691</v>
      </c>
      <c r="C48" s="1268">
        <f ca="1">C49+C53+C55</f>
        <v>0</v>
      </c>
      <c r="D48" s="1049"/>
      <c r="E48" s="1050"/>
      <c r="F48" s="908"/>
      <c r="G48" s="681"/>
      <c r="H48" s="682"/>
      <c r="I48" s="1328" t="s">
        <v>818</v>
      </c>
      <c r="J48" s="1329" t="s">
        <v>3519</v>
      </c>
      <c r="K48" s="1330" t="s">
        <v>819</v>
      </c>
      <c r="L48" s="1331">
        <f ca="1">INDIRECT("'数据-取费表'!f"&amp;$G$1)</f>
        <v>18.43</v>
      </c>
      <c r="O48" s="1325" t="s">
        <v>404</v>
      </c>
      <c r="P48" s="1326" t="s">
        <v>820</v>
      </c>
      <c r="Q48" s="1327">
        <f ca="1">J60</f>
        <v>74230</v>
      </c>
      <c r="R48" s="1327" t="s">
        <v>821</v>
      </c>
    </row>
    <row r="49" spans="1:18" s="1292" customFormat="1" ht="13.8" thickBot="1">
      <c r="A49" s="921" t="s">
        <v>439</v>
      </c>
      <c r="B49" s="1279" t="s">
        <v>778</v>
      </c>
      <c r="C49" s="1051">
        <f ca="1">ROUND(F49*F51*F50*(1-F52),0)</f>
        <v>0</v>
      </c>
      <c r="D49" s="992" t="s">
        <v>694</v>
      </c>
      <c r="E49" s="1280" t="s">
        <v>779</v>
      </c>
      <c r="F49" s="997"/>
      <c r="H49" s="682"/>
      <c r="I49" s="1328" t="s">
        <v>822</v>
      </c>
      <c r="J49" s="1332">
        <f>'数据-取费表'!N18</f>
        <v>2004</v>
      </c>
      <c r="K49" s="1330" t="s">
        <v>823</v>
      </c>
      <c r="L49" s="1333"/>
      <c r="O49" s="1334" t="s">
        <v>405</v>
      </c>
      <c r="P49" s="1326" t="s">
        <v>824</v>
      </c>
      <c r="Q49" s="1327">
        <f ca="1">C29</f>
        <v>703683</v>
      </c>
      <c r="R49" s="1327" t="s">
        <v>817</v>
      </c>
    </row>
    <row r="50" spans="1:18" s="1292" customFormat="1" ht="13.8" thickBot="1">
      <c r="A50" s="922"/>
      <c r="B50" s="925"/>
      <c r="C50" s="926"/>
      <c r="D50" s="899"/>
      <c r="E50" s="993" t="s">
        <v>696</v>
      </c>
      <c r="F50" s="994">
        <f ca="1">F7</f>
        <v>154.41</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8" thickBot="1">
      <c r="A51" s="923"/>
      <c r="B51" s="925"/>
      <c r="C51" s="926"/>
      <c r="D51" s="899"/>
      <c r="E51" s="927" t="s">
        <v>697</v>
      </c>
      <c r="F51" s="295">
        <f ca="1">F8</f>
        <v>365</v>
      </c>
      <c r="I51" s="1338" t="s">
        <v>828</v>
      </c>
      <c r="J51" s="1331">
        <f>IF(J49="",J50,J49+J50-YEAR('数据-取费表'!B2))</f>
        <v>40</v>
      </c>
      <c r="K51" s="1339" t="s">
        <v>829</v>
      </c>
      <c r="L51" s="1340">
        <f ca="1">ROUND(-PV(INDIRECT("'数据-取费表'!h"&amp;$G$1),J51,(C39-C13*C76),0),0)</f>
        <v>3751289</v>
      </c>
      <c r="M51" s="1341"/>
      <c r="O51" s="1334" t="s">
        <v>407</v>
      </c>
      <c r="P51" s="1326" t="s">
        <v>830</v>
      </c>
      <c r="Q51" s="1337">
        <f>J52</f>
        <v>7.4999999999999997E-2</v>
      </c>
      <c r="R51" s="1327"/>
    </row>
    <row r="52" spans="1:18" s="1292" customFormat="1" ht="13.8" thickBot="1">
      <c r="A52" s="923"/>
      <c r="B52" s="925"/>
      <c r="C52" s="926"/>
      <c r="D52" s="899"/>
      <c r="E52" s="927" t="s">
        <v>698</v>
      </c>
      <c r="F52" s="991"/>
      <c r="I52" s="1342" t="s">
        <v>831</v>
      </c>
      <c r="J52" s="1343">
        <v>7.4999999999999997E-2</v>
      </c>
      <c r="K52" s="1342" t="s">
        <v>832</v>
      </c>
      <c r="L52" s="1343"/>
      <c r="O52" s="1334" t="s">
        <v>408</v>
      </c>
      <c r="P52" s="1326" t="s">
        <v>833</v>
      </c>
      <c r="Q52" s="1327">
        <f ca="1">J53</f>
        <v>18.43</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18.43</v>
      </c>
      <c r="K53" s="3354" t="s">
        <v>836</v>
      </c>
      <c r="L53" s="3355"/>
      <c r="O53" s="1325" t="s">
        <v>409</v>
      </c>
      <c r="P53" s="1326" t="s">
        <v>837</v>
      </c>
      <c r="Q53" s="1327">
        <f ca="1">Q47+Q48</f>
        <v>3448572</v>
      </c>
      <c r="R53" s="1327" t="s">
        <v>410</v>
      </c>
    </row>
    <row r="54" spans="1:18" s="1292" customFormat="1" ht="13.8"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8" thickBot="1">
      <c r="A55" s="1020" t="s">
        <v>437</v>
      </c>
      <c r="B55" s="1277" t="s">
        <v>702</v>
      </c>
      <c r="C55" s="1021"/>
      <c r="D55" s="150"/>
      <c r="E55" s="1282"/>
      <c r="F55" s="1345"/>
      <c r="I55" s="1348" t="s">
        <v>839</v>
      </c>
      <c r="J55" s="1349">
        <f ca="1">ROUND(IF(J47="钢混",J57/J50,1-(1-2%)*(J50-J57)/J50),3)</f>
        <v>0.36</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520725</v>
      </c>
      <c r="D56" s="1352"/>
      <c r="E56" s="1353"/>
      <c r="F56" s="1345"/>
      <c r="I56" s="1354" t="s">
        <v>841</v>
      </c>
      <c r="J56" s="1355" t="s">
        <v>3520</v>
      </c>
      <c r="K56" s="1328" t="s">
        <v>842</v>
      </c>
      <c r="L56" s="1331" t="str">
        <f ca="1">IF(L48&lt;J51,"——",L48-J51)</f>
        <v>——</v>
      </c>
      <c r="O56" s="1325" t="s">
        <v>403</v>
      </c>
      <c r="P56" s="1326" t="s">
        <v>816</v>
      </c>
      <c r="Q56" s="1327">
        <f ca="1">C40+J29</f>
        <v>3374342</v>
      </c>
      <c r="R56" s="1327" t="s">
        <v>817</v>
      </c>
    </row>
    <row r="57" spans="1:18" s="1292" customFormat="1" ht="24.6" thickBot="1">
      <c r="A57" s="1356"/>
      <c r="B57" s="896" t="s">
        <v>766</v>
      </c>
      <c r="C57" s="230">
        <f ca="1">C29</f>
        <v>703683</v>
      </c>
      <c r="D57" s="1357"/>
      <c r="E57" s="1358"/>
      <c r="F57" s="1359"/>
      <c r="I57" s="1360" t="s">
        <v>843</v>
      </c>
      <c r="J57" s="1361">
        <f ca="1">IF(OR(M47="住宅",J51&lt;L48,J56="是"),"——",J51-L48)</f>
        <v>21.57</v>
      </c>
      <c r="K57" s="1328" t="s">
        <v>891</v>
      </c>
      <c r="L57" s="1331" t="str">
        <f ca="1">IF(L48&lt;J51,"——",IF(L55="比较法",L49,IF(L55="基准地价",L50,L51)))</f>
        <v>——</v>
      </c>
      <c r="O57" s="1325" t="s">
        <v>404</v>
      </c>
      <c r="P57" s="1326" t="s">
        <v>892</v>
      </c>
      <c r="Q57" s="1327">
        <f ca="1">L60</f>
        <v>0</v>
      </c>
      <c r="R57" s="1327" t="s">
        <v>893</v>
      </c>
    </row>
    <row r="58" spans="1:18" s="1292" customFormat="1" ht="24.6" thickBot="1">
      <c r="A58" s="307" t="s">
        <v>393</v>
      </c>
      <c r="B58" s="904" t="s">
        <v>713</v>
      </c>
      <c r="C58" s="308">
        <f ca="1">ROUND(C59+C64+C65+C66,0)</f>
        <v>7558</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6" thickBot="1">
      <c r="A59" s="928" t="s">
        <v>398</v>
      </c>
      <c r="B59" s="896" t="s">
        <v>718</v>
      </c>
      <c r="C59" s="2140">
        <f ca="1">ROUND(IF(AND(项目基本情况!B11="自然人",项目基本情况!B10="北京市"),C49*F59/(1+'数据-取费表'!C42),C60+C61+C62),0)</f>
        <v>0</v>
      </c>
      <c r="D59" s="909" t="s">
        <v>719</v>
      </c>
      <c r="E59" s="910" t="s">
        <v>720</v>
      </c>
      <c r="F59" s="2139">
        <f ca="1">IF(项目基本情况!B11="企业","——",IF('数据-取费表'!B10="住宅",IF(F49*F50*F51/12/(1+'数据-取费表'!F30)&gt;100000,4%,2.5%),IF(F49*F50*F51/12/(1+'数据-取费表'!F30)&gt;100000,12%,7%)))</f>
        <v>7.0000000000000007E-2</v>
      </c>
      <c r="I59" s="1360" t="s">
        <v>850</v>
      </c>
      <c r="J59" s="1361">
        <f ca="1">IF(OR(M47="住宅",J51&lt;L48,J56="是"),"——",ROUND(C29*J58,0))</f>
        <v>281473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2" thickBot="1">
      <c r="A60" s="928" t="s">
        <v>397</v>
      </c>
      <c r="B60" s="896" t="s">
        <v>722</v>
      </c>
      <c r="C60" s="21" t="str">
        <f>IF(项目基本情况!B11="自然人","——",ROUND(C48*F60/(1+'数据-取费表'!C42),0))</f>
        <v>——</v>
      </c>
      <c r="D60" s="910" t="s">
        <v>723</v>
      </c>
      <c r="E60" s="896" t="s">
        <v>711</v>
      </c>
      <c r="F60" s="322">
        <f t="shared" ref="F60:F66" si="0">F32</f>
        <v>5.5000000000000007E-2</v>
      </c>
      <c r="I60" s="1363" t="s">
        <v>852</v>
      </c>
      <c r="J60" s="1364">
        <f ca="1">IF(OR(M47="住宅",J51&lt;L48,J56="是"),"0",ROUND(J59/(1+J52)^J53,0))</f>
        <v>74230</v>
      </c>
      <c r="K60" s="1365" t="s">
        <v>853</v>
      </c>
      <c r="L60" s="1364">
        <f ca="1">IF(OR(M47="住宅",L48&lt;J51),0,ROUND(L57*(L58/L59-1),0))</f>
        <v>0</v>
      </c>
      <c r="O60" s="1334" t="s">
        <v>407</v>
      </c>
      <c r="P60" s="1326" t="s">
        <v>854</v>
      </c>
      <c r="Q60" s="1327" t="e">
        <f ca="1">L58</f>
        <v>#DIV/0!</v>
      </c>
      <c r="R60" s="1327" t="s">
        <v>855</v>
      </c>
    </row>
    <row r="61" spans="1:18" s="1292" customFormat="1" ht="13.8" thickBot="1">
      <c r="A61" s="928" t="s">
        <v>780</v>
      </c>
      <c r="B61" s="896" t="s">
        <v>781</v>
      </c>
      <c r="C61" s="21" t="str">
        <f ca="1">IF(项目基本情况!B11="自然人","——",IF(D61="按租金收入计税",ROUND(C49*F61/(1+'数据-取费表'!C42),0),IF(D61="按房产原值计税",ROUND(C57*F61*0.7,0),INDIRECT("'数据-取费表'!Aj"&amp;$G$1))))</f>
        <v>——</v>
      </c>
      <c r="D61" s="1278" t="s">
        <v>3334</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8" thickBot="1">
      <c r="A62" s="928" t="s">
        <v>783</v>
      </c>
      <c r="B62" s="895" t="s">
        <v>784</v>
      </c>
      <c r="C62" s="22" t="str">
        <f>IF(项目基本情况!B11="自然人","——",ROUND(F62*F63,0))</f>
        <v>——</v>
      </c>
      <c r="D62" s="911" t="s">
        <v>785</v>
      </c>
      <c r="E62" s="896" t="s">
        <v>786</v>
      </c>
      <c r="F62" s="317">
        <f t="shared" si="0"/>
        <v>1.5</v>
      </c>
      <c r="I62" s="1367" t="s">
        <v>857</v>
      </c>
      <c r="J62" s="610" t="s">
        <v>858</v>
      </c>
      <c r="K62" s="610" t="s">
        <v>859</v>
      </c>
      <c r="L62" s="610" t="s">
        <v>860</v>
      </c>
      <c r="M62" s="1368" t="s">
        <v>861</v>
      </c>
      <c r="O62" s="1325" t="s">
        <v>409</v>
      </c>
      <c r="P62" s="1326" t="s">
        <v>862</v>
      </c>
      <c r="Q62" s="1327">
        <f ca="1">Q56+Q57</f>
        <v>3374342</v>
      </c>
      <c r="R62" s="1327" t="s">
        <v>410</v>
      </c>
    </row>
    <row r="63" spans="1:18" s="1292" customFormat="1" ht="13.8"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8" thickBot="1">
      <c r="A64" s="928" t="s">
        <v>788</v>
      </c>
      <c r="B64" s="896" t="s">
        <v>789</v>
      </c>
      <c r="C64" s="21">
        <f ca="1">ROUND(C57*F64,0)</f>
        <v>7037</v>
      </c>
      <c r="D64" s="910" t="s">
        <v>790</v>
      </c>
      <c r="E64" s="896" t="s">
        <v>782</v>
      </c>
      <c r="F64" s="320">
        <f t="shared" ca="1" si="0"/>
        <v>0.01</v>
      </c>
      <c r="I64" s="1367" t="s">
        <v>865</v>
      </c>
      <c r="J64" s="610">
        <v>50</v>
      </c>
      <c r="K64" s="610">
        <v>35</v>
      </c>
      <c r="L64" s="610">
        <v>60</v>
      </c>
      <c r="M64" s="1368">
        <v>0</v>
      </c>
      <c r="O64" s="1318" t="s">
        <v>810</v>
      </c>
      <c r="P64" s="1319" t="s">
        <v>811</v>
      </c>
      <c r="Q64" s="1320" t="s">
        <v>812</v>
      </c>
      <c r="R64" s="1320" t="s">
        <v>813</v>
      </c>
    </row>
    <row r="65" spans="1:18" s="1292" customFormat="1" ht="13.8" thickBot="1">
      <c r="A65" s="928" t="s">
        <v>791</v>
      </c>
      <c r="B65" s="896" t="s">
        <v>741</v>
      </c>
      <c r="C65" s="21">
        <f ca="1">ROUND(C56*F65,0)</f>
        <v>521</v>
      </c>
      <c r="D65" s="910" t="s">
        <v>742</v>
      </c>
      <c r="E65" s="896" t="s">
        <v>743</v>
      </c>
      <c r="F65" s="321">
        <f t="shared" ca="1" si="0"/>
        <v>1E-3</v>
      </c>
      <c r="I65" s="1367" t="s">
        <v>866</v>
      </c>
      <c r="J65" s="610">
        <v>40</v>
      </c>
      <c r="K65" s="610">
        <v>30</v>
      </c>
      <c r="L65" s="610">
        <v>50</v>
      </c>
      <c r="M65" s="1369">
        <v>0.02</v>
      </c>
      <c r="O65" s="1325" t="s">
        <v>403</v>
      </c>
      <c r="P65" s="1326" t="s">
        <v>867</v>
      </c>
      <c r="Q65" s="1327">
        <f ca="1">C40+J29</f>
        <v>3374342</v>
      </c>
      <c r="R65" s="1327" t="s">
        <v>817</v>
      </c>
    </row>
    <row r="66" spans="1:18" s="1292" customFormat="1" ht="16.2" thickBot="1">
      <c r="A66" s="928" t="s">
        <v>792</v>
      </c>
      <c r="B66" s="896" t="s">
        <v>727</v>
      </c>
      <c r="C66" s="21">
        <f ca="1">ROUND(C48*F66,0)</f>
        <v>0</v>
      </c>
      <c r="D66" s="910" t="s">
        <v>793</v>
      </c>
      <c r="E66" s="896" t="s">
        <v>711</v>
      </c>
      <c r="F66" s="304">
        <f t="shared" ca="1" si="0"/>
        <v>0.01</v>
      </c>
      <c r="O66" s="1325" t="s">
        <v>404</v>
      </c>
      <c r="P66" s="1326" t="s">
        <v>845</v>
      </c>
      <c r="Q66" s="1327">
        <f ca="1">L60</f>
        <v>0</v>
      </c>
      <c r="R66" s="1327" t="s">
        <v>868</v>
      </c>
    </row>
    <row r="67" spans="1:18" s="1292" customFormat="1" ht="24.6" thickBot="1">
      <c r="A67" s="903" t="s">
        <v>394</v>
      </c>
      <c r="B67" s="913" t="s">
        <v>751</v>
      </c>
      <c r="C67" s="308">
        <f ca="1">C48-C58</f>
        <v>-7558</v>
      </c>
      <c r="D67" s="909" t="s">
        <v>752</v>
      </c>
      <c r="E67" s="914"/>
      <c r="F67" s="915"/>
      <c r="O67" s="1334" t="s">
        <v>405</v>
      </c>
      <c r="P67" s="1326" t="s">
        <v>849</v>
      </c>
      <c r="Q67" s="1370">
        <f ca="1">L51</f>
        <v>3751289</v>
      </c>
      <c r="R67" s="1327" t="s">
        <v>869</v>
      </c>
    </row>
    <row r="68" spans="1:18" s="1292" customFormat="1" ht="16.2" thickBot="1">
      <c r="A68" s="893" t="s">
        <v>395</v>
      </c>
      <c r="B68" s="894" t="s">
        <v>773</v>
      </c>
      <c r="C68" s="293">
        <f ca="1">ROUND(C67*(1-((1+F70)/(1+F68))^F69)/(F68-F70),0)</f>
        <v>-86191</v>
      </c>
      <c r="D68" s="911" t="s">
        <v>757</v>
      </c>
      <c r="E68" s="896" t="s">
        <v>758</v>
      </c>
      <c r="F68" s="304">
        <f ca="1">F40</f>
        <v>5.5E-2</v>
      </c>
      <c r="O68" s="1334" t="s">
        <v>406</v>
      </c>
      <c r="P68" s="1371" t="s">
        <v>870</v>
      </c>
      <c r="Q68" s="1327">
        <f ca="1">ROUND(Q69-Q70*Q71,0)</f>
        <v>218618</v>
      </c>
      <c r="R68" s="1327" t="s">
        <v>414</v>
      </c>
    </row>
    <row r="69" spans="1:18" s="1292" customFormat="1" ht="13.8" thickBot="1">
      <c r="A69" s="897"/>
      <c r="B69" s="898"/>
      <c r="C69" s="298"/>
      <c r="D69" s="916" t="s">
        <v>761</v>
      </c>
      <c r="E69" s="896" t="s">
        <v>762</v>
      </c>
      <c r="F69" s="324">
        <f ca="1">F41</f>
        <v>18.43</v>
      </c>
      <c r="O69" s="1334" t="s">
        <v>411</v>
      </c>
      <c r="P69" s="1371" t="s">
        <v>871</v>
      </c>
      <c r="Q69" s="1327">
        <f ca="1">C39</f>
        <v>255069</v>
      </c>
      <c r="R69" s="1327" t="s">
        <v>817</v>
      </c>
    </row>
    <row r="70" spans="1:18" s="1292" customFormat="1" ht="13.8" thickBot="1">
      <c r="A70" s="900"/>
      <c r="B70" s="901"/>
      <c r="C70" s="302"/>
      <c r="D70" s="912"/>
      <c r="E70" s="896" t="s">
        <v>765</v>
      </c>
      <c r="F70" s="991"/>
      <c r="O70" s="1334" t="s">
        <v>412</v>
      </c>
      <c r="P70" s="1371" t="s">
        <v>872</v>
      </c>
      <c r="Q70" s="1327">
        <f ca="1">C13</f>
        <v>520725</v>
      </c>
      <c r="R70" s="1327" t="s">
        <v>817</v>
      </c>
    </row>
    <row r="71" spans="1:18" s="1292" customFormat="1" ht="13.8" thickBot="1">
      <c r="A71" s="917" t="s">
        <v>396</v>
      </c>
      <c r="B71" s="918" t="s">
        <v>775</v>
      </c>
      <c r="C71" s="327">
        <f ca="1">ROUND(C68/F71,0)</f>
        <v>-558</v>
      </c>
      <c r="D71" s="919" t="s">
        <v>776</v>
      </c>
      <c r="E71" s="920" t="s">
        <v>777</v>
      </c>
      <c r="F71" s="330">
        <f ca="1">F43</f>
        <v>154.41</v>
      </c>
      <c r="O71" s="1334" t="s">
        <v>413</v>
      </c>
      <c r="P71" s="1371" t="s">
        <v>873</v>
      </c>
      <c r="Q71" s="1337">
        <f ca="1">C76</f>
        <v>7.0000000000000007E-2</v>
      </c>
      <c r="R71" s="1327"/>
    </row>
    <row r="72" spans="1:18" s="1292" customFormat="1" ht="13.8" thickBot="1">
      <c r="B72" s="685"/>
      <c r="C72" s="685"/>
      <c r="O72" s="1334" t="s">
        <v>407</v>
      </c>
      <c r="P72" s="1326" t="s">
        <v>851</v>
      </c>
      <c r="Q72" s="1337">
        <f>L52</f>
        <v>0</v>
      </c>
      <c r="R72" s="1327"/>
    </row>
    <row r="73" spans="1:18" ht="16.2" thickBot="1">
      <c r="A73" s="1292"/>
      <c r="B73" s="685"/>
      <c r="C73" s="685"/>
      <c r="D73" s="1292"/>
      <c r="E73" s="1292"/>
      <c r="F73" s="1292"/>
      <c r="O73" s="1334" t="s">
        <v>408</v>
      </c>
      <c r="P73" s="1326" t="s">
        <v>854</v>
      </c>
      <c r="Q73" s="1327" t="e">
        <f ca="1">L58</f>
        <v>#DIV/0!</v>
      </c>
      <c r="R73" s="1327" t="s">
        <v>855</v>
      </c>
    </row>
    <row r="74" spans="1:18" ht="13.8"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8" thickBot="1">
      <c r="A75" s="1292"/>
      <c r="B75" s="331" t="s">
        <v>794</v>
      </c>
      <c r="C75" s="332">
        <f ca="1">ROUND(C13*C76,0)</f>
        <v>36451</v>
      </c>
      <c r="D75" s="1292"/>
      <c r="E75" s="1292"/>
      <c r="F75" s="1292"/>
      <c r="K75" s="1309"/>
      <c r="L75" s="1292"/>
      <c r="O75" s="1325" t="s">
        <v>409</v>
      </c>
      <c r="P75" s="1326" t="s">
        <v>837</v>
      </c>
      <c r="Q75" s="1327">
        <f ca="1">Q65+Q66</f>
        <v>3374342</v>
      </c>
      <c r="R75" s="1327" t="s">
        <v>410</v>
      </c>
    </row>
    <row r="76" spans="1:18">
      <c r="B76" s="333" t="s">
        <v>795</v>
      </c>
      <c r="C76" s="334">
        <f ca="1">INDIRECT("'数据-取费表'!j"&amp;$G$1)</f>
        <v>7.0000000000000007E-2</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0.85699999999999998</v>
      </c>
    </row>
    <row r="80" spans="1:18">
      <c r="B80" s="331" t="s">
        <v>799</v>
      </c>
      <c r="C80" s="266">
        <f ca="1">ROUND(C75/C39,3)</f>
        <v>0.14299999999999999</v>
      </c>
    </row>
    <row r="81" spans="2:3">
      <c r="B81" s="262" t="s">
        <v>800</v>
      </c>
      <c r="C81" s="230"/>
    </row>
    <row r="82" spans="2:3">
      <c r="B82" s="265" t="s">
        <v>801</v>
      </c>
      <c r="C82" s="267">
        <f ca="1">1-C83</f>
        <v>0.84599999999999997</v>
      </c>
    </row>
    <row r="83" spans="2:3">
      <c r="B83" s="265" t="s">
        <v>802</v>
      </c>
      <c r="C83" s="266">
        <f ca="1">ROUND(C13/C40,3)</f>
        <v>0.154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78" priority="3">
      <formula>$F$10="自定义"</formula>
    </cfRule>
  </conditionalFormatting>
  <conditionalFormatting sqref="C54">
    <cfRule type="expression" dxfId="177" priority="1">
      <formula>$F$53="自定义"</formula>
    </cfRule>
  </conditionalFormatting>
  <conditionalFormatting sqref="I55 I60">
    <cfRule type="expression" dxfId="176" priority="5">
      <formula>$J$51&gt;$L$48</formula>
    </cfRule>
  </conditionalFormatting>
  <conditionalFormatting sqref="J11">
    <cfRule type="expression" dxfId="175" priority="2">
      <formula>$M$10="自定义"</formula>
    </cfRule>
  </conditionalFormatting>
  <conditionalFormatting sqref="K55 K60">
    <cfRule type="expression" dxfId="174"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3357</v>
      </c>
      <c r="E2" s="3138"/>
      <c r="F2" s="2596"/>
      <c r="G2" s="2597"/>
      <c r="H2" s="2598"/>
      <c r="I2" s="2599"/>
      <c r="J2" s="3405" t="s">
        <v>2317</v>
      </c>
      <c r="K2" s="3406"/>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407" t="s">
        <v>2327</v>
      </c>
      <c r="K3" s="3408"/>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407" t="s">
        <v>2329</v>
      </c>
      <c r="K4" s="3408"/>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409" t="s">
        <v>2333</v>
      </c>
      <c r="B6" s="3410"/>
      <c r="C6" s="3411"/>
      <c r="D6" s="2620"/>
      <c r="E6" s="2621"/>
      <c r="F6" s="2622"/>
      <c r="G6" s="2623"/>
      <c r="H6" s="2598"/>
      <c r="I6" s="2599"/>
      <c r="J6" s="3412">
        <v>1</v>
      </c>
      <c r="K6" s="3413"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412"/>
      <c r="K7" s="3414"/>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16" t="s">
        <v>2347</v>
      </c>
      <c r="C8" s="3417"/>
      <c r="D8" s="2639" t="s">
        <v>2348</v>
      </c>
      <c r="E8" s="2640" t="s">
        <v>2349</v>
      </c>
      <c r="F8" s="2641" t="s">
        <v>2350</v>
      </c>
      <c r="G8" s="2642"/>
      <c r="H8" s="2598"/>
      <c r="I8" s="2599"/>
      <c r="J8" s="3412"/>
      <c r="K8" s="3414"/>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16" t="s">
        <v>2353</v>
      </c>
      <c r="C9" s="3417"/>
      <c r="D9" s="2639">
        <f>ROUND(D6*E9,0)</f>
        <v>0</v>
      </c>
      <c r="E9" s="2643"/>
      <c r="F9" s="2644" t="s">
        <v>2354</v>
      </c>
      <c r="G9" s="2623"/>
      <c r="H9" s="2598"/>
      <c r="I9" s="2599"/>
      <c r="J9" s="3412"/>
      <c r="K9" s="3414"/>
      <c r="L9" s="2633" t="s">
        <v>2355</v>
      </c>
      <c r="M9" s="2634"/>
      <c r="N9" s="2610"/>
      <c r="O9" s="2635"/>
      <c r="P9" s="2635"/>
      <c r="Q9" s="2636">
        <v>365</v>
      </c>
      <c r="R9" s="2637">
        <f t="shared" si="0"/>
        <v>0</v>
      </c>
      <c r="S9" s="2591"/>
      <c r="T9" s="2591"/>
      <c r="U9" s="2591"/>
      <c r="V9" s="2599"/>
    </row>
    <row r="10" spans="1:22" s="2603" customFormat="1" ht="13.2" customHeight="1">
      <c r="A10" s="2638">
        <v>2</v>
      </c>
      <c r="B10" s="3416" t="s">
        <v>2356</v>
      </c>
      <c r="C10" s="3417"/>
      <c r="D10" s="2639">
        <f>ROUND(D6*E10,0)</f>
        <v>0</v>
      </c>
      <c r="E10" s="2643"/>
      <c r="F10" s="2644" t="s">
        <v>2357</v>
      </c>
      <c r="G10" s="2623"/>
      <c r="H10" s="2598"/>
      <c r="I10" s="2599"/>
      <c r="J10" s="3412"/>
      <c r="K10" s="3414"/>
      <c r="L10" s="2633" t="s">
        <v>2358</v>
      </c>
      <c r="M10" s="2634"/>
      <c r="N10" s="2610"/>
      <c r="O10" s="2635"/>
      <c r="P10" s="2635"/>
      <c r="Q10" s="2636">
        <v>365</v>
      </c>
      <c r="R10" s="2637">
        <f t="shared" si="0"/>
        <v>0</v>
      </c>
      <c r="S10" s="2591"/>
      <c r="T10" s="2591"/>
      <c r="U10" s="2591"/>
      <c r="V10" s="2599"/>
    </row>
    <row r="11" spans="1:22" s="2603" customFormat="1" ht="13.2" customHeight="1">
      <c r="A11" s="2638">
        <v>3</v>
      </c>
      <c r="B11" s="3416" t="s">
        <v>2359</v>
      </c>
      <c r="C11" s="3417"/>
      <c r="D11" s="2639">
        <f>D12+D14+D15+D16</f>
        <v>0</v>
      </c>
      <c r="E11" s="2645" t="e">
        <f>D11/D6</f>
        <v>#DIV/0!</v>
      </c>
      <c r="F11" s="2641"/>
      <c r="G11" s="2642"/>
      <c r="H11" s="2598"/>
      <c r="I11" s="2599"/>
      <c r="J11" s="3412"/>
      <c r="K11" s="3414"/>
      <c r="L11" s="2633" t="s">
        <v>2360</v>
      </c>
      <c r="M11" s="2634"/>
      <c r="N11" s="2610"/>
      <c r="O11" s="2635"/>
      <c r="P11" s="2635"/>
      <c r="Q11" s="2636">
        <v>365</v>
      </c>
      <c r="R11" s="2637">
        <f t="shared" si="0"/>
        <v>0</v>
      </c>
      <c r="S11" s="2591"/>
      <c r="T11" s="2591"/>
      <c r="U11" s="2591"/>
      <c r="V11" s="2599"/>
    </row>
    <row r="12" spans="1:22" s="2603" customFormat="1" ht="13.2" customHeight="1">
      <c r="A12" s="2646" t="s">
        <v>2361</v>
      </c>
      <c r="B12" s="3418" t="s">
        <v>2362</v>
      </c>
      <c r="C12" s="3419"/>
      <c r="D12" s="2647">
        <f>ROUND(D13*1.2%*(1-30%),0)</f>
        <v>0</v>
      </c>
      <c r="E12" s="2648">
        <v>1.2E-2</v>
      </c>
      <c r="F12" s="2641" t="s">
        <v>2363</v>
      </c>
      <c r="G12" s="2642"/>
      <c r="H12" s="2598"/>
      <c r="I12" s="2599"/>
      <c r="J12" s="3412"/>
      <c r="K12" s="3414"/>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412"/>
      <c r="K13" s="3414"/>
      <c r="L13" s="2633" t="s">
        <v>2366</v>
      </c>
      <c r="M13" s="2634"/>
      <c r="N13" s="2610"/>
      <c r="O13" s="2635"/>
      <c r="P13" s="2635"/>
      <c r="Q13" s="2636">
        <v>365</v>
      </c>
      <c r="R13" s="2637">
        <f t="shared" si="0"/>
        <v>0</v>
      </c>
      <c r="S13" s="2591"/>
      <c r="T13" s="2591"/>
      <c r="U13" s="2591"/>
      <c r="V13" s="2599"/>
    </row>
    <row r="14" spans="1:22" s="2603" customFormat="1" ht="13.2" customHeight="1">
      <c r="A14" s="2646" t="s">
        <v>2367</v>
      </c>
      <c r="B14" s="3418" t="s">
        <v>2368</v>
      </c>
      <c r="C14" s="3419"/>
      <c r="D14" s="2647">
        <f>ROUND(E14*B5/10000,0)</f>
        <v>0</v>
      </c>
      <c r="E14" s="2636"/>
      <c r="F14" s="2641" t="s">
        <v>2369</v>
      </c>
      <c r="G14" s="2642"/>
      <c r="H14" s="2598"/>
      <c r="I14" s="2599"/>
      <c r="J14" s="3412"/>
      <c r="K14" s="3415"/>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418" t="s">
        <v>2372</v>
      </c>
      <c r="C15" s="3419"/>
      <c r="D15" s="2647">
        <f>ROUND(D6*E15,0)</f>
        <v>0</v>
      </c>
      <c r="E15" s="2648">
        <v>5.5E-2</v>
      </c>
      <c r="F15" s="2641" t="s">
        <v>2373</v>
      </c>
      <c r="G15" s="2623"/>
      <c r="H15" s="2598"/>
      <c r="I15" s="2599"/>
      <c r="J15" s="3412">
        <v>2</v>
      </c>
      <c r="K15" s="3413"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418" t="s">
        <v>2381</v>
      </c>
      <c r="C16" s="3419"/>
      <c r="D16" s="2658">
        <f>D6*E16</f>
        <v>0</v>
      </c>
      <c r="E16" s="2659"/>
      <c r="F16" s="2644" t="s">
        <v>2382</v>
      </c>
      <c r="G16" s="2623"/>
      <c r="H16" s="2598"/>
      <c r="I16" s="2599"/>
      <c r="J16" s="3412"/>
      <c r="K16" s="3414"/>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20" t="s">
        <v>2384</v>
      </c>
      <c r="C17" s="3421"/>
      <c r="D17" s="2661">
        <f>ROUND(D6*E17,0)</f>
        <v>0</v>
      </c>
      <c r="E17" s="2662"/>
      <c r="F17" s="2663" t="s">
        <v>2385</v>
      </c>
      <c r="G17" s="2623"/>
      <c r="H17" s="2598"/>
      <c r="I17" s="2599"/>
      <c r="J17" s="3412"/>
      <c r="K17" s="3414"/>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412"/>
      <c r="K18" s="3414"/>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412"/>
      <c r="K19" s="3415"/>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12">
        <v>3</v>
      </c>
      <c r="K20" s="3413"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412"/>
      <c r="K21" s="3414"/>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412"/>
      <c r="K22" s="3414"/>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412"/>
      <c r="K23" s="3414"/>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412"/>
      <c r="K24" s="3415"/>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2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23"/>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405" t="s">
        <v>2317</v>
      </c>
      <c r="K32" s="3406"/>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407" t="s">
        <v>2327</v>
      </c>
      <c r="K33" s="3408"/>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407" t="s">
        <v>2329</v>
      </c>
      <c r="K34" s="3408"/>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412">
        <v>1</v>
      </c>
      <c r="K36" s="3413"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412"/>
      <c r="K37" s="3414"/>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12"/>
      <c r="K38" s="3414"/>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412"/>
      <c r="K39" s="3414"/>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412"/>
      <c r="K40" s="3415"/>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22">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23"/>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1656</v>
      </c>
      <c r="B1" s="1726"/>
      <c r="C1" s="1726"/>
      <c r="D1" s="1726"/>
      <c r="E1" s="1727"/>
      <c r="F1" s="2478"/>
      <c r="G1" s="459"/>
      <c r="H1" s="459"/>
      <c r="I1" s="459"/>
      <c r="J1" s="459"/>
      <c r="K1" s="459"/>
      <c r="L1" s="459"/>
      <c r="M1" s="459"/>
      <c r="N1" s="459"/>
      <c r="O1" s="459"/>
      <c r="P1" s="459"/>
      <c r="Q1" s="459"/>
      <c r="R1" s="459"/>
      <c r="S1" s="459"/>
    </row>
    <row r="2" spans="1:22" ht="15.6">
      <c r="A2" s="1728" t="s">
        <v>1460</v>
      </c>
      <c r="B2" s="811">
        <f ca="1">SUMIF(B6:B13,"&lt;&gt;#ref!",B6:B13)</f>
        <v>1070.9313999999999</v>
      </c>
      <c r="C2" s="1729" t="s">
        <v>1649</v>
      </c>
      <c r="D2" s="1730" t="s">
        <v>1650</v>
      </c>
      <c r="E2" s="2392">
        <f>SUM(E6:E13)</f>
        <v>479.51</v>
      </c>
      <c r="F2" s="2478"/>
      <c r="G2" s="459"/>
      <c r="H2" s="459"/>
      <c r="I2" s="459"/>
      <c r="J2" s="459"/>
      <c r="K2" s="459"/>
      <c r="L2" s="459"/>
      <c r="M2" s="459"/>
      <c r="N2" s="459"/>
      <c r="O2" s="459"/>
      <c r="P2" s="459"/>
      <c r="Q2" s="459"/>
      <c r="R2" s="459"/>
      <c r="S2" s="459"/>
    </row>
    <row r="3" spans="1:22" ht="15.6">
      <c r="A3" s="1728" t="s">
        <v>685</v>
      </c>
      <c r="B3" s="2386">
        <f ca="1">ROUND(B2*10000/E2,0)</f>
        <v>22334</v>
      </c>
      <c r="C3" s="1729" t="s">
        <v>1657</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1651</v>
      </c>
      <c r="B5" s="3424" t="s">
        <v>1652</v>
      </c>
      <c r="C5" s="3425"/>
      <c r="D5" s="2479"/>
      <c r="E5" s="1731" t="s">
        <v>1653</v>
      </c>
      <c r="F5" s="129" t="s">
        <v>1654</v>
      </c>
      <c r="G5" s="459"/>
      <c r="H5" s="459"/>
      <c r="I5" s="459"/>
      <c r="J5" s="459"/>
      <c r="K5" s="459"/>
      <c r="L5" s="459"/>
      <c r="M5" s="459"/>
      <c r="N5" s="459"/>
      <c r="O5" s="459"/>
      <c r="P5" s="459"/>
      <c r="Q5" s="459"/>
      <c r="R5" s="459"/>
      <c r="S5" s="459"/>
    </row>
    <row r="6" spans="1:22" ht="14.4">
      <c r="A6" s="2389" t="str">
        <f>'数据-取费表'!AN6</f>
        <v>42号收益法 (元)</v>
      </c>
      <c r="B6" s="2387">
        <f ca="1">IF(F6="是",'数据-取费表'!AO6,0)</f>
        <v>344.85719999999998</v>
      </c>
      <c r="C6" s="1729" t="s">
        <v>1649</v>
      </c>
      <c r="D6" s="2478"/>
      <c r="E6" s="2391">
        <f>IF(OR(A6=0,F6="否"),0,'数据-取费表'!K6+'数据-取费表'!S6)</f>
        <v>154.41</v>
      </c>
      <c r="F6" s="1732" t="s">
        <v>1655</v>
      </c>
      <c r="G6" s="459"/>
      <c r="H6" s="459"/>
      <c r="I6" s="459"/>
      <c r="J6" s="459"/>
      <c r="K6" s="459"/>
      <c r="L6" s="459"/>
      <c r="M6" s="459"/>
      <c r="N6" s="459"/>
      <c r="O6" s="459"/>
      <c r="P6" s="459"/>
      <c r="Q6" s="459"/>
      <c r="R6" s="459"/>
      <c r="S6" s="459"/>
    </row>
    <row r="7" spans="1:22" ht="14.4">
      <c r="A7" s="2389" t="str">
        <f>'数据-取费表'!AN7</f>
        <v xml:space="preserve">54号收益法 (元) </v>
      </c>
      <c r="B7" s="2387">
        <f ca="1">IF(F7="是",'数据-取费表'!AO7,0)</f>
        <v>341.46230000000003</v>
      </c>
      <c r="C7" s="1729" t="s">
        <v>1649</v>
      </c>
      <c r="D7" s="2478"/>
      <c r="E7" s="2391">
        <f>IF(OR(A7=0,F7="否"),0,'数据-取费表'!K7+'数据-取费表'!S7)</f>
        <v>152.88999999999999</v>
      </c>
      <c r="F7" s="1732" t="s">
        <v>1655</v>
      </c>
      <c r="G7" s="459"/>
      <c r="H7" s="459"/>
      <c r="I7" s="459"/>
      <c r="J7" s="459"/>
      <c r="K7" s="459"/>
      <c r="L7" s="459"/>
      <c r="M7" s="459"/>
      <c r="N7" s="459"/>
      <c r="O7" s="459"/>
      <c r="P7" s="459"/>
      <c r="Q7" s="459"/>
      <c r="R7" s="459"/>
      <c r="S7" s="459"/>
    </row>
    <row r="8" spans="1:22" ht="14.4">
      <c r="A8" s="2389" t="str">
        <f>'数据-取费表'!AN8</f>
        <v>56号收益法 (元)</v>
      </c>
      <c r="B8" s="2387">
        <f ca="1">IF(F8="是",'数据-取费表'!AO8,0)</f>
        <v>384.61189999999999</v>
      </c>
      <c r="C8" s="1729" t="s">
        <v>1649</v>
      </c>
      <c r="D8" s="2478"/>
      <c r="E8" s="2391">
        <f>IF(OR(A8=0,F8="否"),0,'数据-取费表'!K8+'数据-取费表'!S8)</f>
        <v>172.21</v>
      </c>
      <c r="F8" s="1732" t="s">
        <v>1655</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1649</v>
      </c>
      <c r="D9" s="2478"/>
      <c r="E9" s="2391">
        <f>IF(OR(A9=0,F9="否"),0,'数据-取费表'!K9+'数据-取费表'!S9)</f>
        <v>0</v>
      </c>
      <c r="F9" s="1732" t="s">
        <v>1655</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1649</v>
      </c>
      <c r="D10" s="2478"/>
      <c r="E10" s="2391">
        <f>IF(OR(A10=0,F10="否"),0,'数据-取费表'!K10+'数据-取费表'!S10)</f>
        <v>0</v>
      </c>
      <c r="F10" s="1732" t="s">
        <v>1655</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1649</v>
      </c>
      <c r="D11" s="2478"/>
      <c r="E11" s="2391">
        <f>IF(OR(A11=0,F11="否"),0,'数据-取费表'!K11+'数据-取费表'!S11)</f>
        <v>0</v>
      </c>
      <c r="F11" s="1732" t="s">
        <v>1655</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1649</v>
      </c>
      <c r="D12" s="2478"/>
      <c r="E12" s="2391">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1649</v>
      </c>
      <c r="D13" s="2480"/>
      <c r="E13" s="2391">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1658</v>
      </c>
      <c r="B1" s="1734" t="s">
        <v>1659</v>
      </c>
      <c r="C1" s="1155" t="s">
        <v>1660</v>
      </c>
      <c r="D1" s="1142"/>
      <c r="E1" s="3123"/>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684</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685</v>
      </c>
      <c r="B3" s="343">
        <f>IF(C2="——",C49,ROUND(B2*10000/D3,0))</f>
        <v>0</v>
      </c>
      <c r="C3" s="344" t="s">
        <v>1663</v>
      </c>
      <c r="D3" s="343">
        <f>IF(D1="",'数据-汇总表'!E3,SUMIF('数据-汇总表'!$C19:$C33,D1,'数据-汇总表'!$E19:$E33))</f>
        <v>479.51</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1664</v>
      </c>
      <c r="B4" s="346"/>
      <c r="C4" s="3378" t="s">
        <v>1665</v>
      </c>
      <c r="D4" s="3379"/>
      <c r="E4" s="3380" t="s">
        <v>1666</v>
      </c>
      <c r="F4" s="3381"/>
      <c r="G4" s="3378" t="s">
        <v>1667</v>
      </c>
      <c r="H4" s="3379"/>
      <c r="I4" s="3378" t="s">
        <v>1668</v>
      </c>
      <c r="J4" s="3379"/>
      <c r="K4" s="1744" t="s">
        <v>1669</v>
      </c>
      <c r="L4" s="2485"/>
      <c r="M4" s="2486"/>
      <c r="N4" s="2486"/>
      <c r="O4" s="2486"/>
      <c r="P4" s="3382" t="s">
        <v>1670</v>
      </c>
      <c r="Q4" s="3383"/>
      <c r="R4" s="3365" t="s">
        <v>1666</v>
      </c>
      <c r="S4" s="3366"/>
      <c r="T4" s="3365" t="s">
        <v>1667</v>
      </c>
      <c r="U4" s="3366"/>
      <c r="V4" s="3362" t="s">
        <v>1668</v>
      </c>
      <c r="W4" s="3362"/>
      <c r="X4" s="1265"/>
      <c r="Y4" s="3365" t="s">
        <v>1670</v>
      </c>
      <c r="Z4" s="3366"/>
      <c r="AA4" s="3359" t="s">
        <v>1666</v>
      </c>
      <c r="AB4" s="3359" t="s">
        <v>1667</v>
      </c>
      <c r="AC4" s="3359" t="s">
        <v>1668</v>
      </c>
    </row>
    <row r="5" spans="1:29">
      <c r="A5" s="348"/>
      <c r="B5" s="349"/>
      <c r="C5" s="3371" t="s">
        <v>1671</v>
      </c>
      <c r="D5" s="3372"/>
      <c r="E5" s="3426" t="s">
        <v>1672</v>
      </c>
      <c r="F5" s="3370"/>
      <c r="G5" s="3371" t="s">
        <v>1673</v>
      </c>
      <c r="H5" s="3372"/>
      <c r="I5" s="3371" t="s">
        <v>1674</v>
      </c>
      <c r="J5" s="3372"/>
      <c r="K5" s="1745"/>
      <c r="L5" s="2485"/>
      <c r="M5" s="2486"/>
      <c r="N5" s="2486"/>
      <c r="O5" s="2486"/>
      <c r="P5" s="3384"/>
      <c r="Q5" s="3385"/>
      <c r="R5" s="3367"/>
      <c r="S5" s="3368"/>
      <c r="T5" s="3367"/>
      <c r="U5" s="3368"/>
      <c r="V5" s="3362"/>
      <c r="W5" s="3362"/>
      <c r="X5" s="1265"/>
      <c r="Y5" s="3367"/>
      <c r="Z5" s="3368"/>
      <c r="AA5" s="3360"/>
      <c r="AB5" s="3360"/>
      <c r="AC5" s="3360"/>
    </row>
    <row r="6" spans="1:29" ht="15" thickBot="1">
      <c r="A6" s="350"/>
      <c r="B6" s="351"/>
      <c r="C6" s="3373" t="s">
        <v>1675</v>
      </c>
      <c r="D6" s="3374"/>
      <c r="E6" s="3375" t="s">
        <v>1675</v>
      </c>
      <c r="F6" s="3376"/>
      <c r="G6" s="3373" t="s">
        <v>1675</v>
      </c>
      <c r="H6" s="3374"/>
      <c r="I6" s="3373" t="s">
        <v>1675</v>
      </c>
      <c r="J6" s="3374"/>
      <c r="K6" s="1745" t="s">
        <v>1676</v>
      </c>
      <c r="L6" s="2485"/>
      <c r="M6" s="2486"/>
      <c r="N6" s="2486"/>
      <c r="O6" s="2486"/>
      <c r="P6" s="3386"/>
      <c r="Q6" s="3387"/>
      <c r="R6" s="3367"/>
      <c r="S6" s="3368"/>
      <c r="T6" s="3388"/>
      <c r="U6" s="3389"/>
      <c r="V6" s="3362"/>
      <c r="W6" s="3362"/>
      <c r="X6" s="1265"/>
      <c r="Y6" s="3388"/>
      <c r="Z6" s="3389"/>
      <c r="AA6" s="3361"/>
      <c r="AB6" s="3361"/>
      <c r="AC6" s="3361"/>
    </row>
    <row r="7" spans="1:29" s="102" customFormat="1" ht="15" thickBot="1">
      <c r="A7" s="352" t="s">
        <v>1677</v>
      </c>
      <c r="B7" s="353"/>
      <c r="C7" s="354">
        <f>'数据-取费表'!B2</f>
        <v>45635</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63" t="s">
        <v>1678</v>
      </c>
      <c r="Q7" s="3391"/>
      <c r="R7" s="664" t="s">
        <v>20</v>
      </c>
      <c r="S7" s="665">
        <f t="shared" ref="S7:S15" si="0">F7</f>
        <v>0</v>
      </c>
      <c r="T7" s="664" t="s">
        <v>20</v>
      </c>
      <c r="U7" s="665">
        <f t="shared" ref="U7:U15" si="1">H7</f>
        <v>0</v>
      </c>
      <c r="V7" s="664" t="s">
        <v>20</v>
      </c>
      <c r="W7" s="665">
        <f t="shared" ref="W7:W15" si="2">J7</f>
        <v>0</v>
      </c>
      <c r="X7" s="666"/>
      <c r="Y7" s="3363" t="s">
        <v>1678</v>
      </c>
      <c r="Z7" s="3364"/>
      <c r="AA7" s="50" t="e">
        <f>D7/F7</f>
        <v>#DIV/0!</v>
      </c>
      <c r="AB7" s="50" t="e">
        <f>D7/H7</f>
        <v>#DIV/0!</v>
      </c>
      <c r="AC7" s="50" t="e">
        <f>D7/J7</f>
        <v>#DIV/0!</v>
      </c>
    </row>
    <row r="8" spans="1:29" s="102" customFormat="1" ht="1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63" t="s">
        <v>1681</v>
      </c>
      <c r="Q8" s="3364"/>
      <c r="R8" s="664" t="s">
        <v>20</v>
      </c>
      <c r="S8" s="665">
        <f t="shared" si="0"/>
        <v>100</v>
      </c>
      <c r="T8" s="664" t="s">
        <v>20</v>
      </c>
      <c r="U8" s="665">
        <f t="shared" si="1"/>
        <v>100</v>
      </c>
      <c r="V8" s="664" t="s">
        <v>20</v>
      </c>
      <c r="W8" s="665">
        <f t="shared" si="2"/>
        <v>100</v>
      </c>
      <c r="X8" s="666"/>
      <c r="Y8" s="3363" t="s">
        <v>1681</v>
      </c>
      <c r="Z8" s="3364"/>
      <c r="AA8" s="50">
        <f t="shared" ref="AA8:AA19" si="3">D8/F8</f>
        <v>1</v>
      </c>
      <c r="AB8" s="50">
        <f t="shared" ref="AB8:AB19" si="4">D8/H8</f>
        <v>1</v>
      </c>
      <c r="AC8" s="50">
        <f t="shared" ref="AC8:AC19" si="5">D8/J8</f>
        <v>1</v>
      </c>
    </row>
    <row r="9" spans="1:29" s="102" customFormat="1" ht="14.4">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77" t="s">
        <v>1684</v>
      </c>
      <c r="Q9" s="530" t="str">
        <f t="shared" ref="Q9:Q15" si="6">B9</f>
        <v>用途</v>
      </c>
      <c r="R9" s="664" t="s">
        <v>14</v>
      </c>
      <c r="S9" s="665">
        <f t="shared" si="0"/>
        <v>100</v>
      </c>
      <c r="T9" s="664" t="s">
        <v>14</v>
      </c>
      <c r="U9" s="665">
        <f t="shared" si="1"/>
        <v>100</v>
      </c>
      <c r="V9" s="664" t="s">
        <v>14</v>
      </c>
      <c r="W9" s="665">
        <f t="shared" si="2"/>
        <v>100</v>
      </c>
      <c r="X9" s="666"/>
      <c r="Y9" s="3327" t="s">
        <v>1685</v>
      </c>
      <c r="Z9" s="50" t="str">
        <f t="shared" ref="Z9:Z15" si="7">Q9</f>
        <v>用途</v>
      </c>
      <c r="AA9" s="50">
        <f t="shared" si="3"/>
        <v>1</v>
      </c>
      <c r="AB9" s="50">
        <f t="shared" si="4"/>
        <v>1</v>
      </c>
      <c r="AC9" s="50">
        <f t="shared" si="5"/>
        <v>1</v>
      </c>
    </row>
    <row r="10" spans="1:29" s="366" customFormat="1" ht="28.8">
      <c r="A10" s="363"/>
      <c r="B10" s="364" t="s">
        <v>1686</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7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7"/>
      <c r="Q11" s="530" t="str">
        <f t="shared" si="6"/>
        <v>容积率</v>
      </c>
      <c r="R11" s="664" t="s">
        <v>18</v>
      </c>
      <c r="S11" s="665" t="e">
        <f t="shared" si="0"/>
        <v>#N/A</v>
      </c>
      <c r="T11" s="664" t="s">
        <v>18</v>
      </c>
      <c r="U11" s="665" t="e">
        <f t="shared" si="1"/>
        <v>#N/A</v>
      </c>
      <c r="V11" s="664" t="s">
        <v>18</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77"/>
      <c r="Q12" s="530">
        <f t="shared" si="6"/>
        <v>111</v>
      </c>
      <c r="R12" s="664" t="s">
        <v>18</v>
      </c>
      <c r="S12" s="665">
        <f t="shared" si="0"/>
        <v>100</v>
      </c>
      <c r="T12" s="664" t="s">
        <v>18</v>
      </c>
      <c r="U12" s="665">
        <f t="shared" si="1"/>
        <v>100</v>
      </c>
      <c r="V12" s="664" t="s">
        <v>18</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77"/>
      <c r="Q13" s="530">
        <f t="shared" si="6"/>
        <v>111</v>
      </c>
      <c r="R13" s="664" t="s">
        <v>18</v>
      </c>
      <c r="S13" s="665">
        <f t="shared" si="0"/>
        <v>100</v>
      </c>
      <c r="T13" s="664" t="s">
        <v>18</v>
      </c>
      <c r="U13" s="665">
        <f t="shared" si="1"/>
        <v>100</v>
      </c>
      <c r="V13" s="664" t="s">
        <v>18</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77"/>
      <c r="Q14" s="530">
        <f t="shared" si="6"/>
        <v>111</v>
      </c>
      <c r="R14" s="664" t="s">
        <v>18</v>
      </c>
      <c r="S14" s="665">
        <f t="shared" si="0"/>
        <v>100</v>
      </c>
      <c r="T14" s="664" t="s">
        <v>18</v>
      </c>
      <c r="U14" s="665">
        <f t="shared" si="1"/>
        <v>100</v>
      </c>
      <c r="V14" s="664" t="s">
        <v>18</v>
      </c>
      <c r="W14" s="665">
        <f t="shared" si="2"/>
        <v>100</v>
      </c>
      <c r="X14" s="666"/>
      <c r="Y14" s="3327"/>
      <c r="Z14" s="50">
        <f t="shared" si="7"/>
        <v>111</v>
      </c>
      <c r="AA14" s="50">
        <f t="shared" si="3"/>
        <v>1</v>
      </c>
      <c r="AB14" s="50">
        <f t="shared" si="4"/>
        <v>1</v>
      </c>
      <c r="AC14" s="50">
        <f t="shared" si="5"/>
        <v>1</v>
      </c>
    </row>
    <row r="15" spans="1:29" ht="96.6">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2" t="s">
        <v>1689</v>
      </c>
      <c r="Q15" s="1263" t="str">
        <f t="shared" si="6"/>
        <v>居住社区成熟度</v>
      </c>
      <c r="R15" s="667" t="s">
        <v>18</v>
      </c>
      <c r="S15" s="668">
        <f t="shared" si="0"/>
        <v>100</v>
      </c>
      <c r="T15" s="667" t="s">
        <v>18</v>
      </c>
      <c r="U15" s="668">
        <f t="shared" si="1"/>
        <v>100</v>
      </c>
      <c r="V15" s="667" t="s">
        <v>18</v>
      </c>
      <c r="W15" s="668">
        <f t="shared" si="2"/>
        <v>100</v>
      </c>
      <c r="X15" s="1265"/>
      <c r="Y15" s="3394"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93"/>
      <c r="Q16" s="1263"/>
      <c r="R16" s="667"/>
      <c r="S16" s="668"/>
      <c r="T16" s="667"/>
      <c r="U16" s="668"/>
      <c r="V16" s="667"/>
      <c r="W16" s="668"/>
      <c r="X16" s="1265"/>
      <c r="Y16" s="3395"/>
      <c r="Z16" s="1264"/>
      <c r="AA16" s="1264">
        <v>1</v>
      </c>
      <c r="AB16" s="1264">
        <v>1</v>
      </c>
      <c r="AC16" s="1264">
        <v>1</v>
      </c>
    </row>
    <row r="17" spans="1:29" ht="82.8">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3"/>
      <c r="Q17" s="1263" t="str">
        <f>B17</f>
        <v>交通便捷度</v>
      </c>
      <c r="R17" s="667" t="s">
        <v>18</v>
      </c>
      <c r="S17" s="668">
        <f>F17</f>
        <v>100</v>
      </c>
      <c r="T17" s="667" t="s">
        <v>18</v>
      </c>
      <c r="U17" s="668">
        <f>H17</f>
        <v>100</v>
      </c>
      <c r="V17" s="667" t="s">
        <v>18</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93"/>
      <c r="Q18" s="1263"/>
      <c r="R18" s="667"/>
      <c r="S18" s="668"/>
      <c r="T18" s="667"/>
      <c r="U18" s="668"/>
      <c r="V18" s="667"/>
      <c r="W18" s="668"/>
      <c r="X18" s="1265"/>
      <c r="Y18" s="3395"/>
      <c r="Z18" s="1264"/>
      <c r="AA18" s="1264">
        <v>1</v>
      </c>
      <c r="AB18" s="1264">
        <v>1</v>
      </c>
      <c r="AC18" s="1264">
        <v>1</v>
      </c>
    </row>
    <row r="19" spans="1:29" ht="41.4">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3"/>
      <c r="Q19" s="1263" t="str">
        <f>B19</f>
        <v>公共配套设施</v>
      </c>
      <c r="R19" s="667" t="s">
        <v>18</v>
      </c>
      <c r="S19" s="668">
        <f>F19</f>
        <v>100</v>
      </c>
      <c r="T19" s="667" t="s">
        <v>18</v>
      </c>
      <c r="U19" s="668">
        <f>H19</f>
        <v>100</v>
      </c>
      <c r="V19" s="667" t="s">
        <v>18</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93"/>
      <c r="Q20" s="1263"/>
      <c r="R20" s="667"/>
      <c r="S20" s="668"/>
      <c r="T20" s="667"/>
      <c r="U20" s="668"/>
      <c r="V20" s="667"/>
      <c r="W20" s="668"/>
      <c r="X20" s="1265"/>
      <c r="Y20" s="3395"/>
      <c r="Z20" s="1264"/>
      <c r="AA20" s="1264">
        <v>1</v>
      </c>
      <c r="AB20" s="1264">
        <v>1</v>
      </c>
      <c r="AC20" s="1264">
        <v>1</v>
      </c>
    </row>
    <row r="21" spans="1:29" ht="27.6">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93"/>
      <c r="Q22" s="1263"/>
      <c r="R22" s="667"/>
      <c r="S22" s="668"/>
      <c r="T22" s="667"/>
      <c r="U22" s="668"/>
      <c r="V22" s="667"/>
      <c r="W22" s="668"/>
      <c r="X22" s="1265"/>
      <c r="Y22" s="3395"/>
      <c r="Z22" s="1264"/>
      <c r="AA22" s="1264">
        <v>1</v>
      </c>
      <c r="AB22" s="1264">
        <v>1</v>
      </c>
      <c r="AC22" s="1264">
        <v>1</v>
      </c>
    </row>
    <row r="23" spans="1:29" ht="55.2">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3"/>
      <c r="Q23" s="1263" t="str">
        <f>B23</f>
        <v>自然及人文环境</v>
      </c>
      <c r="R23" s="667" t="s">
        <v>18</v>
      </c>
      <c r="S23" s="668">
        <f>F23</f>
        <v>100</v>
      </c>
      <c r="T23" s="667" t="s">
        <v>18</v>
      </c>
      <c r="U23" s="668">
        <f>H23</f>
        <v>100</v>
      </c>
      <c r="V23" s="667" t="s">
        <v>18</v>
      </c>
      <c r="W23" s="668">
        <f>J23</f>
        <v>100</v>
      </c>
      <c r="X23" s="1265"/>
      <c r="Y23" s="339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93"/>
      <c r="Q24" s="1263"/>
      <c r="R24" s="667"/>
      <c r="S24" s="668"/>
      <c r="T24" s="667"/>
      <c r="U24" s="668"/>
      <c r="V24" s="667"/>
      <c r="W24" s="668"/>
      <c r="X24" s="1265"/>
      <c r="Y24" s="3395"/>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5"/>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3"/>
      <c r="Q26" s="1263" t="str">
        <f t="shared" si="11"/>
        <v>朝向</v>
      </c>
      <c r="R26" s="667" t="s">
        <v>18</v>
      </c>
      <c r="S26" s="668">
        <f t="shared" si="12"/>
        <v>100</v>
      </c>
      <c r="T26" s="667" t="s">
        <v>18</v>
      </c>
      <c r="U26" s="668">
        <f t="shared" si="13"/>
        <v>100</v>
      </c>
      <c r="V26" s="667" t="s">
        <v>18</v>
      </c>
      <c r="W26" s="668">
        <f t="shared" si="14"/>
        <v>100</v>
      </c>
      <c r="X26" s="1265"/>
      <c r="Y26" s="339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3"/>
      <c r="Q27" s="530">
        <f t="shared" si="11"/>
        <v>111</v>
      </c>
      <c r="R27" s="664" t="s">
        <v>18</v>
      </c>
      <c r="S27" s="665">
        <f t="shared" si="12"/>
        <v>100</v>
      </c>
      <c r="T27" s="664" t="s">
        <v>18</v>
      </c>
      <c r="U27" s="665">
        <f t="shared" si="13"/>
        <v>100</v>
      </c>
      <c r="V27" s="664" t="s">
        <v>18</v>
      </c>
      <c r="W27" s="665">
        <f t="shared" si="14"/>
        <v>100</v>
      </c>
      <c r="X27" s="666"/>
      <c r="Y27" s="339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3"/>
      <c r="Q28" s="1263">
        <f t="shared" si="11"/>
        <v>111</v>
      </c>
      <c r="R28" s="667" t="s">
        <v>18</v>
      </c>
      <c r="S28" s="668">
        <f t="shared" si="12"/>
        <v>100</v>
      </c>
      <c r="T28" s="667" t="s">
        <v>18</v>
      </c>
      <c r="U28" s="668">
        <f t="shared" si="13"/>
        <v>100</v>
      </c>
      <c r="V28" s="667" t="s">
        <v>18</v>
      </c>
      <c r="W28" s="668">
        <f t="shared" si="14"/>
        <v>100</v>
      </c>
      <c r="X28" s="1265"/>
      <c r="Y28" s="339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3"/>
      <c r="Q29" s="1263">
        <f t="shared" si="11"/>
        <v>111</v>
      </c>
      <c r="R29" s="667" t="s">
        <v>18</v>
      </c>
      <c r="S29" s="668">
        <f t="shared" si="12"/>
        <v>100</v>
      </c>
      <c r="T29" s="667" t="s">
        <v>18</v>
      </c>
      <c r="U29" s="668">
        <f t="shared" si="13"/>
        <v>100</v>
      </c>
      <c r="V29" s="667" t="s">
        <v>18</v>
      </c>
      <c r="W29" s="668">
        <f t="shared" si="14"/>
        <v>100</v>
      </c>
      <c r="X29" s="1265"/>
      <c r="Y29" s="339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3"/>
      <c r="Q30" s="1263">
        <f t="shared" si="11"/>
        <v>111</v>
      </c>
      <c r="R30" s="667" t="s">
        <v>18</v>
      </c>
      <c r="S30" s="668">
        <f t="shared" si="12"/>
        <v>100</v>
      </c>
      <c r="T30" s="667" t="s">
        <v>18</v>
      </c>
      <c r="U30" s="668">
        <f t="shared" si="13"/>
        <v>100</v>
      </c>
      <c r="V30" s="667" t="s">
        <v>18</v>
      </c>
      <c r="W30" s="668">
        <f t="shared" si="14"/>
        <v>100</v>
      </c>
      <c r="X30" s="1265"/>
      <c r="Y30" s="339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3"/>
      <c r="Q31" s="1263">
        <f t="shared" si="11"/>
        <v>111</v>
      </c>
      <c r="R31" s="667" t="s">
        <v>18</v>
      </c>
      <c r="S31" s="668">
        <f t="shared" si="12"/>
        <v>100</v>
      </c>
      <c r="T31" s="667" t="s">
        <v>18</v>
      </c>
      <c r="U31" s="668">
        <f t="shared" si="13"/>
        <v>100</v>
      </c>
      <c r="V31" s="667" t="s">
        <v>18</v>
      </c>
      <c r="W31" s="668">
        <f t="shared" si="14"/>
        <v>100</v>
      </c>
      <c r="X31" s="1265"/>
      <c r="Y31" s="3395"/>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96" t="s">
        <v>1694</v>
      </c>
      <c r="Q32" s="1263" t="str">
        <f t="shared" si="11"/>
        <v>建筑类型</v>
      </c>
      <c r="R32" s="667" t="s">
        <v>18</v>
      </c>
      <c r="S32" s="668">
        <f t="shared" si="12"/>
        <v>100</v>
      </c>
      <c r="T32" s="667" t="s">
        <v>18</v>
      </c>
      <c r="U32" s="668">
        <f t="shared" si="13"/>
        <v>100</v>
      </c>
      <c r="V32" s="667" t="s">
        <v>18</v>
      </c>
      <c r="W32" s="668">
        <f t="shared" si="14"/>
        <v>100</v>
      </c>
      <c r="X32" s="1265"/>
      <c r="Y32" s="3399"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97"/>
      <c r="Q33" s="531" t="str">
        <f t="shared" si="11"/>
        <v>项目建筑规模</v>
      </c>
      <c r="R33" s="669" t="s">
        <v>18</v>
      </c>
      <c r="S33" s="670" t="e">
        <f t="shared" si="12"/>
        <v>#N/A</v>
      </c>
      <c r="T33" s="669" t="s">
        <v>18</v>
      </c>
      <c r="U33" s="670" t="e">
        <f t="shared" si="13"/>
        <v>#N/A</v>
      </c>
      <c r="V33" s="669" t="s">
        <v>18</v>
      </c>
      <c r="W33" s="670" t="e">
        <f t="shared" si="14"/>
        <v>#N/A</v>
      </c>
      <c r="X33" s="671"/>
      <c r="Y33" s="3399"/>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97"/>
      <c r="Q34" s="1263" t="str">
        <f t="shared" si="11"/>
        <v>建筑结构</v>
      </c>
      <c r="R34" s="667" t="s">
        <v>18</v>
      </c>
      <c r="S34" s="668">
        <f t="shared" si="12"/>
        <v>100</v>
      </c>
      <c r="T34" s="667" t="s">
        <v>18</v>
      </c>
      <c r="U34" s="668">
        <f t="shared" si="13"/>
        <v>100</v>
      </c>
      <c r="V34" s="667" t="s">
        <v>18</v>
      </c>
      <c r="W34" s="668">
        <f t="shared" si="14"/>
        <v>100</v>
      </c>
      <c r="X34" s="1265"/>
      <c r="Y34" s="3399"/>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97"/>
      <c r="Q35" s="1263" t="str">
        <f t="shared" si="11"/>
        <v>建筑品质</v>
      </c>
      <c r="R35" s="667" t="s">
        <v>18</v>
      </c>
      <c r="S35" s="668">
        <f t="shared" si="12"/>
        <v>100</v>
      </c>
      <c r="T35" s="667" t="s">
        <v>18</v>
      </c>
      <c r="U35" s="668">
        <f t="shared" si="13"/>
        <v>100</v>
      </c>
      <c r="V35" s="667" t="s">
        <v>18</v>
      </c>
      <c r="W35" s="668">
        <f t="shared" si="14"/>
        <v>100</v>
      </c>
      <c r="X35" s="1265"/>
      <c r="Y35" s="3399"/>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97"/>
      <c r="Q36" s="1263" t="str">
        <f t="shared" si="11"/>
        <v>公共部分装修</v>
      </c>
      <c r="R36" s="667" t="s">
        <v>18</v>
      </c>
      <c r="S36" s="668">
        <f t="shared" si="12"/>
        <v>100</v>
      </c>
      <c r="T36" s="667" t="s">
        <v>18</v>
      </c>
      <c r="U36" s="668">
        <f t="shared" si="13"/>
        <v>100</v>
      </c>
      <c r="V36" s="667" t="s">
        <v>18</v>
      </c>
      <c r="W36" s="668">
        <f t="shared" si="14"/>
        <v>100</v>
      </c>
      <c r="X36" s="1265"/>
      <c r="Y36" s="3399"/>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97"/>
      <c r="Q37" s="530" t="str">
        <f t="shared" si="11"/>
        <v>成新度</v>
      </c>
      <c r="R37" s="664" t="s">
        <v>18</v>
      </c>
      <c r="S37" s="665" t="e">
        <f t="shared" si="12"/>
        <v>#N/A</v>
      </c>
      <c r="T37" s="664" t="s">
        <v>18</v>
      </c>
      <c r="U37" s="665" t="e">
        <f t="shared" si="13"/>
        <v>#N/A</v>
      </c>
      <c r="V37" s="664" t="s">
        <v>18</v>
      </c>
      <c r="W37" s="665" t="e">
        <f t="shared" si="14"/>
        <v>#N/A</v>
      </c>
      <c r="X37" s="666"/>
      <c r="Y37" s="3399"/>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97" t="s">
        <v>1694</v>
      </c>
      <c r="Q38" s="1263" t="str">
        <f t="shared" si="11"/>
        <v>物业管理</v>
      </c>
      <c r="R38" s="667" t="s">
        <v>18</v>
      </c>
      <c r="S38" s="668">
        <f t="shared" si="12"/>
        <v>100</v>
      </c>
      <c r="T38" s="667" t="s">
        <v>18</v>
      </c>
      <c r="U38" s="668">
        <f t="shared" si="13"/>
        <v>100</v>
      </c>
      <c r="V38" s="667" t="s">
        <v>18</v>
      </c>
      <c r="W38" s="668">
        <f t="shared" si="14"/>
        <v>100</v>
      </c>
      <c r="X38" s="1265"/>
      <c r="Y38" s="3399"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97"/>
      <c r="Q39" s="1263" t="str">
        <f t="shared" si="11"/>
        <v>市政基础设施</v>
      </c>
      <c r="R39" s="667" t="s">
        <v>18</v>
      </c>
      <c r="S39" s="668">
        <f t="shared" si="12"/>
        <v>100</v>
      </c>
      <c r="T39" s="667" t="s">
        <v>18</v>
      </c>
      <c r="U39" s="668">
        <f t="shared" si="13"/>
        <v>100</v>
      </c>
      <c r="V39" s="667" t="s">
        <v>18</v>
      </c>
      <c r="W39" s="668">
        <f t="shared" si="14"/>
        <v>100</v>
      </c>
      <c r="X39" s="1265"/>
      <c r="Y39" s="3399"/>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97"/>
      <c r="Q40" s="1263" t="str">
        <f t="shared" si="11"/>
        <v>房型</v>
      </c>
      <c r="R40" s="667" t="s">
        <v>18</v>
      </c>
      <c r="S40" s="668">
        <f t="shared" si="12"/>
        <v>100</v>
      </c>
      <c r="T40" s="667" t="s">
        <v>18</v>
      </c>
      <c r="U40" s="668">
        <f t="shared" si="13"/>
        <v>100</v>
      </c>
      <c r="V40" s="667" t="s">
        <v>18</v>
      </c>
      <c r="W40" s="668">
        <f t="shared" si="14"/>
        <v>100</v>
      </c>
      <c r="X40" s="1265"/>
      <c r="Y40" s="3399"/>
      <c r="Z40" s="1264" t="str">
        <f t="shared" si="18"/>
        <v>房型</v>
      </c>
      <c r="AA40" s="1264">
        <f t="shared" si="15"/>
        <v>1</v>
      </c>
      <c r="AB40" s="1264">
        <f t="shared" si="16"/>
        <v>1</v>
      </c>
      <c r="AC40" s="1264">
        <f t="shared" si="17"/>
        <v>1</v>
      </c>
    </row>
    <row r="41" spans="1:29" s="408" customFormat="1" ht="28.8">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97"/>
      <c r="Q41" s="531" t="str">
        <f t="shared" si="11"/>
        <v>单套/主力户型建筑面积</v>
      </c>
      <c r="R41" s="669" t="s">
        <v>18</v>
      </c>
      <c r="S41" s="670">
        <f t="shared" si="12"/>
        <v>100</v>
      </c>
      <c r="T41" s="669" t="s">
        <v>18</v>
      </c>
      <c r="U41" s="670">
        <f t="shared" si="13"/>
        <v>100</v>
      </c>
      <c r="V41" s="669" t="s">
        <v>18</v>
      </c>
      <c r="W41" s="670">
        <f t="shared" si="14"/>
        <v>100</v>
      </c>
      <c r="X41" s="671"/>
      <c r="Y41" s="3399"/>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97"/>
      <c r="Q42" s="1263" t="str">
        <f t="shared" si="11"/>
        <v>内部装修</v>
      </c>
      <c r="R42" s="667" t="s">
        <v>18</v>
      </c>
      <c r="S42" s="668">
        <f t="shared" si="12"/>
        <v>100</v>
      </c>
      <c r="T42" s="667" t="s">
        <v>18</v>
      </c>
      <c r="U42" s="668">
        <f t="shared" si="13"/>
        <v>100</v>
      </c>
      <c r="V42" s="667" t="s">
        <v>18</v>
      </c>
      <c r="W42" s="668">
        <f t="shared" si="14"/>
        <v>100</v>
      </c>
      <c r="X42" s="1265"/>
      <c r="Y42" s="3399"/>
      <c r="Z42" s="1264" t="str">
        <f t="shared" si="18"/>
        <v>内部装修</v>
      </c>
      <c r="AA42" s="1264">
        <f t="shared" si="15"/>
        <v>1</v>
      </c>
      <c r="AB42" s="1264">
        <f t="shared" si="16"/>
        <v>1</v>
      </c>
      <c r="AC42" s="1264">
        <f t="shared" si="17"/>
        <v>1</v>
      </c>
    </row>
    <row r="43" spans="1:29" ht="28.8">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97"/>
      <c r="Q43" s="1263" t="str">
        <f t="shared" si="11"/>
        <v>内部装修维护情况</v>
      </c>
      <c r="R43" s="667" t="s">
        <v>18</v>
      </c>
      <c r="S43" s="668">
        <f t="shared" si="12"/>
        <v>100</v>
      </c>
      <c r="T43" s="667" t="s">
        <v>18</v>
      </c>
      <c r="U43" s="668">
        <f t="shared" si="13"/>
        <v>100</v>
      </c>
      <c r="V43" s="667" t="s">
        <v>18</v>
      </c>
      <c r="W43" s="668">
        <f t="shared" si="14"/>
        <v>100</v>
      </c>
      <c r="X43" s="1265"/>
      <c r="Y43" s="339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97"/>
      <c r="Q44" s="530">
        <f t="shared" si="11"/>
        <v>111</v>
      </c>
      <c r="R44" s="664" t="s">
        <v>18</v>
      </c>
      <c r="S44" s="665">
        <f t="shared" si="12"/>
        <v>100</v>
      </c>
      <c r="T44" s="664" t="s">
        <v>18</v>
      </c>
      <c r="U44" s="665">
        <f t="shared" si="13"/>
        <v>100</v>
      </c>
      <c r="V44" s="664" t="s">
        <v>18</v>
      </c>
      <c r="W44" s="665">
        <f t="shared" si="14"/>
        <v>100</v>
      </c>
      <c r="X44" s="666"/>
      <c r="Y44" s="339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97"/>
      <c r="Q45" s="1263">
        <f t="shared" si="11"/>
        <v>111</v>
      </c>
      <c r="R45" s="667" t="s">
        <v>18</v>
      </c>
      <c r="S45" s="668">
        <f t="shared" si="12"/>
        <v>100</v>
      </c>
      <c r="T45" s="667" t="s">
        <v>18</v>
      </c>
      <c r="U45" s="668">
        <f t="shared" si="13"/>
        <v>100</v>
      </c>
      <c r="V45" s="667" t="s">
        <v>18</v>
      </c>
      <c r="W45" s="668">
        <f t="shared" si="14"/>
        <v>100</v>
      </c>
      <c r="X45" s="1265"/>
      <c r="Y45" s="339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8"/>
      <c r="Q46" s="1263">
        <f t="shared" si="11"/>
        <v>111</v>
      </c>
      <c r="R46" s="667" t="s">
        <v>17</v>
      </c>
      <c r="S46" s="668">
        <f t="shared" si="12"/>
        <v>100</v>
      </c>
      <c r="T46" s="667" t="s">
        <v>17</v>
      </c>
      <c r="U46" s="668">
        <f t="shared" si="13"/>
        <v>100</v>
      </c>
      <c r="V46" s="667" t="s">
        <v>17</v>
      </c>
      <c r="W46" s="668">
        <f t="shared" si="14"/>
        <v>100</v>
      </c>
      <c r="X46" s="1265"/>
      <c r="Y46" s="3400"/>
      <c r="Z46" s="1264">
        <f t="shared" si="18"/>
        <v>111</v>
      </c>
      <c r="AA46" s="1264">
        <f t="shared" si="15"/>
        <v>1</v>
      </c>
      <c r="AB46" s="1264">
        <f t="shared" si="16"/>
        <v>1</v>
      </c>
      <c r="AC46" s="1264">
        <f t="shared" si="17"/>
        <v>1</v>
      </c>
    </row>
    <row r="47" spans="1:29" ht="14.4">
      <c r="A47" s="416" t="s">
        <v>1706</v>
      </c>
      <c r="B47" s="417"/>
      <c r="C47" s="1081" t="s">
        <v>16</v>
      </c>
      <c r="D47" s="418"/>
      <c r="E47" s="419"/>
      <c r="F47" s="420"/>
      <c r="G47" s="421"/>
      <c r="H47" s="422"/>
      <c r="I47" s="419"/>
      <c r="J47" s="422"/>
      <c r="K47" s="1767"/>
      <c r="L47" s="2493"/>
      <c r="M47" s="2486"/>
      <c r="N47" s="2486"/>
      <c r="O47" s="2486"/>
      <c r="P47" s="3401" t="str">
        <f>A47</f>
        <v>成交单价（元/平方米）</v>
      </c>
      <c r="Q47" s="3401"/>
      <c r="R47" s="3362">
        <f>E47</f>
        <v>0</v>
      </c>
      <c r="S47" s="3362"/>
      <c r="T47" s="3362">
        <f>G47</f>
        <v>0</v>
      </c>
      <c r="U47" s="3362"/>
      <c r="V47" s="3362">
        <f>I47</f>
        <v>0</v>
      </c>
      <c r="W47" s="3362"/>
      <c r="X47" s="385"/>
      <c r="Y47" s="673"/>
      <c r="Z47" s="385"/>
      <c r="AA47" s="385"/>
      <c r="AB47" s="385"/>
      <c r="AC47" s="385"/>
    </row>
    <row r="48" spans="1:29" ht="15" thickBot="1">
      <c r="A48" s="423" t="s">
        <v>1707</v>
      </c>
      <c r="B48" s="424"/>
      <c r="C48" s="1082" t="e">
        <f>R49</f>
        <v>#DIV/0!</v>
      </c>
      <c r="D48" s="2141" t="s">
        <v>2136</v>
      </c>
      <c r="E48" s="1083" t="e">
        <f>R48</f>
        <v>#DIV/0!</v>
      </c>
      <c r="F48" s="2142"/>
      <c r="G48" s="1082" t="e">
        <f>T48</f>
        <v>#DIV/0!</v>
      </c>
      <c r="H48" s="2142"/>
      <c r="I48" s="1083" t="e">
        <f>V48</f>
        <v>#DIV/0!</v>
      </c>
      <c r="J48" s="2142"/>
      <c r="K48" s="2143">
        <f>F48+H48+J48</f>
        <v>0</v>
      </c>
      <c r="L48" s="2493"/>
      <c r="M48" s="2486"/>
      <c r="N48" s="2486"/>
      <c r="O48" s="2486"/>
      <c r="P48" s="3401" t="str">
        <f>A48</f>
        <v>比较价值（元/平方米）</v>
      </c>
      <c r="Q48" s="340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 thickBot="1">
      <c r="A49" s="427" t="s">
        <v>1708</v>
      </c>
      <c r="B49" s="428"/>
      <c r="C49" s="1084" t="e">
        <f>R49</f>
        <v>#DIV/0!</v>
      </c>
      <c r="D49" s="351"/>
      <c r="E49" s="351"/>
      <c r="F49" s="351"/>
      <c r="G49" s="351"/>
      <c r="H49" s="351"/>
      <c r="I49" s="351"/>
      <c r="J49" s="351"/>
      <c r="K49" s="1768"/>
      <c r="L49" s="2493"/>
      <c r="M49" s="2486"/>
      <c r="N49" s="2486"/>
      <c r="O49" s="2486"/>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1712</v>
      </c>
      <c r="B57" s="385"/>
      <c r="C57" s="659"/>
      <c r="D57" s="659"/>
      <c r="E57" s="659"/>
      <c r="F57" s="660"/>
      <c r="G57" s="660"/>
      <c r="H57" s="659"/>
      <c r="I57" s="659"/>
      <c r="J57" s="659"/>
      <c r="K57" s="887"/>
      <c r="L57" s="888"/>
      <c r="M57" s="886"/>
      <c r="N57" s="886"/>
      <c r="O57" s="886"/>
      <c r="P57" s="1771"/>
      <c r="Q57" s="439"/>
    </row>
    <row r="58" spans="1:29" s="442" customFormat="1" ht="14.4">
      <c r="A58" s="440" t="s">
        <v>1713</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1714</v>
      </c>
      <c r="B60" s="450"/>
      <c r="C60" s="451"/>
      <c r="D60" s="452"/>
      <c r="E60" s="452"/>
      <c r="F60" s="452"/>
      <c r="G60" s="452"/>
      <c r="H60" s="452"/>
      <c r="I60" s="452"/>
      <c r="J60" s="452"/>
      <c r="K60" s="452"/>
      <c r="L60" s="452"/>
      <c r="M60" s="453"/>
      <c r="N60" s="452"/>
      <c r="O60" s="453"/>
      <c r="P60" s="1773"/>
      <c r="Q60" s="439"/>
    </row>
    <row r="61" spans="1:29" s="102" customFormat="1" ht="14.4">
      <c r="A61" s="455" t="s">
        <v>1715</v>
      </c>
      <c r="B61" s="444"/>
      <c r="C61" s="456" t="s">
        <v>1716</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1717</v>
      </c>
      <c r="B63" s="460" t="s">
        <v>1683</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1686</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1732</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1733</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1692</v>
      </c>
      <c r="B100" s="460" t="s">
        <v>1734</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6.2"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ht="14.4">
      <c r="B147" s="1781" t="s">
        <v>1762</v>
      </c>
    </row>
    <row r="148" spans="2:11" ht="14.4">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73" priority="14" stopIfTrue="1">
      <formula>$F$52="超过30%"</formula>
    </cfRule>
  </conditionalFormatting>
  <conditionalFormatting sqref="E53">
    <cfRule type="expression" dxfId="172" priority="11" stopIfTrue="1">
      <formula>$F$53="超过20%"</formula>
    </cfRule>
  </conditionalFormatting>
  <conditionalFormatting sqref="E54">
    <cfRule type="expression" dxfId="171" priority="10" stopIfTrue="1">
      <formula>$F$54="超过30%"</formula>
    </cfRule>
  </conditionalFormatting>
  <conditionalFormatting sqref="F7:F46 H7:H46 J7:J46">
    <cfRule type="cellIs" dxfId="170" priority="1" operator="notEqual">
      <formula>100</formula>
    </cfRule>
  </conditionalFormatting>
  <conditionalFormatting sqref="F48">
    <cfRule type="expression" dxfId="169" priority="4">
      <formula>$D$48="简单平均"</formula>
    </cfRule>
  </conditionalFormatting>
  <conditionalFormatting sqref="F52:F54 H52:H54 J52:J54">
    <cfRule type="containsText" dxfId="168" priority="15" stopIfTrue="1" operator="containsText" text="超过">
      <formula>NOT(ISERROR(SEARCH("超过",F52)))</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G54">
    <cfRule type="expression" dxfId="165" priority="12" stopIfTrue="1">
      <formula>$H$54="超过30%"</formula>
    </cfRule>
  </conditionalFormatting>
  <conditionalFormatting sqref="H48">
    <cfRule type="expression" dxfId="164" priority="3">
      <formula>$D$48="简单平均"</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J48">
    <cfRule type="expression" dxfId="160"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1658</v>
      </c>
      <c r="B1" s="1808" t="s">
        <v>1808</v>
      </c>
      <c r="C1" s="1141" t="s">
        <v>1660</v>
      </c>
      <c r="D1" s="1142"/>
      <c r="E1" s="3130"/>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479.51</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1767</v>
      </c>
      <c r="B4" s="346"/>
      <c r="C4" s="3378" t="s">
        <v>1768</v>
      </c>
      <c r="D4" s="3379"/>
      <c r="E4" s="3380" t="s">
        <v>1769</v>
      </c>
      <c r="F4" s="3381"/>
      <c r="G4" s="3378" t="s">
        <v>1770</v>
      </c>
      <c r="H4" s="3379"/>
      <c r="I4" s="3378" t="s">
        <v>1771</v>
      </c>
      <c r="J4" s="3379"/>
      <c r="K4" s="537" t="s">
        <v>1772</v>
      </c>
      <c r="L4" s="2485"/>
      <c r="M4" s="2486"/>
      <c r="N4" s="2486"/>
      <c r="O4" s="2486"/>
      <c r="P4" s="3433" t="s">
        <v>1773</v>
      </c>
      <c r="Q4" s="3434"/>
      <c r="R4" s="3428" t="s">
        <v>1769</v>
      </c>
      <c r="S4" s="3429"/>
      <c r="T4" s="3428" t="s">
        <v>1770</v>
      </c>
      <c r="U4" s="3429"/>
      <c r="V4" s="3437" t="s">
        <v>1771</v>
      </c>
      <c r="W4" s="3437"/>
      <c r="X4" s="1809"/>
      <c r="Y4" s="3428" t="s">
        <v>1773</v>
      </c>
      <c r="Z4" s="3429"/>
      <c r="AA4" s="3427" t="s">
        <v>1769</v>
      </c>
      <c r="AB4" s="3427" t="s">
        <v>1770</v>
      </c>
      <c r="AC4" s="3430" t="s">
        <v>1771</v>
      </c>
    </row>
    <row r="5" spans="1:29">
      <c r="A5" s="348"/>
      <c r="B5" s="349"/>
      <c r="C5" s="3371" t="s">
        <v>1671</v>
      </c>
      <c r="D5" s="3372"/>
      <c r="E5" s="3426" t="s">
        <v>1672</v>
      </c>
      <c r="F5" s="3370"/>
      <c r="G5" s="3371" t="s">
        <v>1673</v>
      </c>
      <c r="H5" s="3372"/>
      <c r="I5" s="3371" t="s">
        <v>1674</v>
      </c>
      <c r="J5" s="3372"/>
      <c r="K5" s="537"/>
      <c r="L5" s="2485"/>
      <c r="M5" s="2486"/>
      <c r="N5" s="2486"/>
      <c r="O5" s="2486"/>
      <c r="P5" s="3435"/>
      <c r="Q5" s="3385"/>
      <c r="R5" s="3367"/>
      <c r="S5" s="3368"/>
      <c r="T5" s="3367"/>
      <c r="U5" s="3368"/>
      <c r="V5" s="3362"/>
      <c r="W5" s="3362"/>
      <c r="X5" s="1265"/>
      <c r="Y5" s="3367"/>
      <c r="Z5" s="3368"/>
      <c r="AA5" s="3360"/>
      <c r="AB5" s="3360"/>
      <c r="AC5" s="3431"/>
    </row>
    <row r="6" spans="1:29" ht="15" thickBot="1">
      <c r="A6" s="350"/>
      <c r="B6" s="351"/>
      <c r="C6" s="3373" t="s">
        <v>1675</v>
      </c>
      <c r="D6" s="3374"/>
      <c r="E6" s="3375" t="s">
        <v>1675</v>
      </c>
      <c r="F6" s="3376"/>
      <c r="G6" s="3373" t="s">
        <v>1675</v>
      </c>
      <c r="H6" s="3374"/>
      <c r="I6" s="3373" t="s">
        <v>1675</v>
      </c>
      <c r="J6" s="3374"/>
      <c r="K6" s="537" t="s">
        <v>1676</v>
      </c>
      <c r="L6" s="2485"/>
      <c r="M6" s="2486"/>
      <c r="N6" s="2486"/>
      <c r="O6" s="2486"/>
      <c r="P6" s="3436"/>
      <c r="Q6" s="3387"/>
      <c r="R6" s="3367"/>
      <c r="S6" s="3368"/>
      <c r="T6" s="3388"/>
      <c r="U6" s="3389"/>
      <c r="V6" s="3362"/>
      <c r="W6" s="3362"/>
      <c r="X6" s="1265"/>
      <c r="Y6" s="3388"/>
      <c r="Z6" s="3389"/>
      <c r="AA6" s="3361"/>
      <c r="AB6" s="3361"/>
      <c r="AC6" s="3432"/>
    </row>
    <row r="7" spans="1:29" s="102" customFormat="1" ht="15" thickBot="1">
      <c r="A7" s="352" t="s">
        <v>1677</v>
      </c>
      <c r="B7" s="353"/>
      <c r="C7" s="354">
        <f>'数据-取费表'!B2</f>
        <v>45635</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8" t="s">
        <v>1678</v>
      </c>
      <c r="Q7" s="3391"/>
      <c r="R7" s="664" t="s">
        <v>14</v>
      </c>
      <c r="S7" s="665">
        <f t="shared" ref="S7:S15" si="0">F7</f>
        <v>0</v>
      </c>
      <c r="T7" s="664" t="s">
        <v>14</v>
      </c>
      <c r="U7" s="665">
        <f t="shared" ref="U7:U15" si="1">H7</f>
        <v>0</v>
      </c>
      <c r="V7" s="664" t="s">
        <v>14</v>
      </c>
      <c r="W7" s="665">
        <f t="shared" ref="W7:W15" si="2">J7</f>
        <v>0</v>
      </c>
      <c r="X7" s="666"/>
      <c r="Y7" s="3363" t="s">
        <v>1678</v>
      </c>
      <c r="Z7" s="3364"/>
      <c r="AA7" s="50" t="e">
        <f>D7/F7</f>
        <v>#DIV/0!</v>
      </c>
      <c r="AB7" s="50" t="e">
        <f>D7/H7</f>
        <v>#DIV/0!</v>
      </c>
      <c r="AC7" s="802" t="e">
        <f>D7/J7</f>
        <v>#DIV/0!</v>
      </c>
    </row>
    <row r="8" spans="1:29" s="102" customFormat="1" ht="1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8" t="s">
        <v>1681</v>
      </c>
      <c r="Q8" s="3364"/>
      <c r="R8" s="664" t="s">
        <v>14</v>
      </c>
      <c r="S8" s="665">
        <f t="shared" si="0"/>
        <v>100</v>
      </c>
      <c r="T8" s="664" t="s">
        <v>14</v>
      </c>
      <c r="U8" s="665">
        <f t="shared" si="1"/>
        <v>100</v>
      </c>
      <c r="V8" s="664" t="s">
        <v>14</v>
      </c>
      <c r="W8" s="665">
        <f t="shared" si="2"/>
        <v>100</v>
      </c>
      <c r="X8" s="666"/>
      <c r="Y8" s="3363" t="s">
        <v>1681</v>
      </c>
      <c r="Z8" s="3364"/>
      <c r="AA8" s="50">
        <f t="shared" ref="AA8:AA47" si="3">D8/F8</f>
        <v>1</v>
      </c>
      <c r="AB8" s="50">
        <f t="shared" ref="AB8:AB47" si="4">D8/H8</f>
        <v>1</v>
      </c>
      <c r="AC8" s="802">
        <f t="shared" ref="AC8:AC47" si="5">D8/J8</f>
        <v>1</v>
      </c>
    </row>
    <row r="9" spans="1:29" s="102" customFormat="1" ht="14.4">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77" t="s">
        <v>1684</v>
      </c>
      <c r="Q9" s="530" t="str">
        <f t="shared" ref="Q9:Q15" si="6">B9</f>
        <v>用途</v>
      </c>
      <c r="R9" s="664" t="s">
        <v>14</v>
      </c>
      <c r="S9" s="665">
        <f t="shared" si="0"/>
        <v>100</v>
      </c>
      <c r="T9" s="664" t="s">
        <v>14</v>
      </c>
      <c r="U9" s="665">
        <f t="shared" si="1"/>
        <v>100</v>
      </c>
      <c r="V9" s="664" t="s">
        <v>14</v>
      </c>
      <c r="W9" s="665">
        <f t="shared" si="2"/>
        <v>100</v>
      </c>
      <c r="X9" s="666"/>
      <c r="Y9" s="3327" t="s">
        <v>1685</v>
      </c>
      <c r="Z9" s="50" t="str">
        <f t="shared" ref="Z9:Z15" si="7">Q9</f>
        <v>用途</v>
      </c>
      <c r="AA9" s="50">
        <f t="shared" si="3"/>
        <v>1</v>
      </c>
      <c r="AB9" s="50">
        <f t="shared" si="4"/>
        <v>1</v>
      </c>
      <c r="AC9" s="802">
        <f t="shared" si="5"/>
        <v>1</v>
      </c>
    </row>
    <row r="10" spans="1:29" s="366" customFormat="1" ht="28.8">
      <c r="A10" s="363"/>
      <c r="B10" s="364" t="s">
        <v>1686</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7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7"/>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7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7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7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802">
        <f t="shared" si="5"/>
        <v>1</v>
      </c>
    </row>
    <row r="15" spans="1:29" ht="69">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2" t="s">
        <v>1689</v>
      </c>
      <c r="Q15" s="1263" t="str">
        <f t="shared" si="6"/>
        <v>办公集聚程度</v>
      </c>
      <c r="R15" s="667" t="s">
        <v>14</v>
      </c>
      <c r="S15" s="668">
        <f t="shared" si="0"/>
        <v>100</v>
      </c>
      <c r="T15" s="667" t="s">
        <v>14</v>
      </c>
      <c r="U15" s="668">
        <f t="shared" si="1"/>
        <v>100</v>
      </c>
      <c r="V15" s="667" t="s">
        <v>14</v>
      </c>
      <c r="W15" s="668">
        <f t="shared" si="2"/>
        <v>100</v>
      </c>
      <c r="X15" s="1265"/>
      <c r="Y15" s="3394"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93"/>
      <c r="Q16" s="1263"/>
      <c r="R16" s="667"/>
      <c r="S16" s="668"/>
      <c r="T16" s="667"/>
      <c r="U16" s="668"/>
      <c r="V16" s="667"/>
      <c r="W16" s="668"/>
      <c r="X16" s="1265"/>
      <c r="Y16" s="3395"/>
      <c r="Z16" s="1264"/>
      <c r="AA16" s="1264">
        <v>1</v>
      </c>
      <c r="AB16" s="1264">
        <v>1</v>
      </c>
      <c r="AC16" s="1812">
        <v>1</v>
      </c>
    </row>
    <row r="17" spans="1:29" ht="82.8">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3"/>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93"/>
      <c r="Q18" s="1263"/>
      <c r="R18" s="667"/>
      <c r="S18" s="668"/>
      <c r="T18" s="667"/>
      <c r="U18" s="668"/>
      <c r="V18" s="667"/>
      <c r="W18" s="668"/>
      <c r="X18" s="1265"/>
      <c r="Y18" s="3395"/>
      <c r="Z18" s="1264"/>
      <c r="AA18" s="1264">
        <v>1</v>
      </c>
      <c r="AB18" s="1264">
        <v>1</v>
      </c>
      <c r="AC18" s="1812">
        <v>1</v>
      </c>
    </row>
    <row r="19" spans="1:29" ht="41.4">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3"/>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93"/>
      <c r="Q20" s="1263"/>
      <c r="R20" s="667"/>
      <c r="S20" s="668"/>
      <c r="T20" s="667"/>
      <c r="U20" s="668"/>
      <c r="V20" s="667"/>
      <c r="W20" s="668"/>
      <c r="X20" s="1265"/>
      <c r="Y20" s="3395"/>
      <c r="Z20" s="1264"/>
      <c r="AA20" s="1264">
        <v>1</v>
      </c>
      <c r="AB20" s="1264">
        <v>1</v>
      </c>
      <c r="AC20" s="1812">
        <v>1</v>
      </c>
    </row>
    <row r="21" spans="1:29" ht="27.6">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93"/>
      <c r="Q22" s="1263"/>
      <c r="R22" s="667"/>
      <c r="S22" s="668"/>
      <c r="T22" s="667"/>
      <c r="U22" s="668"/>
      <c r="V22" s="667"/>
      <c r="W22" s="668"/>
      <c r="X22" s="1265"/>
      <c r="Y22" s="3395"/>
      <c r="Z22" s="1264"/>
      <c r="AA22" s="1264">
        <v>1</v>
      </c>
      <c r="AB22" s="1264">
        <v>1</v>
      </c>
      <c r="AC22" s="1812">
        <v>1</v>
      </c>
    </row>
    <row r="23" spans="1:29" ht="55.2">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3"/>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93"/>
      <c r="Q24" s="1263"/>
      <c r="R24" s="667"/>
      <c r="S24" s="668"/>
      <c r="T24" s="667"/>
      <c r="U24" s="668"/>
      <c r="V24" s="667"/>
      <c r="W24" s="668"/>
      <c r="X24" s="1265"/>
      <c r="Y24" s="3395"/>
      <c r="Z24" s="1264"/>
      <c r="AA24" s="1264">
        <v>1</v>
      </c>
      <c r="AB24" s="1264">
        <v>1</v>
      </c>
      <c r="AC24" s="1812">
        <v>1</v>
      </c>
    </row>
    <row r="25" spans="1:29" ht="28.8">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3"/>
      <c r="Q25" s="1263" t="str">
        <f>B25</f>
        <v>毗邻道路的类型与等级</v>
      </c>
      <c r="R25" s="667" t="s">
        <v>14</v>
      </c>
      <c r="S25" s="668">
        <f>F25</f>
        <v>100</v>
      </c>
      <c r="T25" s="667" t="s">
        <v>14</v>
      </c>
      <c r="U25" s="668">
        <f>H25</f>
        <v>100</v>
      </c>
      <c r="V25" s="667" t="s">
        <v>14</v>
      </c>
      <c r="W25" s="668">
        <f>J25</f>
        <v>100</v>
      </c>
      <c r="X25" s="1265"/>
      <c r="Y25" s="339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93"/>
      <c r="Q26" s="1263"/>
      <c r="R26" s="667"/>
      <c r="S26" s="668"/>
      <c r="T26" s="667"/>
      <c r="U26" s="668"/>
      <c r="V26" s="667"/>
      <c r="W26" s="668"/>
      <c r="X26" s="1265"/>
      <c r="Y26" s="3395"/>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3"/>
      <c r="Q27" s="1263" t="str">
        <f t="shared" ref="Q27:Q47" si="11">B27</f>
        <v>楼层</v>
      </c>
      <c r="R27" s="667" t="s">
        <v>14</v>
      </c>
      <c r="S27" s="668">
        <f>F27</f>
        <v>100</v>
      </c>
      <c r="T27" s="667" t="s">
        <v>14</v>
      </c>
      <c r="U27" s="668">
        <f>H27</f>
        <v>100</v>
      </c>
      <c r="V27" s="667" t="s">
        <v>14</v>
      </c>
      <c r="W27" s="668">
        <f>J27</f>
        <v>100</v>
      </c>
      <c r="X27" s="1265"/>
      <c r="Y27" s="3395"/>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3"/>
      <c r="Q28" s="530" t="str">
        <f t="shared" si="11"/>
        <v>朝向</v>
      </c>
      <c r="R28" s="664" t="s">
        <v>14</v>
      </c>
      <c r="S28" s="665">
        <f>F28</f>
        <v>100</v>
      </c>
      <c r="T28" s="664" t="s">
        <v>14</v>
      </c>
      <c r="U28" s="665">
        <f>H28</f>
        <v>100</v>
      </c>
      <c r="V28" s="664" t="s">
        <v>14</v>
      </c>
      <c r="W28" s="665">
        <f>J28</f>
        <v>100</v>
      </c>
      <c r="X28" s="666"/>
      <c r="Y28" s="339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3"/>
      <c r="Q29" s="1263">
        <f t="shared" si="11"/>
        <v>111</v>
      </c>
      <c r="R29" s="667" t="s">
        <v>14</v>
      </c>
      <c r="S29" s="668">
        <f t="shared" ref="S29:S47" si="12">F29</f>
        <v>100</v>
      </c>
      <c r="T29" s="667" t="s">
        <v>14</v>
      </c>
      <c r="U29" s="668">
        <f t="shared" ref="U29:U47" si="13">H29</f>
        <v>100</v>
      </c>
      <c r="V29" s="667" t="s">
        <v>14</v>
      </c>
      <c r="W29" s="668">
        <f t="shared" ref="W29:W47" si="14">J29</f>
        <v>100</v>
      </c>
      <c r="X29" s="1265"/>
      <c r="Y29" s="339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3"/>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3"/>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3"/>
      <c r="Q32" s="1263">
        <f t="shared" si="11"/>
        <v>111</v>
      </c>
      <c r="R32" s="667" t="s">
        <v>14</v>
      </c>
      <c r="S32" s="668">
        <f t="shared" si="12"/>
        <v>100</v>
      </c>
      <c r="T32" s="667" t="s">
        <v>14</v>
      </c>
      <c r="U32" s="668">
        <f t="shared" si="13"/>
        <v>100</v>
      </c>
      <c r="V32" s="667" t="s">
        <v>14</v>
      </c>
      <c r="W32" s="668">
        <f t="shared" si="14"/>
        <v>100</v>
      </c>
      <c r="X32" s="1265"/>
      <c r="Y32" s="3395"/>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96" t="s">
        <v>1694</v>
      </c>
      <c r="Q33" s="1263" t="str">
        <f t="shared" si="11"/>
        <v>建筑类型</v>
      </c>
      <c r="R33" s="667" t="s">
        <v>14</v>
      </c>
      <c r="S33" s="668">
        <f t="shared" si="12"/>
        <v>100</v>
      </c>
      <c r="T33" s="667" t="s">
        <v>14</v>
      </c>
      <c r="U33" s="668">
        <f t="shared" si="13"/>
        <v>100</v>
      </c>
      <c r="V33" s="667" t="s">
        <v>14</v>
      </c>
      <c r="W33" s="668">
        <f t="shared" si="14"/>
        <v>100</v>
      </c>
      <c r="X33" s="1265"/>
      <c r="Y33" s="3399"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97"/>
      <c r="Q34" s="531" t="str">
        <f t="shared" si="11"/>
        <v>项目建筑规模</v>
      </c>
      <c r="R34" s="669" t="s">
        <v>14</v>
      </c>
      <c r="S34" s="670" t="e">
        <f t="shared" si="12"/>
        <v>#N/A</v>
      </c>
      <c r="T34" s="669" t="s">
        <v>14</v>
      </c>
      <c r="U34" s="670" t="e">
        <f t="shared" si="13"/>
        <v>#N/A</v>
      </c>
      <c r="V34" s="669" t="s">
        <v>14</v>
      </c>
      <c r="W34" s="670" t="e">
        <f t="shared" si="14"/>
        <v>#N/A</v>
      </c>
      <c r="X34" s="671"/>
      <c r="Y34" s="3399"/>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97"/>
      <c r="Q35" s="1263" t="str">
        <f t="shared" si="11"/>
        <v>建筑结构</v>
      </c>
      <c r="R35" s="667" t="s">
        <v>14</v>
      </c>
      <c r="S35" s="668">
        <f t="shared" si="12"/>
        <v>100</v>
      </c>
      <c r="T35" s="667" t="s">
        <v>14</v>
      </c>
      <c r="U35" s="668">
        <f t="shared" si="13"/>
        <v>100</v>
      </c>
      <c r="V35" s="667" t="s">
        <v>14</v>
      </c>
      <c r="W35" s="668">
        <f t="shared" si="14"/>
        <v>100</v>
      </c>
      <c r="X35" s="1265"/>
      <c r="Y35" s="3399"/>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97"/>
      <c r="Q36" s="1263" t="str">
        <f t="shared" si="11"/>
        <v>公共部分装修</v>
      </c>
      <c r="R36" s="667" t="s">
        <v>14</v>
      </c>
      <c r="S36" s="668">
        <f t="shared" si="12"/>
        <v>100</v>
      </c>
      <c r="T36" s="667" t="s">
        <v>14</v>
      </c>
      <c r="U36" s="668">
        <f t="shared" si="13"/>
        <v>100</v>
      </c>
      <c r="V36" s="667" t="s">
        <v>14</v>
      </c>
      <c r="W36" s="668">
        <f t="shared" si="14"/>
        <v>100</v>
      </c>
      <c r="X36" s="1265"/>
      <c r="Y36" s="3399"/>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97"/>
      <c r="Q37" s="1263" t="str">
        <f t="shared" si="11"/>
        <v>成新度</v>
      </c>
      <c r="R37" s="667" t="s">
        <v>14</v>
      </c>
      <c r="S37" s="668" t="e">
        <f t="shared" si="12"/>
        <v>#N/A</v>
      </c>
      <c r="T37" s="667" t="s">
        <v>14</v>
      </c>
      <c r="U37" s="668" t="e">
        <f t="shared" si="13"/>
        <v>#N/A</v>
      </c>
      <c r="V37" s="667" t="s">
        <v>14</v>
      </c>
      <c r="W37" s="668" t="e">
        <f t="shared" si="14"/>
        <v>#N/A</v>
      </c>
      <c r="X37" s="1265"/>
      <c r="Y37" s="3399"/>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97"/>
      <c r="Q38" s="530" t="str">
        <f t="shared" si="11"/>
        <v>写字楼等级</v>
      </c>
      <c r="R38" s="664" t="s">
        <v>14</v>
      </c>
      <c r="S38" s="665">
        <f t="shared" si="12"/>
        <v>100</v>
      </c>
      <c r="T38" s="664" t="s">
        <v>14</v>
      </c>
      <c r="U38" s="665">
        <f t="shared" si="13"/>
        <v>100</v>
      </c>
      <c r="V38" s="664" t="s">
        <v>14</v>
      </c>
      <c r="W38" s="665">
        <f t="shared" si="14"/>
        <v>100</v>
      </c>
      <c r="X38" s="666"/>
      <c r="Y38" s="3399"/>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97" t="s">
        <v>1694</v>
      </c>
      <c r="Q39" s="1263" t="str">
        <f t="shared" si="11"/>
        <v>物业管理</v>
      </c>
      <c r="R39" s="667" t="s">
        <v>14</v>
      </c>
      <c r="S39" s="668">
        <f t="shared" si="12"/>
        <v>100</v>
      </c>
      <c r="T39" s="667" t="s">
        <v>14</v>
      </c>
      <c r="U39" s="668">
        <f t="shared" si="13"/>
        <v>100</v>
      </c>
      <c r="V39" s="667" t="s">
        <v>14</v>
      </c>
      <c r="W39" s="668">
        <f t="shared" si="14"/>
        <v>100</v>
      </c>
      <c r="X39" s="1265"/>
      <c r="Y39" s="3399"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97"/>
      <c r="Q40" s="1263" t="str">
        <f t="shared" si="11"/>
        <v>市政基础设施</v>
      </c>
      <c r="R40" s="667" t="s">
        <v>14</v>
      </c>
      <c r="S40" s="668">
        <f t="shared" si="12"/>
        <v>100</v>
      </c>
      <c r="T40" s="667" t="s">
        <v>14</v>
      </c>
      <c r="U40" s="668">
        <f t="shared" si="13"/>
        <v>100</v>
      </c>
      <c r="V40" s="667" t="s">
        <v>14</v>
      </c>
      <c r="W40" s="668">
        <f t="shared" si="14"/>
        <v>100</v>
      </c>
      <c r="X40" s="1265"/>
      <c r="Y40" s="3399"/>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97"/>
      <c r="Q41" s="1263" t="str">
        <f t="shared" si="11"/>
        <v>层高</v>
      </c>
      <c r="R41" s="667" t="s">
        <v>14</v>
      </c>
      <c r="S41" s="668">
        <f t="shared" si="12"/>
        <v>100</v>
      </c>
      <c r="T41" s="667" t="s">
        <v>14</v>
      </c>
      <c r="U41" s="668">
        <f t="shared" si="13"/>
        <v>100</v>
      </c>
      <c r="V41" s="667" t="s">
        <v>14</v>
      </c>
      <c r="W41" s="668">
        <f t="shared" si="14"/>
        <v>100</v>
      </c>
      <c r="X41" s="1265"/>
      <c r="Y41" s="3399"/>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7"/>
      <c r="Q42" s="531" t="str">
        <f t="shared" si="11"/>
        <v>单套建筑面积</v>
      </c>
      <c r="R42" s="669" t="s">
        <v>14</v>
      </c>
      <c r="S42" s="670">
        <f t="shared" si="12"/>
        <v>100</v>
      </c>
      <c r="T42" s="669" t="s">
        <v>14</v>
      </c>
      <c r="U42" s="670">
        <f t="shared" si="13"/>
        <v>100</v>
      </c>
      <c r="V42" s="669" t="s">
        <v>14</v>
      </c>
      <c r="W42" s="670">
        <f t="shared" si="14"/>
        <v>100</v>
      </c>
      <c r="X42" s="671"/>
      <c r="Y42" s="3399"/>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97"/>
      <c r="Q43" s="1263" t="str">
        <f t="shared" si="11"/>
        <v>内部装修</v>
      </c>
      <c r="R43" s="667" t="s">
        <v>14</v>
      </c>
      <c r="S43" s="668">
        <f t="shared" si="12"/>
        <v>100</v>
      </c>
      <c r="T43" s="667" t="s">
        <v>14</v>
      </c>
      <c r="U43" s="668">
        <f t="shared" si="13"/>
        <v>100</v>
      </c>
      <c r="V43" s="667" t="s">
        <v>14</v>
      </c>
      <c r="W43" s="668">
        <f t="shared" si="14"/>
        <v>100</v>
      </c>
      <c r="X43" s="1265"/>
      <c r="Y43" s="3399"/>
      <c r="Z43" s="1264" t="str">
        <f t="shared" si="15"/>
        <v>内部装修</v>
      </c>
      <c r="AA43" s="1264">
        <f t="shared" si="3"/>
        <v>1</v>
      </c>
      <c r="AB43" s="1264">
        <f t="shared" si="4"/>
        <v>1</v>
      </c>
      <c r="AC43" s="1812">
        <f t="shared" si="5"/>
        <v>1</v>
      </c>
    </row>
    <row r="44" spans="1:29" ht="28.8">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97"/>
      <c r="Q44" s="1263" t="str">
        <f t="shared" si="11"/>
        <v>内部装修维护情况</v>
      </c>
      <c r="R44" s="667" t="s">
        <v>14</v>
      </c>
      <c r="S44" s="668">
        <f t="shared" si="12"/>
        <v>100</v>
      </c>
      <c r="T44" s="667" t="s">
        <v>14</v>
      </c>
      <c r="U44" s="668">
        <f t="shared" si="13"/>
        <v>100</v>
      </c>
      <c r="V44" s="667" t="s">
        <v>14</v>
      </c>
      <c r="W44" s="668">
        <f t="shared" si="14"/>
        <v>100</v>
      </c>
      <c r="X44" s="1265"/>
      <c r="Y44" s="339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97"/>
      <c r="Q45" s="530">
        <f t="shared" si="11"/>
        <v>111</v>
      </c>
      <c r="R45" s="664" t="s">
        <v>14</v>
      </c>
      <c r="S45" s="665">
        <f t="shared" si="12"/>
        <v>100</v>
      </c>
      <c r="T45" s="664" t="s">
        <v>14</v>
      </c>
      <c r="U45" s="665">
        <f t="shared" si="13"/>
        <v>100</v>
      </c>
      <c r="V45" s="664" t="s">
        <v>14</v>
      </c>
      <c r="W45" s="665">
        <f t="shared" si="14"/>
        <v>100</v>
      </c>
      <c r="X45" s="666"/>
      <c r="Y45" s="339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7"/>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8"/>
      <c r="Q47" s="1263">
        <f t="shared" si="11"/>
        <v>111</v>
      </c>
      <c r="R47" s="667" t="s">
        <v>14</v>
      </c>
      <c r="S47" s="668">
        <f t="shared" si="12"/>
        <v>100</v>
      </c>
      <c r="T47" s="667" t="s">
        <v>14</v>
      </c>
      <c r="U47" s="668">
        <f t="shared" si="13"/>
        <v>100</v>
      </c>
      <c r="V47" s="667" t="s">
        <v>14</v>
      </c>
      <c r="W47" s="668">
        <f t="shared" si="14"/>
        <v>100</v>
      </c>
      <c r="X47" s="1265"/>
      <c r="Y47" s="3400"/>
      <c r="Z47" s="1264">
        <f t="shared" si="15"/>
        <v>111</v>
      </c>
      <c r="AA47" s="1264">
        <f t="shared" si="3"/>
        <v>1</v>
      </c>
      <c r="AB47" s="1264">
        <f t="shared" si="4"/>
        <v>1</v>
      </c>
      <c r="AC47" s="1812">
        <f t="shared" si="5"/>
        <v>1</v>
      </c>
    </row>
    <row r="48" spans="1:29" ht="14.4">
      <c r="A48" s="416" t="s">
        <v>1706</v>
      </c>
      <c r="B48" s="417"/>
      <c r="C48" s="1081" t="s">
        <v>0</v>
      </c>
      <c r="D48" s="418"/>
      <c r="E48" s="419"/>
      <c r="F48" s="420"/>
      <c r="G48" s="421"/>
      <c r="H48" s="422"/>
      <c r="I48" s="419"/>
      <c r="J48" s="422"/>
      <c r="K48" s="674"/>
      <c r="L48" s="2493"/>
      <c r="M48" s="2486"/>
      <c r="N48" s="2486"/>
      <c r="O48" s="2486"/>
      <c r="P48" s="3377" t="str">
        <f>A48</f>
        <v>成交单价（元/平方米）</v>
      </c>
      <c r="Q48" s="3401"/>
      <c r="R48" s="3362">
        <f>E48</f>
        <v>0</v>
      </c>
      <c r="S48" s="3362"/>
      <c r="T48" s="3362">
        <f>G48</f>
        <v>0</v>
      </c>
      <c r="U48" s="3362"/>
      <c r="V48" s="3362">
        <f>I48</f>
        <v>0</v>
      </c>
      <c r="W48" s="3362"/>
      <c r="X48" s="385"/>
      <c r="Y48" s="673"/>
      <c r="Z48" s="385"/>
      <c r="AA48" s="385"/>
      <c r="AB48" s="385"/>
      <c r="AC48" s="555"/>
    </row>
    <row r="49" spans="1:29" ht="15" thickBot="1">
      <c r="A49" s="423" t="s">
        <v>1791</v>
      </c>
      <c r="B49" s="424"/>
      <c r="C49" s="1082" t="e">
        <f>R50</f>
        <v>#DIV/0!</v>
      </c>
      <c r="D49" s="2141" t="s">
        <v>2136</v>
      </c>
      <c r="E49" s="1083" t="e">
        <f>R49</f>
        <v>#DIV/0!</v>
      </c>
      <c r="F49" s="2142"/>
      <c r="G49" s="1082" t="e">
        <f>T49</f>
        <v>#DIV/0!</v>
      </c>
      <c r="H49" s="2142"/>
      <c r="I49" s="1083" t="e">
        <f>V49</f>
        <v>#DIV/0!</v>
      </c>
      <c r="J49" s="2142"/>
      <c r="K49" s="2144">
        <f>F49+H49+J49</f>
        <v>0</v>
      </c>
      <c r="L49" s="2493"/>
      <c r="M49" s="2486"/>
      <c r="N49" s="2486"/>
      <c r="O49" s="2486"/>
      <c r="P49" s="3377" t="str">
        <f>A49</f>
        <v>比较价值（元/平方米）</v>
      </c>
      <c r="Q49" s="3401"/>
      <c r="R49" s="3362" t="e">
        <f>IF(F1="售价",ROUND(PRODUCT(R48,AA7:AA47),0),ROUND(PRODUCT(R48,AA7:AA47),1))</f>
        <v>#DIV/0!</v>
      </c>
      <c r="S49" s="3362"/>
      <c r="T49" s="3362" t="e">
        <f>IF(F1="售价",ROUND(PRODUCT(T48,AB7:AB47),0),ROUND(PRODUCT(T48,AB7:AB47),1))</f>
        <v>#DIV/0!</v>
      </c>
      <c r="U49" s="3362"/>
      <c r="V49" s="3362" t="e">
        <f>IF(F1="售价",ROUND(PRODUCT(V48,AC7:AC47),0),ROUND(PRODUCT(V48,AC7:AC47),1))</f>
        <v>#DIV/0!</v>
      </c>
      <c r="W49" s="3362"/>
      <c r="X49" s="385"/>
      <c r="Y49" s="385"/>
      <c r="Z49" s="385"/>
      <c r="AA49" s="385"/>
      <c r="AB49" s="385"/>
      <c r="AC49" s="555"/>
    </row>
    <row r="50" spans="1:29" ht="15" thickBot="1">
      <c r="A50" s="427" t="s">
        <v>1792</v>
      </c>
      <c r="B50" s="428"/>
      <c r="C50" s="351" t="e">
        <f>R50</f>
        <v>#DIV/0!</v>
      </c>
      <c r="D50" s="351"/>
      <c r="E50" s="351"/>
      <c r="F50" s="351"/>
      <c r="G50" s="351"/>
      <c r="H50" s="351"/>
      <c r="I50" s="351"/>
      <c r="J50" s="429"/>
      <c r="K50" s="675"/>
      <c r="L50" s="2493"/>
      <c r="M50" s="2486"/>
      <c r="N50" s="2486"/>
      <c r="O50" s="2486"/>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1796</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1677</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1714</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1679</v>
      </c>
      <c r="B62" s="444"/>
      <c r="C62" s="456" t="s">
        <v>1774</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1717</v>
      </c>
      <c r="B64" s="460" t="s">
        <v>1683</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1686</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1688</v>
      </c>
      <c r="B77" s="460" t="s">
        <v>1819</v>
      </c>
      <c r="C77" s="504" t="s">
        <v>1719</v>
      </c>
      <c r="D77" s="504" t="s">
        <v>1720</v>
      </c>
      <c r="E77" s="504" t="s">
        <v>1721</v>
      </c>
      <c r="F77" s="504" t="s">
        <v>1722</v>
      </c>
      <c r="G77" s="504" t="s">
        <v>1723</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1724</v>
      </c>
      <c r="C79" s="509" t="s">
        <v>1719</v>
      </c>
      <c r="D79" s="509" t="s">
        <v>1720</v>
      </c>
      <c r="E79" s="509" t="s">
        <v>1721</v>
      </c>
      <c r="F79" s="509" t="s">
        <v>1722</v>
      </c>
      <c r="G79" s="509" t="s">
        <v>1723</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1725</v>
      </c>
      <c r="C81" s="509" t="s">
        <v>1719</v>
      </c>
      <c r="D81" s="509" t="s">
        <v>1720</v>
      </c>
      <c r="E81" s="509" t="s">
        <v>1721</v>
      </c>
      <c r="F81" s="509" t="s">
        <v>1722</v>
      </c>
      <c r="G81" s="509" t="s">
        <v>1723</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1811</v>
      </c>
      <c r="C83" s="581" t="s">
        <v>1797</v>
      </c>
      <c r="D83" s="581" t="s">
        <v>1798</v>
      </c>
      <c r="E83" s="581" t="s">
        <v>1799</v>
      </c>
      <c r="F83" s="581" t="s">
        <v>1800</v>
      </c>
      <c r="G83" s="581" t="s">
        <v>1801</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1820</v>
      </c>
      <c r="C85" s="509" t="s">
        <v>1719</v>
      </c>
      <c r="D85" s="509" t="s">
        <v>1720</v>
      </c>
      <c r="E85" s="509" t="s">
        <v>1721</v>
      </c>
      <c r="F85" s="509" t="s">
        <v>1722</v>
      </c>
      <c r="G85" s="509" t="s">
        <v>1723</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1821</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1692</v>
      </c>
      <c r="B101" s="460" t="s">
        <v>1734</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1736</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1738</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1822</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1739</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1740</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1823</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1806</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1742</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1743</v>
      </c>
      <c r="C125" s="509" t="s">
        <v>1719</v>
      </c>
      <c r="D125" s="509" t="s">
        <v>1720</v>
      </c>
      <c r="E125" s="509" t="s">
        <v>1721</v>
      </c>
      <c r="F125" s="509" t="s">
        <v>1722</v>
      </c>
      <c r="G125" s="509" t="s">
        <v>1723</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F7:F47 H7:H47 J7:J47">
    <cfRule type="cellIs" dxfId="156" priority="1" operator="notEqual">
      <formula>100</formula>
    </cfRule>
  </conditionalFormatting>
  <conditionalFormatting sqref="F49">
    <cfRule type="expression" dxfId="155" priority="4">
      <formula>$D$49="简单平均"</formula>
    </cfRule>
  </conditionalFormatting>
  <conditionalFormatting sqref="F53:F55 H53:H55">
    <cfRule type="containsText" dxfId="154" priority="17" stopIfTrue="1" operator="containsText" text="超过">
      <formula>NOT(ISERROR(SEARCH("超过",F53)))</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G55">
    <cfRule type="expression" dxfId="151" priority="13" stopIfTrue="1">
      <formula>$H$55="超过30%"</formula>
    </cfRule>
  </conditionalFormatting>
  <conditionalFormatting sqref="H49">
    <cfRule type="expression" dxfId="150" priority="3">
      <formula>$D$49="简单平均"</formula>
    </cfRule>
  </conditionalFormatting>
  <conditionalFormatting sqref="I53">
    <cfRule type="expression" dxfId="149" priority="7" stopIfTrue="1">
      <formula>$J$53="超过30%"</formula>
    </cfRule>
  </conditionalFormatting>
  <conditionalFormatting sqref="I54">
    <cfRule type="expression" dxfId="148" priority="6" stopIfTrue="1">
      <formula>$J$53+$J$54="超过20%"</formula>
    </cfRule>
  </conditionalFormatting>
  <conditionalFormatting sqref="I55">
    <cfRule type="expression" dxfId="147" priority="5" stopIfTrue="1">
      <formula>$J$55="超过30%"</formula>
    </cfRule>
  </conditionalFormatting>
  <conditionalFormatting sqref="J49">
    <cfRule type="expression" dxfId="146" priority="2">
      <formula>$D$49="简单平均"</formula>
    </cfRule>
  </conditionalFormatting>
  <conditionalFormatting sqref="J53:J55">
    <cfRule type="containsText" dxfId="145"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1658</v>
      </c>
      <c r="B1" s="1808" t="s">
        <v>1824</v>
      </c>
      <c r="C1" s="1141" t="s">
        <v>1660</v>
      </c>
      <c r="D1" s="1142"/>
      <c r="E1" s="3130"/>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479.51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1767</v>
      </c>
      <c r="B4" s="346"/>
      <c r="C4" s="3378" t="s">
        <v>1768</v>
      </c>
      <c r="D4" s="3379"/>
      <c r="E4" s="3380" t="s">
        <v>1769</v>
      </c>
      <c r="F4" s="3381"/>
      <c r="G4" s="3378" t="s">
        <v>1770</v>
      </c>
      <c r="H4" s="3379"/>
      <c r="I4" s="3378" t="s">
        <v>1771</v>
      </c>
      <c r="J4" s="3379"/>
      <c r="K4" s="537" t="s">
        <v>1772</v>
      </c>
      <c r="L4" s="860"/>
      <c r="M4" s="861"/>
      <c r="N4" s="861"/>
      <c r="O4" s="861"/>
      <c r="P4" s="3382" t="s">
        <v>1773</v>
      </c>
      <c r="Q4" s="3383"/>
      <c r="R4" s="3365" t="s">
        <v>1769</v>
      </c>
      <c r="S4" s="3366"/>
      <c r="T4" s="3365" t="s">
        <v>1770</v>
      </c>
      <c r="U4" s="3366"/>
      <c r="V4" s="3362" t="s">
        <v>1771</v>
      </c>
      <c r="W4" s="3362"/>
      <c r="X4" s="1265"/>
      <c r="Y4" s="3365" t="s">
        <v>1773</v>
      </c>
      <c r="Z4" s="3366"/>
      <c r="AA4" s="3359" t="s">
        <v>1769</v>
      </c>
      <c r="AB4" s="3360" t="s">
        <v>1770</v>
      </c>
      <c r="AC4" s="3359" t="s">
        <v>1771</v>
      </c>
    </row>
    <row r="5" spans="1:29">
      <c r="A5" s="348"/>
      <c r="B5" s="349"/>
      <c r="C5" s="3371" t="s">
        <v>1671</v>
      </c>
      <c r="D5" s="3372"/>
      <c r="E5" s="3426" t="s">
        <v>1672</v>
      </c>
      <c r="F5" s="3370"/>
      <c r="G5" s="3371" t="s">
        <v>1673</v>
      </c>
      <c r="H5" s="3372"/>
      <c r="I5" s="3371" t="s">
        <v>1674</v>
      </c>
      <c r="J5" s="3372"/>
      <c r="K5" s="537"/>
      <c r="L5" s="860"/>
      <c r="M5" s="861"/>
      <c r="N5" s="861"/>
      <c r="O5" s="861"/>
      <c r="P5" s="3384"/>
      <c r="Q5" s="3385"/>
      <c r="R5" s="3367"/>
      <c r="S5" s="3368"/>
      <c r="T5" s="3367"/>
      <c r="U5" s="3368"/>
      <c r="V5" s="3362"/>
      <c r="W5" s="3362"/>
      <c r="X5" s="1265"/>
      <c r="Y5" s="3367"/>
      <c r="Z5" s="3368"/>
      <c r="AA5" s="3360"/>
      <c r="AB5" s="3360"/>
      <c r="AC5" s="3360"/>
    </row>
    <row r="6" spans="1:29" ht="15" thickBot="1">
      <c r="A6" s="350"/>
      <c r="B6" s="351"/>
      <c r="C6" s="3373" t="s">
        <v>1675</v>
      </c>
      <c r="D6" s="3374"/>
      <c r="E6" s="3375" t="s">
        <v>1675</v>
      </c>
      <c r="F6" s="3376"/>
      <c r="G6" s="3373" t="s">
        <v>1675</v>
      </c>
      <c r="H6" s="3374"/>
      <c r="I6" s="3373" t="s">
        <v>1675</v>
      </c>
      <c r="J6" s="3374"/>
      <c r="K6" s="537" t="s">
        <v>1676</v>
      </c>
      <c r="L6" s="860"/>
      <c r="M6" s="861"/>
      <c r="N6" s="861"/>
      <c r="O6" s="861"/>
      <c r="P6" s="3386"/>
      <c r="Q6" s="3387"/>
      <c r="R6" s="3367"/>
      <c r="S6" s="3368"/>
      <c r="T6" s="3388"/>
      <c r="U6" s="3389"/>
      <c r="V6" s="3362"/>
      <c r="W6" s="3362"/>
      <c r="X6" s="1265"/>
      <c r="Y6" s="3388"/>
      <c r="Z6" s="3389"/>
      <c r="AA6" s="3361"/>
      <c r="AB6" s="3361"/>
      <c r="AC6" s="3361"/>
    </row>
    <row r="7" spans="1:29" s="102" customFormat="1" ht="15" thickBot="1">
      <c r="A7" s="352" t="s">
        <v>1677</v>
      </c>
      <c r="B7" s="353"/>
      <c r="C7" s="354">
        <f>'数据-取费表'!B2</f>
        <v>45635</v>
      </c>
      <c r="D7" s="355">
        <v>100</v>
      </c>
      <c r="E7" s="356"/>
      <c r="F7" s="357">
        <f>SUMIF(52:52,YEAR(E7)&amp;"-"&amp;MONTH(E7),53:53)</f>
        <v>0</v>
      </c>
      <c r="G7" s="356"/>
      <c r="H7" s="355">
        <f>SUMIF(52:52,YEAR(G7)&amp;"-"&amp;MONTH(G7),53:53)</f>
        <v>0</v>
      </c>
      <c r="I7" s="356"/>
      <c r="J7" s="355">
        <f>SUMIF(52:52,YEAR(I7)&amp;"-"&amp;MONTH(I7),53:53)</f>
        <v>0</v>
      </c>
      <c r="K7" s="38"/>
      <c r="L7" s="862"/>
      <c r="M7" s="863"/>
      <c r="N7" s="863"/>
      <c r="O7" s="863"/>
      <c r="P7" s="3363" t="s">
        <v>1678</v>
      </c>
      <c r="Q7" s="3391"/>
      <c r="R7" s="664" t="s">
        <v>14</v>
      </c>
      <c r="S7" s="665">
        <f t="shared" ref="S7:S15" si="0">F7</f>
        <v>0</v>
      </c>
      <c r="T7" s="664" t="s">
        <v>14</v>
      </c>
      <c r="U7" s="665">
        <f t="shared" ref="U7:U15" si="1">H7</f>
        <v>0</v>
      </c>
      <c r="V7" s="664" t="s">
        <v>14</v>
      </c>
      <c r="W7" s="665">
        <f t="shared" ref="W7:W15" si="2">J7</f>
        <v>0</v>
      </c>
      <c r="X7" s="666"/>
      <c r="Y7" s="3363" t="s">
        <v>1678</v>
      </c>
      <c r="Z7" s="3364"/>
      <c r="AA7" s="50" t="e">
        <f>D7/F7</f>
        <v>#DIV/0!</v>
      </c>
      <c r="AB7" s="50" t="e">
        <f>D7/H7</f>
        <v>#DIV/0!</v>
      </c>
      <c r="AC7" s="50" t="e">
        <f>D7/J7</f>
        <v>#DIV/0!</v>
      </c>
    </row>
    <row r="8" spans="1:29" s="102" customFormat="1" ht="1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3" t="s">
        <v>1681</v>
      </c>
      <c r="Q8" s="3364"/>
      <c r="R8" s="664" t="s">
        <v>14</v>
      </c>
      <c r="S8" s="665">
        <f t="shared" si="0"/>
        <v>100</v>
      </c>
      <c r="T8" s="664" t="s">
        <v>14</v>
      </c>
      <c r="U8" s="665">
        <f t="shared" si="1"/>
        <v>100</v>
      </c>
      <c r="V8" s="664" t="s">
        <v>14</v>
      </c>
      <c r="W8" s="665">
        <f t="shared" si="2"/>
        <v>100</v>
      </c>
      <c r="X8" s="666"/>
      <c r="Y8" s="3363" t="s">
        <v>1681</v>
      </c>
      <c r="Z8" s="3364"/>
      <c r="AA8" s="50">
        <f t="shared" ref="AA8:AA40" si="3">D8/F8</f>
        <v>1</v>
      </c>
      <c r="AB8" s="50">
        <f t="shared" ref="AB8:AB40" si="4">D8/H8</f>
        <v>1</v>
      </c>
      <c r="AC8" s="50">
        <f t="shared" ref="AC8:AC40" si="5">D8/J8</f>
        <v>1</v>
      </c>
    </row>
    <row r="9" spans="1:29" s="102" customFormat="1" ht="14.4">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1" t="s">
        <v>1684</v>
      </c>
      <c r="Q9" s="530" t="str">
        <f t="shared" ref="Q9:Q15" si="6">B9</f>
        <v>用途</v>
      </c>
      <c r="R9" s="664" t="s">
        <v>14</v>
      </c>
      <c r="S9" s="665">
        <f t="shared" si="0"/>
        <v>100</v>
      </c>
      <c r="T9" s="664" t="s">
        <v>14</v>
      </c>
      <c r="U9" s="665">
        <f t="shared" si="1"/>
        <v>100</v>
      </c>
      <c r="V9" s="664" t="s">
        <v>14</v>
      </c>
      <c r="W9" s="665">
        <f t="shared" si="2"/>
        <v>100</v>
      </c>
      <c r="X9" s="666"/>
      <c r="Y9" s="3327" t="s">
        <v>1685</v>
      </c>
      <c r="Z9" s="50" t="str">
        <f t="shared" ref="Z9:Z15" si="7">Q9</f>
        <v>用途</v>
      </c>
      <c r="AA9" s="50">
        <f t="shared" si="3"/>
        <v>1</v>
      </c>
      <c r="AB9" s="50">
        <f t="shared" si="4"/>
        <v>1</v>
      </c>
      <c r="AC9" s="50">
        <f t="shared" si="5"/>
        <v>1</v>
      </c>
    </row>
    <row r="10" spans="1:29" s="366" customFormat="1" ht="28.8">
      <c r="A10" s="363"/>
      <c r="B10" s="364" t="s">
        <v>1686</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01"/>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1"/>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1"/>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1"/>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1"/>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4" t="s">
        <v>1689</v>
      </c>
      <c r="Q15" s="1263" t="str">
        <f t="shared" si="6"/>
        <v>产业集聚程度</v>
      </c>
      <c r="R15" s="667" t="s">
        <v>14</v>
      </c>
      <c r="S15" s="668">
        <f t="shared" si="0"/>
        <v>100</v>
      </c>
      <c r="T15" s="667" t="s">
        <v>14</v>
      </c>
      <c r="U15" s="668">
        <f t="shared" si="1"/>
        <v>100</v>
      </c>
      <c r="V15" s="667" t="s">
        <v>14</v>
      </c>
      <c r="W15" s="668">
        <f t="shared" si="2"/>
        <v>100</v>
      </c>
      <c r="X15" s="1265"/>
      <c r="Y15" s="3394"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5"/>
      <c r="Q16" s="1263"/>
      <c r="R16" s="667"/>
      <c r="S16" s="668"/>
      <c r="T16" s="667"/>
      <c r="U16" s="668"/>
      <c r="V16" s="667"/>
      <c r="W16" s="668"/>
      <c r="X16" s="1265"/>
      <c r="Y16" s="3395"/>
      <c r="Z16" s="1264"/>
      <c r="AA16" s="1264">
        <v>1</v>
      </c>
      <c r="AB16" s="1264">
        <v>1</v>
      </c>
      <c r="AC16" s="1264">
        <v>1</v>
      </c>
    </row>
    <row r="17" spans="1:29" ht="96.6">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5"/>
      <c r="Q18" s="1263"/>
      <c r="R18" s="667"/>
      <c r="S18" s="668"/>
      <c r="T18" s="667"/>
      <c r="U18" s="668"/>
      <c r="V18" s="667"/>
      <c r="W18" s="668"/>
      <c r="X18" s="1265"/>
      <c r="Y18" s="3395"/>
      <c r="Z18" s="1264"/>
      <c r="AA18" s="1264">
        <v>1</v>
      </c>
      <c r="AB18" s="1264">
        <v>1</v>
      </c>
      <c r="AC18" s="1264">
        <v>1</v>
      </c>
    </row>
    <row r="19" spans="1:29" ht="41.4">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5"/>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5"/>
      <c r="Q20" s="1263"/>
      <c r="R20" s="667"/>
      <c r="S20" s="668"/>
      <c r="T20" s="667"/>
      <c r="U20" s="668"/>
      <c r="V20" s="667"/>
      <c r="W20" s="668"/>
      <c r="X20" s="1265"/>
      <c r="Y20" s="3395"/>
      <c r="Z20" s="1264"/>
      <c r="AA20" s="1264">
        <v>1</v>
      </c>
      <c r="AB20" s="1264">
        <v>1</v>
      </c>
      <c r="AC20" s="1264">
        <v>1</v>
      </c>
    </row>
    <row r="21" spans="1:29" ht="41.4">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5"/>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5"/>
      <c r="Q22" s="1263"/>
      <c r="R22" s="667"/>
      <c r="S22" s="668"/>
      <c r="T22" s="667"/>
      <c r="U22" s="668"/>
      <c r="V22" s="667"/>
      <c r="W22" s="668"/>
      <c r="X22" s="1265"/>
      <c r="Y22" s="3395"/>
      <c r="Z22" s="1264"/>
      <c r="AA22" s="1264">
        <v>1</v>
      </c>
      <c r="AB22" s="1264">
        <v>1</v>
      </c>
      <c r="AC22" s="1264">
        <v>1</v>
      </c>
    </row>
    <row r="23" spans="1:29" ht="82.8">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5"/>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5"/>
      <c r="Q24" s="1263"/>
      <c r="R24" s="667"/>
      <c r="S24" s="668"/>
      <c r="T24" s="667"/>
      <c r="U24" s="668"/>
      <c r="V24" s="667"/>
      <c r="W24" s="668"/>
      <c r="X24" s="1265"/>
      <c r="Y24" s="339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5"/>
      <c r="Q25" s="1263">
        <f>B25</f>
        <v>111</v>
      </c>
      <c r="R25" s="667" t="s">
        <v>14</v>
      </c>
      <c r="S25" s="668">
        <f>F25</f>
        <v>100</v>
      </c>
      <c r="T25" s="667" t="s">
        <v>14</v>
      </c>
      <c r="U25" s="668">
        <f>H25</f>
        <v>100</v>
      </c>
      <c r="V25" s="667" t="s">
        <v>14</v>
      </c>
      <c r="W25" s="668">
        <f>J25</f>
        <v>100</v>
      </c>
      <c r="X25" s="1265"/>
      <c r="Y25" s="339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5"/>
      <c r="Q26" s="1263">
        <f t="shared" ref="Q26:Q40" si="11">B26</f>
        <v>111</v>
      </c>
      <c r="R26" s="667" t="s">
        <v>14</v>
      </c>
      <c r="S26" s="668">
        <f>F26</f>
        <v>100</v>
      </c>
      <c r="T26" s="667" t="s">
        <v>14</v>
      </c>
      <c r="U26" s="668">
        <f>H26</f>
        <v>100</v>
      </c>
      <c r="V26" s="667" t="s">
        <v>14</v>
      </c>
      <c r="W26" s="668">
        <f>J26</f>
        <v>100</v>
      </c>
      <c r="X26" s="1265"/>
      <c r="Y26" s="339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5"/>
      <c r="Q27" s="530">
        <f t="shared" si="11"/>
        <v>111</v>
      </c>
      <c r="R27" s="664" t="s">
        <v>14</v>
      </c>
      <c r="S27" s="665">
        <f>F27</f>
        <v>100</v>
      </c>
      <c r="T27" s="664" t="s">
        <v>14</v>
      </c>
      <c r="U27" s="665">
        <f>H27</f>
        <v>100</v>
      </c>
      <c r="V27" s="664" t="s">
        <v>14</v>
      </c>
      <c r="W27" s="665">
        <f>J27</f>
        <v>100</v>
      </c>
      <c r="X27" s="666"/>
      <c r="Y27" s="339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5"/>
      <c r="Q28" s="1263">
        <f t="shared" si="11"/>
        <v>111</v>
      </c>
      <c r="R28" s="667" t="s">
        <v>14</v>
      </c>
      <c r="S28" s="668">
        <f t="shared" ref="S28:S40" si="12">F28</f>
        <v>100</v>
      </c>
      <c r="T28" s="667" t="s">
        <v>14</v>
      </c>
      <c r="U28" s="668">
        <f t="shared" ref="U28:U40" si="13">H28</f>
        <v>100</v>
      </c>
      <c r="V28" s="667" t="s">
        <v>14</v>
      </c>
      <c r="W28" s="668">
        <f t="shared" ref="W28:W40" si="14">J28</f>
        <v>100</v>
      </c>
      <c r="X28" s="1265"/>
      <c r="Y28" s="3395"/>
      <c r="Z28" s="1264">
        <f t="shared" ref="Z28:Z40" si="15">Q28</f>
        <v>111</v>
      </c>
      <c r="AA28" s="1264">
        <f t="shared" si="3"/>
        <v>1</v>
      </c>
      <c r="AB28" s="1264">
        <f t="shared" si="4"/>
        <v>1</v>
      </c>
      <c r="AC28" s="1264">
        <f t="shared" si="5"/>
        <v>1</v>
      </c>
    </row>
    <row r="29" spans="1:29" ht="30">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2" t="s">
        <v>1694</v>
      </c>
      <c r="Q29" s="1263" t="str">
        <f t="shared" si="11"/>
        <v>建筑类型</v>
      </c>
      <c r="R29" s="667" t="s">
        <v>14</v>
      </c>
      <c r="S29" s="668">
        <f t="shared" si="12"/>
        <v>100</v>
      </c>
      <c r="T29" s="667" t="s">
        <v>14</v>
      </c>
      <c r="U29" s="668">
        <f t="shared" si="13"/>
        <v>100</v>
      </c>
      <c r="V29" s="667" t="s">
        <v>14</v>
      </c>
      <c r="W29" s="668">
        <f t="shared" si="14"/>
        <v>100</v>
      </c>
      <c r="X29" s="1265"/>
      <c r="Y29" s="3399"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9"/>
      <c r="Q30" s="531" t="str">
        <f t="shared" si="11"/>
        <v>项目建筑规模</v>
      </c>
      <c r="R30" s="669" t="s">
        <v>14</v>
      </c>
      <c r="S30" s="670" t="e">
        <f t="shared" si="12"/>
        <v>#N/A</v>
      </c>
      <c r="T30" s="669" t="s">
        <v>14</v>
      </c>
      <c r="U30" s="670" t="e">
        <f t="shared" si="13"/>
        <v>#N/A</v>
      </c>
      <c r="V30" s="669" t="s">
        <v>14</v>
      </c>
      <c r="W30" s="670" t="e">
        <f t="shared" si="14"/>
        <v>#N/A</v>
      </c>
      <c r="X30" s="671"/>
      <c r="Y30" s="3399"/>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9"/>
      <c r="Q31" s="1263" t="str">
        <f t="shared" si="11"/>
        <v>建筑结构</v>
      </c>
      <c r="R31" s="667" t="s">
        <v>14</v>
      </c>
      <c r="S31" s="668">
        <f t="shared" si="12"/>
        <v>100</v>
      </c>
      <c r="T31" s="667" t="s">
        <v>14</v>
      </c>
      <c r="U31" s="668">
        <f t="shared" si="13"/>
        <v>100</v>
      </c>
      <c r="V31" s="667" t="s">
        <v>14</v>
      </c>
      <c r="W31" s="668">
        <f t="shared" si="14"/>
        <v>100</v>
      </c>
      <c r="X31" s="1265"/>
      <c r="Y31" s="3399"/>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9"/>
      <c r="Q32" s="1263" t="str">
        <f t="shared" si="11"/>
        <v>公共部分装修</v>
      </c>
      <c r="R32" s="667" t="s">
        <v>14</v>
      </c>
      <c r="S32" s="668">
        <f t="shared" si="12"/>
        <v>100</v>
      </c>
      <c r="T32" s="667" t="s">
        <v>14</v>
      </c>
      <c r="U32" s="668">
        <f t="shared" si="13"/>
        <v>100</v>
      </c>
      <c r="V32" s="667" t="s">
        <v>14</v>
      </c>
      <c r="W32" s="668">
        <f t="shared" si="14"/>
        <v>100</v>
      </c>
      <c r="X32" s="1265"/>
      <c r="Y32" s="3399"/>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9"/>
      <c r="Q33" s="1263" t="str">
        <f t="shared" si="11"/>
        <v>成新度</v>
      </c>
      <c r="R33" s="667" t="s">
        <v>14</v>
      </c>
      <c r="S33" s="668" t="e">
        <f t="shared" si="12"/>
        <v>#N/A</v>
      </c>
      <c r="T33" s="667" t="s">
        <v>14</v>
      </c>
      <c r="U33" s="668" t="e">
        <f t="shared" si="13"/>
        <v>#N/A</v>
      </c>
      <c r="V33" s="667" t="s">
        <v>14</v>
      </c>
      <c r="W33" s="668" t="e">
        <f t="shared" si="14"/>
        <v>#N/A</v>
      </c>
      <c r="X33" s="1265"/>
      <c r="Y33" s="3399"/>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9"/>
      <c r="Q34" s="530" t="str">
        <f t="shared" si="11"/>
        <v>物业管理</v>
      </c>
      <c r="R34" s="664" t="s">
        <v>14</v>
      </c>
      <c r="S34" s="665">
        <f t="shared" si="12"/>
        <v>100</v>
      </c>
      <c r="T34" s="664" t="s">
        <v>14</v>
      </c>
      <c r="U34" s="665">
        <f t="shared" si="13"/>
        <v>100</v>
      </c>
      <c r="V34" s="664" t="s">
        <v>14</v>
      </c>
      <c r="W34" s="665">
        <f t="shared" si="14"/>
        <v>100</v>
      </c>
      <c r="X34" s="666"/>
      <c r="Y34" s="3399"/>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9" t="s">
        <v>1694</v>
      </c>
      <c r="Q35" s="1263" t="str">
        <f t="shared" si="11"/>
        <v>市政基础设施</v>
      </c>
      <c r="R35" s="667" t="s">
        <v>14</v>
      </c>
      <c r="S35" s="668">
        <f t="shared" si="12"/>
        <v>100</v>
      </c>
      <c r="T35" s="667" t="s">
        <v>14</v>
      </c>
      <c r="U35" s="668">
        <f t="shared" si="13"/>
        <v>100</v>
      </c>
      <c r="V35" s="667" t="s">
        <v>14</v>
      </c>
      <c r="W35" s="668">
        <f t="shared" si="14"/>
        <v>100</v>
      </c>
      <c r="X35" s="1265"/>
      <c r="Y35" s="3399"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9"/>
      <c r="Q36" s="1263" t="str">
        <f t="shared" si="11"/>
        <v>内部装修</v>
      </c>
      <c r="R36" s="667" t="s">
        <v>14</v>
      </c>
      <c r="S36" s="668">
        <f t="shared" si="12"/>
        <v>100</v>
      </c>
      <c r="T36" s="667" t="s">
        <v>14</v>
      </c>
      <c r="U36" s="668">
        <f t="shared" si="13"/>
        <v>100</v>
      </c>
      <c r="V36" s="667" t="s">
        <v>14</v>
      </c>
      <c r="W36" s="668">
        <f t="shared" si="14"/>
        <v>100</v>
      </c>
      <c r="X36" s="1265"/>
      <c r="Y36" s="3399"/>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9"/>
      <c r="Q37" s="1263" t="str">
        <f t="shared" si="11"/>
        <v>内部装修状况</v>
      </c>
      <c r="R37" s="667" t="s">
        <v>14</v>
      </c>
      <c r="S37" s="668">
        <f t="shared" si="12"/>
        <v>100</v>
      </c>
      <c r="T37" s="667" t="s">
        <v>14</v>
      </c>
      <c r="U37" s="668">
        <f t="shared" si="13"/>
        <v>100</v>
      </c>
      <c r="V37" s="667" t="s">
        <v>14</v>
      </c>
      <c r="W37" s="668">
        <f t="shared" si="14"/>
        <v>100</v>
      </c>
      <c r="X37" s="1265"/>
      <c r="Y37" s="339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9"/>
      <c r="Q38" s="531">
        <f t="shared" si="11"/>
        <v>111</v>
      </c>
      <c r="R38" s="669" t="s">
        <v>14</v>
      </c>
      <c r="S38" s="670">
        <f t="shared" si="12"/>
        <v>100</v>
      </c>
      <c r="T38" s="669" t="s">
        <v>14</v>
      </c>
      <c r="U38" s="670">
        <f t="shared" si="13"/>
        <v>100</v>
      </c>
      <c r="V38" s="669" t="s">
        <v>14</v>
      </c>
      <c r="W38" s="670">
        <f t="shared" si="14"/>
        <v>100</v>
      </c>
      <c r="X38" s="671"/>
      <c r="Y38" s="339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9"/>
      <c r="Q39" s="1263">
        <f t="shared" si="11"/>
        <v>111</v>
      </c>
      <c r="R39" s="667" t="s">
        <v>14</v>
      </c>
      <c r="S39" s="668">
        <f t="shared" si="12"/>
        <v>100</v>
      </c>
      <c r="T39" s="667" t="s">
        <v>14</v>
      </c>
      <c r="U39" s="668">
        <f t="shared" si="13"/>
        <v>100</v>
      </c>
      <c r="V39" s="667" t="s">
        <v>14</v>
      </c>
      <c r="W39" s="668">
        <f t="shared" si="14"/>
        <v>100</v>
      </c>
      <c r="X39" s="1265"/>
      <c r="Y39" s="339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0"/>
      <c r="Q40" s="1263">
        <f t="shared" si="11"/>
        <v>111</v>
      </c>
      <c r="R40" s="667" t="s">
        <v>14</v>
      </c>
      <c r="S40" s="668">
        <f t="shared" si="12"/>
        <v>100</v>
      </c>
      <c r="T40" s="667" t="s">
        <v>14</v>
      </c>
      <c r="U40" s="668">
        <f t="shared" si="13"/>
        <v>100</v>
      </c>
      <c r="V40" s="667" t="s">
        <v>14</v>
      </c>
      <c r="W40" s="668">
        <f t="shared" si="14"/>
        <v>100</v>
      </c>
      <c r="X40" s="1265"/>
      <c r="Y40" s="3400"/>
      <c r="Z40" s="1264">
        <f t="shared" si="15"/>
        <v>111</v>
      </c>
      <c r="AA40" s="1264">
        <f t="shared" si="3"/>
        <v>1</v>
      </c>
      <c r="AB40" s="1264">
        <f t="shared" si="4"/>
        <v>1</v>
      </c>
      <c r="AC40" s="1264">
        <f t="shared" si="5"/>
        <v>1</v>
      </c>
    </row>
    <row r="41" spans="1:29" ht="14.4">
      <c r="A41" s="416" t="s">
        <v>1706</v>
      </c>
      <c r="B41" s="417"/>
      <c r="C41" s="1081" t="s">
        <v>0</v>
      </c>
      <c r="D41" s="418"/>
      <c r="E41" s="419"/>
      <c r="F41" s="420"/>
      <c r="G41" s="421"/>
      <c r="H41" s="422"/>
      <c r="I41" s="419"/>
      <c r="J41" s="422"/>
      <c r="K41" s="674"/>
      <c r="L41" s="873"/>
      <c r="M41" s="861"/>
      <c r="N41" s="861"/>
      <c r="O41" s="861"/>
      <c r="P41" s="3401" t="str">
        <f>A41</f>
        <v>成交单价（元/平方米）</v>
      </c>
      <c r="Q41" s="3401"/>
      <c r="R41" s="3362">
        <f>E41</f>
        <v>0</v>
      </c>
      <c r="S41" s="3362"/>
      <c r="T41" s="3362">
        <f>G41</f>
        <v>0</v>
      </c>
      <c r="U41" s="3362"/>
      <c r="V41" s="3362">
        <f>I41</f>
        <v>0</v>
      </c>
      <c r="W41" s="3362"/>
      <c r="X41" s="385"/>
      <c r="Y41" s="673"/>
      <c r="Z41" s="385"/>
      <c r="AA41" s="385"/>
      <c r="AB41" s="385"/>
      <c r="AC41" s="385"/>
    </row>
    <row r="42" spans="1:29" ht="1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01" t="str">
        <f>A42</f>
        <v>比较价值（元/平方米）</v>
      </c>
      <c r="Q42" s="3401"/>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385"/>
      <c r="Y42" s="385"/>
      <c r="Z42" s="385"/>
      <c r="AA42" s="385"/>
      <c r="AB42" s="385"/>
      <c r="AC42" s="385"/>
    </row>
    <row r="43" spans="1:29" ht="15" thickBot="1">
      <c r="A43" s="427" t="s">
        <v>1792</v>
      </c>
      <c r="B43" s="428"/>
      <c r="C43" s="351" t="e">
        <f>R43</f>
        <v>#DIV/0!</v>
      </c>
      <c r="D43" s="351"/>
      <c r="E43" s="351"/>
      <c r="F43" s="351"/>
      <c r="G43" s="351"/>
      <c r="H43" s="351"/>
      <c r="I43" s="351"/>
      <c r="J43" s="351"/>
      <c r="K43" s="675"/>
      <c r="L43" s="873"/>
      <c r="M43" s="861"/>
      <c r="N43" s="861"/>
      <c r="O43" s="861"/>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1796</v>
      </c>
      <c r="B51" s="385"/>
      <c r="C51" s="659"/>
      <c r="D51" s="659"/>
      <c r="E51" s="659"/>
      <c r="F51" s="660"/>
      <c r="G51" s="660"/>
      <c r="H51" s="659"/>
      <c r="I51" s="659"/>
      <c r="J51" s="659"/>
      <c r="K51" s="887"/>
      <c r="L51" s="888"/>
      <c r="M51" s="886"/>
      <c r="N51" s="886"/>
      <c r="O51" s="886"/>
      <c r="P51" s="438"/>
      <c r="Q51" s="439"/>
    </row>
    <row r="52" spans="1:17" s="442" customFormat="1" ht="14.4">
      <c r="A52" s="440" t="s">
        <v>1677</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1714</v>
      </c>
      <c r="B54" s="450"/>
      <c r="C54" s="451"/>
      <c r="D54" s="452"/>
      <c r="E54" s="452"/>
      <c r="F54" s="452"/>
      <c r="G54" s="452"/>
      <c r="H54" s="452"/>
      <c r="I54" s="452"/>
      <c r="J54" s="452"/>
      <c r="K54" s="452"/>
      <c r="L54" s="452"/>
      <c r="M54" s="453"/>
      <c r="N54" s="2537"/>
      <c r="O54" s="2538"/>
      <c r="P54" s="439"/>
      <c r="Q54" s="439"/>
    </row>
    <row r="55" spans="1:17" s="102" customFormat="1" ht="14.4">
      <c r="A55" s="455" t="s">
        <v>1679</v>
      </c>
      <c r="B55" s="444"/>
      <c r="C55" s="456" t="s">
        <v>1774</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1717</v>
      </c>
      <c r="B57" s="460" t="s">
        <v>1683</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1686</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1692</v>
      </c>
      <c r="B88" s="460" t="s">
        <v>1734</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44" priority="16" stopIfTrue="1">
      <formula>$F$46="超过30%"</formula>
    </cfRule>
  </conditionalFormatting>
  <conditionalFormatting sqref="E47">
    <cfRule type="expression" dxfId="143" priority="15" stopIfTrue="1">
      <formula>$F$47="超过20%"</formula>
    </cfRule>
  </conditionalFormatting>
  <conditionalFormatting sqref="E48">
    <cfRule type="expression" dxfId="142" priority="14" stopIfTrue="1">
      <formula>$F$48="超过30%"</formula>
    </cfRule>
  </conditionalFormatting>
  <conditionalFormatting sqref="F7:F40 H7:H40 J7:J40">
    <cfRule type="cellIs" dxfId="141" priority="1" operator="notEqual">
      <formula>100</formula>
    </cfRule>
  </conditionalFormatting>
  <conditionalFormatting sqref="F42">
    <cfRule type="expression" dxfId="140" priority="4">
      <formula>$D$42="简单平均"</formula>
    </cfRule>
  </conditionalFormatting>
  <conditionalFormatting sqref="F46:F48 H46:H48">
    <cfRule type="containsText" dxfId="139" priority="17" stopIfTrue="1" operator="containsText" text="超过">
      <formula>NOT(ISERROR(SEARCH("超过",F46)))</formula>
    </cfRule>
  </conditionalFormatting>
  <conditionalFormatting sqref="G46">
    <cfRule type="expression" dxfId="138" priority="12" stopIfTrue="1">
      <formula>$H$46="超过30%"</formula>
    </cfRule>
  </conditionalFormatting>
  <conditionalFormatting sqref="G47">
    <cfRule type="expression" dxfId="137" priority="11" stopIfTrue="1">
      <formula>$H$47="超过20%"</formula>
    </cfRule>
  </conditionalFormatting>
  <conditionalFormatting sqref="G48">
    <cfRule type="expression" dxfId="136" priority="13" stopIfTrue="1">
      <formula>$H$48="超过30%"</formula>
    </cfRule>
  </conditionalFormatting>
  <conditionalFormatting sqref="H42">
    <cfRule type="expression" dxfId="135" priority="3">
      <formula>$D$42="简单平均"</formula>
    </cfRule>
  </conditionalFormatting>
  <conditionalFormatting sqref="I46">
    <cfRule type="expression" dxfId="134" priority="7" stopIfTrue="1">
      <formula>$J$46="超过30%"</formula>
    </cfRule>
  </conditionalFormatting>
  <conditionalFormatting sqref="I47">
    <cfRule type="expression" dxfId="133" priority="6" stopIfTrue="1">
      <formula>$J$47="超过20%"</formula>
    </cfRule>
  </conditionalFormatting>
  <conditionalFormatting sqref="I48">
    <cfRule type="expression" dxfId="132" priority="5" stopIfTrue="1">
      <formula>$J$48="超过30%"</formula>
    </cfRule>
  </conditionalFormatting>
  <conditionalFormatting sqref="J42">
    <cfRule type="expression" dxfId="131" priority="2">
      <formula>$D$42="简单平均"</formula>
    </cfRule>
  </conditionalFormatting>
  <conditionalFormatting sqref="J46:J48">
    <cfRule type="containsText" dxfId="130"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1829</v>
      </c>
      <c r="B1" s="1140" t="s">
        <v>3332</v>
      </c>
      <c r="C1" s="1141" t="s">
        <v>1660</v>
      </c>
      <c r="D1" s="1142"/>
      <c r="E1" s="3130"/>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1767</v>
      </c>
      <c r="B4" s="346"/>
      <c r="C4" s="3378" t="s">
        <v>1768</v>
      </c>
      <c r="D4" s="3379"/>
      <c r="E4" s="3380" t="s">
        <v>1769</v>
      </c>
      <c r="F4" s="3381"/>
      <c r="G4" s="3378" t="s">
        <v>1770</v>
      </c>
      <c r="H4" s="3379"/>
      <c r="I4" s="3378" t="s">
        <v>1771</v>
      </c>
      <c r="J4" s="3379"/>
      <c r="K4" s="537" t="s">
        <v>1772</v>
      </c>
      <c r="L4" s="2485"/>
      <c r="M4" s="2486"/>
      <c r="N4" s="2486"/>
      <c r="O4" s="2486"/>
      <c r="P4" s="3382" t="s">
        <v>1773</v>
      </c>
      <c r="Q4" s="3383"/>
      <c r="R4" s="3365" t="s">
        <v>1769</v>
      </c>
      <c r="S4" s="3366"/>
      <c r="T4" s="3365" t="s">
        <v>1770</v>
      </c>
      <c r="U4" s="3366"/>
      <c r="V4" s="3362" t="s">
        <v>1771</v>
      </c>
      <c r="W4" s="3362"/>
      <c r="X4" s="1265"/>
      <c r="Y4" s="3365" t="s">
        <v>1773</v>
      </c>
      <c r="Z4" s="3366"/>
      <c r="AA4" s="3359" t="s">
        <v>1769</v>
      </c>
      <c r="AB4" s="3360" t="s">
        <v>1770</v>
      </c>
      <c r="AC4" s="3359" t="s">
        <v>1771</v>
      </c>
    </row>
    <row r="5" spans="1:29">
      <c r="A5" s="348"/>
      <c r="B5" s="349"/>
      <c r="C5" s="3371" t="s">
        <v>1671</v>
      </c>
      <c r="D5" s="3372"/>
      <c r="E5" s="3426" t="s">
        <v>1672</v>
      </c>
      <c r="F5" s="3370"/>
      <c r="G5" s="3371" t="s">
        <v>1673</v>
      </c>
      <c r="H5" s="3372"/>
      <c r="I5" s="3371" t="s">
        <v>1674</v>
      </c>
      <c r="J5" s="3372"/>
      <c r="K5" s="537"/>
      <c r="L5" s="2485"/>
      <c r="M5" s="2486"/>
      <c r="N5" s="2486"/>
      <c r="O5" s="2486"/>
      <c r="P5" s="3384"/>
      <c r="Q5" s="3385"/>
      <c r="R5" s="3367"/>
      <c r="S5" s="3368"/>
      <c r="T5" s="3367"/>
      <c r="U5" s="3368"/>
      <c r="V5" s="3362"/>
      <c r="W5" s="3362"/>
      <c r="X5" s="1265"/>
      <c r="Y5" s="3367"/>
      <c r="Z5" s="3368"/>
      <c r="AA5" s="3360"/>
      <c r="AB5" s="3360"/>
      <c r="AC5" s="3360"/>
    </row>
    <row r="6" spans="1:29" ht="15" thickBot="1">
      <c r="A6" s="350"/>
      <c r="B6" s="351"/>
      <c r="C6" s="3373" t="s">
        <v>1675</v>
      </c>
      <c r="D6" s="3374"/>
      <c r="E6" s="3375" t="s">
        <v>1675</v>
      </c>
      <c r="F6" s="3376"/>
      <c r="G6" s="3373" t="s">
        <v>1675</v>
      </c>
      <c r="H6" s="3374"/>
      <c r="I6" s="3373" t="s">
        <v>1675</v>
      </c>
      <c r="J6" s="3374"/>
      <c r="K6" s="537" t="s">
        <v>1676</v>
      </c>
      <c r="L6" s="2485"/>
      <c r="M6" s="2486"/>
      <c r="N6" s="2486"/>
      <c r="O6" s="2486"/>
      <c r="P6" s="3386"/>
      <c r="Q6" s="3387"/>
      <c r="R6" s="3367"/>
      <c r="S6" s="3368"/>
      <c r="T6" s="3388"/>
      <c r="U6" s="3389"/>
      <c r="V6" s="3362"/>
      <c r="W6" s="3362"/>
      <c r="X6" s="1265"/>
      <c r="Y6" s="3388"/>
      <c r="Z6" s="3389"/>
      <c r="AA6" s="3361"/>
      <c r="AB6" s="3361"/>
      <c r="AC6" s="3361"/>
    </row>
    <row r="7" spans="1:29" s="102" customFormat="1" ht="15" thickBot="1">
      <c r="A7" s="352" t="s">
        <v>1677</v>
      </c>
      <c r="B7" s="353"/>
      <c r="C7" s="354">
        <f>'数据-取费表'!B2</f>
        <v>45635</v>
      </c>
      <c r="D7" s="355">
        <v>100</v>
      </c>
      <c r="E7" s="356"/>
      <c r="F7" s="357">
        <f>SUMIF(48:48,YEAR(E7)&amp;"-"&amp;MONTH(E7),49:49)</f>
        <v>0</v>
      </c>
      <c r="G7" s="356"/>
      <c r="H7" s="355">
        <f>SUMIF(48:48,YEAR(G7)&amp;"-"&amp;MONTH(G7),49:49)</f>
        <v>0</v>
      </c>
      <c r="I7" s="356"/>
      <c r="J7" s="355">
        <f>SUMIF(48:48,YEAR(I7)&amp;"-"&amp;MONTH(I7),49:49)</f>
        <v>0</v>
      </c>
      <c r="K7" s="38"/>
      <c r="L7" s="2487"/>
      <c r="M7" s="2439"/>
      <c r="N7" s="2439"/>
      <c r="O7" s="2439"/>
      <c r="P7" s="3363" t="s">
        <v>1678</v>
      </c>
      <c r="Q7" s="3391"/>
      <c r="R7" s="664" t="s">
        <v>14</v>
      </c>
      <c r="S7" s="665">
        <f t="shared" ref="S7:S14" si="0">F7</f>
        <v>0</v>
      </c>
      <c r="T7" s="664" t="s">
        <v>14</v>
      </c>
      <c r="U7" s="665">
        <f t="shared" ref="U7:U14" si="1">H7</f>
        <v>0</v>
      </c>
      <c r="V7" s="664" t="s">
        <v>14</v>
      </c>
      <c r="W7" s="665">
        <f t="shared" ref="W7:W14" si="2">J7</f>
        <v>0</v>
      </c>
      <c r="X7" s="666"/>
      <c r="Y7" s="3363" t="s">
        <v>1678</v>
      </c>
      <c r="Z7" s="3364"/>
      <c r="AA7" s="50" t="e">
        <f>D7/F7</f>
        <v>#DIV/0!</v>
      </c>
      <c r="AB7" s="50" t="e">
        <f>D7/H7</f>
        <v>#DIV/0!</v>
      </c>
      <c r="AC7" s="50" t="e">
        <f>D7/J7</f>
        <v>#DIV/0!</v>
      </c>
    </row>
    <row r="8" spans="1:29" s="102" customFormat="1" ht="1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63" t="s">
        <v>1681</v>
      </c>
      <c r="Q8" s="3364"/>
      <c r="R8" s="664" t="s">
        <v>14</v>
      </c>
      <c r="S8" s="665">
        <f t="shared" si="0"/>
        <v>100</v>
      </c>
      <c r="T8" s="664" t="s">
        <v>14</v>
      </c>
      <c r="U8" s="665">
        <f t="shared" si="1"/>
        <v>100</v>
      </c>
      <c r="V8" s="664" t="s">
        <v>14</v>
      </c>
      <c r="W8" s="665">
        <f t="shared" si="2"/>
        <v>100</v>
      </c>
      <c r="X8" s="666"/>
      <c r="Y8" s="3363" t="s">
        <v>1681</v>
      </c>
      <c r="Z8" s="3364"/>
      <c r="AA8" s="50">
        <f t="shared" ref="AA8:AA36" si="3">D8/F8</f>
        <v>1</v>
      </c>
      <c r="AB8" s="50">
        <f t="shared" ref="AB8:AB36" si="4">D8/H8</f>
        <v>1</v>
      </c>
      <c r="AC8" s="50">
        <f t="shared" ref="AC8:AC36" si="5">D8/J8</f>
        <v>1</v>
      </c>
    </row>
    <row r="9" spans="1:29" s="102" customFormat="1" ht="14.4">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01" t="s">
        <v>1684</v>
      </c>
      <c r="Q9" s="530" t="str">
        <f t="shared" ref="Q9:Q14" si="6">B9</f>
        <v>用途</v>
      </c>
      <c r="R9" s="664" t="s">
        <v>14</v>
      </c>
      <c r="S9" s="665">
        <f t="shared" si="0"/>
        <v>100</v>
      </c>
      <c r="T9" s="664" t="s">
        <v>14</v>
      </c>
      <c r="U9" s="665">
        <f t="shared" si="1"/>
        <v>100</v>
      </c>
      <c r="V9" s="664" t="s">
        <v>14</v>
      </c>
      <c r="W9" s="665">
        <f t="shared" si="2"/>
        <v>100</v>
      </c>
      <c r="X9" s="666"/>
      <c r="Y9" s="3327" t="s">
        <v>1685</v>
      </c>
      <c r="Z9" s="50" t="str">
        <f t="shared" ref="Z9:Z14" si="7">Q9</f>
        <v>用途</v>
      </c>
      <c r="AA9" s="50">
        <f t="shared" si="3"/>
        <v>1</v>
      </c>
      <c r="AB9" s="50">
        <f t="shared" si="4"/>
        <v>1</v>
      </c>
      <c r="AC9" s="50">
        <f t="shared" si="5"/>
        <v>1</v>
      </c>
    </row>
    <row r="10" spans="1:29" s="366" customFormat="1" ht="28.8">
      <c r="A10" s="565"/>
      <c r="B10" s="566" t="s">
        <v>1686</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1"/>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1"/>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01"/>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1"/>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96.6">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94" t="s">
        <v>1689</v>
      </c>
      <c r="Q14" s="1263" t="str">
        <f t="shared" si="6"/>
        <v>交通便捷度</v>
      </c>
      <c r="R14" s="667" t="s">
        <v>14</v>
      </c>
      <c r="S14" s="668">
        <f t="shared" si="0"/>
        <v>100</v>
      </c>
      <c r="T14" s="667" t="s">
        <v>14</v>
      </c>
      <c r="U14" s="668">
        <f t="shared" si="1"/>
        <v>100</v>
      </c>
      <c r="V14" s="667" t="s">
        <v>14</v>
      </c>
      <c r="W14" s="668">
        <f t="shared" si="2"/>
        <v>100</v>
      </c>
      <c r="X14" s="1265"/>
      <c r="Y14" s="3394"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95"/>
      <c r="Q15" s="1263"/>
      <c r="R15" s="667"/>
      <c r="S15" s="668"/>
      <c r="T15" s="667"/>
      <c r="U15" s="668"/>
      <c r="V15" s="667"/>
      <c r="W15" s="668"/>
      <c r="X15" s="1265"/>
      <c r="Y15" s="3395"/>
      <c r="Z15" s="1264"/>
      <c r="AA15" s="1264">
        <v>1</v>
      </c>
      <c r="AB15" s="1264">
        <v>1</v>
      </c>
      <c r="AC15" s="1264">
        <v>1</v>
      </c>
    </row>
    <row r="16" spans="1:29" ht="41.4">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95"/>
      <c r="Q17" s="1263"/>
      <c r="R17" s="667"/>
      <c r="S17" s="668"/>
      <c r="T17" s="667"/>
      <c r="U17" s="668"/>
      <c r="V17" s="667"/>
      <c r="W17" s="668"/>
      <c r="X17" s="1265"/>
      <c r="Y17" s="3395"/>
      <c r="Z17" s="1264"/>
      <c r="AA17" s="1264">
        <v>1</v>
      </c>
      <c r="AB17" s="1264">
        <v>1</v>
      </c>
      <c r="AC17" s="1264">
        <v>1</v>
      </c>
    </row>
    <row r="18" spans="1:29" ht="41.4">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95"/>
      <c r="Q19" s="1263"/>
      <c r="R19" s="667"/>
      <c r="S19" s="668"/>
      <c r="T19" s="667"/>
      <c r="U19" s="668"/>
      <c r="V19" s="667"/>
      <c r="W19" s="668"/>
      <c r="X19" s="1265"/>
      <c r="Y19" s="3395"/>
      <c r="Z19" s="1264"/>
      <c r="AA19" s="1264">
        <v>1</v>
      </c>
      <c r="AB19" s="1264">
        <v>1</v>
      </c>
      <c r="AC19" s="1264">
        <v>1</v>
      </c>
    </row>
    <row r="20" spans="1:29" ht="55.2">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95"/>
      <c r="Q21" s="1263"/>
      <c r="R21" s="667"/>
      <c r="S21" s="668"/>
      <c r="T21" s="667"/>
      <c r="U21" s="668"/>
      <c r="V21" s="667"/>
      <c r="W21" s="668"/>
      <c r="X21" s="1265"/>
      <c r="Y21" s="3395"/>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5"/>
      <c r="Q24" s="1263">
        <f t="shared" ref="Q24:Q36"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30">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2"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9"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9"/>
      <c r="Q27" s="531" t="str">
        <f t="shared" si="11"/>
        <v>项目停车位配比</v>
      </c>
      <c r="R27" s="669" t="s">
        <v>14</v>
      </c>
      <c r="S27" s="670">
        <f t="shared" si="12"/>
        <v>100</v>
      </c>
      <c r="T27" s="669" t="s">
        <v>14</v>
      </c>
      <c r="U27" s="670">
        <f t="shared" si="13"/>
        <v>100</v>
      </c>
      <c r="V27" s="669" t="s">
        <v>14</v>
      </c>
      <c r="W27" s="670">
        <f t="shared" si="14"/>
        <v>100</v>
      </c>
      <c r="X27" s="671"/>
      <c r="Y27" s="3399"/>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9"/>
      <c r="Q28" s="1263" t="str">
        <f t="shared" si="11"/>
        <v>公共部分装修</v>
      </c>
      <c r="R28" s="667" t="s">
        <v>14</v>
      </c>
      <c r="S28" s="668">
        <f t="shared" si="12"/>
        <v>100</v>
      </c>
      <c r="T28" s="667" t="s">
        <v>14</v>
      </c>
      <c r="U28" s="668">
        <f t="shared" si="13"/>
        <v>100</v>
      </c>
      <c r="V28" s="667" t="s">
        <v>14</v>
      </c>
      <c r="W28" s="668">
        <f t="shared" si="14"/>
        <v>100</v>
      </c>
      <c r="X28" s="1265"/>
      <c r="Y28" s="3399"/>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9"/>
      <c r="Q29" s="1263" t="str">
        <f t="shared" si="11"/>
        <v>成新率</v>
      </c>
      <c r="R29" s="667" t="s">
        <v>14</v>
      </c>
      <c r="S29" s="668" t="e">
        <f t="shared" si="12"/>
        <v>#N/A</v>
      </c>
      <c r="T29" s="667" t="s">
        <v>14</v>
      </c>
      <c r="U29" s="668" t="e">
        <f t="shared" si="13"/>
        <v>#N/A</v>
      </c>
      <c r="V29" s="667" t="s">
        <v>14</v>
      </c>
      <c r="W29" s="668" t="e">
        <f t="shared" si="14"/>
        <v>#N/A</v>
      </c>
      <c r="X29" s="1265"/>
      <c r="Y29" s="3399"/>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9"/>
      <c r="Q30" s="1263" t="str">
        <f t="shared" si="11"/>
        <v>物业等级</v>
      </c>
      <c r="R30" s="667" t="s">
        <v>14</v>
      </c>
      <c r="S30" s="668">
        <f t="shared" si="12"/>
        <v>100</v>
      </c>
      <c r="T30" s="667" t="s">
        <v>14</v>
      </c>
      <c r="U30" s="668">
        <f t="shared" si="13"/>
        <v>100</v>
      </c>
      <c r="V30" s="667" t="s">
        <v>14</v>
      </c>
      <c r="W30" s="668">
        <f t="shared" si="14"/>
        <v>100</v>
      </c>
      <c r="X30" s="1265"/>
      <c r="Y30" s="3399"/>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99"/>
      <c r="Q31" s="530" t="str">
        <f t="shared" si="11"/>
        <v>停车位面积</v>
      </c>
      <c r="R31" s="664" t="s">
        <v>14</v>
      </c>
      <c r="S31" s="665" t="e">
        <f t="shared" si="12"/>
        <v>#N/A</v>
      </c>
      <c r="T31" s="664" t="s">
        <v>14</v>
      </c>
      <c r="U31" s="665" t="e">
        <f t="shared" si="13"/>
        <v>#N/A</v>
      </c>
      <c r="V31" s="664" t="s">
        <v>14</v>
      </c>
      <c r="W31" s="665" t="e">
        <f t="shared" si="14"/>
        <v>#N/A</v>
      </c>
      <c r="X31" s="666"/>
      <c r="Y31" s="3399"/>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9" t="s">
        <v>1694</v>
      </c>
      <c r="Q32" s="1263" t="str">
        <f t="shared" si="11"/>
        <v>车位类型</v>
      </c>
      <c r="R32" s="667" t="s">
        <v>14</v>
      </c>
      <c r="S32" s="668">
        <f t="shared" si="12"/>
        <v>100</v>
      </c>
      <c r="T32" s="667" t="s">
        <v>14</v>
      </c>
      <c r="U32" s="668">
        <f t="shared" si="13"/>
        <v>100</v>
      </c>
      <c r="V32" s="667" t="s">
        <v>14</v>
      </c>
      <c r="W32" s="668">
        <f t="shared" si="14"/>
        <v>100</v>
      </c>
      <c r="X32" s="1265"/>
      <c r="Y32" s="3399"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9"/>
      <c r="Q33" s="1263" t="str">
        <f t="shared" si="11"/>
        <v>是否直接入户</v>
      </c>
      <c r="R33" s="667" t="s">
        <v>14</v>
      </c>
      <c r="S33" s="668">
        <f t="shared" si="12"/>
        <v>100</v>
      </c>
      <c r="T33" s="667" t="s">
        <v>14</v>
      </c>
      <c r="U33" s="668">
        <f t="shared" si="13"/>
        <v>100</v>
      </c>
      <c r="V33" s="667" t="s">
        <v>14</v>
      </c>
      <c r="W33" s="668">
        <f t="shared" si="14"/>
        <v>100</v>
      </c>
      <c r="X33" s="1265"/>
      <c r="Y33" s="339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9"/>
      <c r="Q35" s="531">
        <f t="shared" si="11"/>
        <v>111</v>
      </c>
      <c r="R35" s="669" t="s">
        <v>14</v>
      </c>
      <c r="S35" s="670">
        <f t="shared" si="12"/>
        <v>100</v>
      </c>
      <c r="T35" s="669" t="s">
        <v>14</v>
      </c>
      <c r="U35" s="670">
        <f t="shared" si="13"/>
        <v>100</v>
      </c>
      <c r="V35" s="669" t="s">
        <v>14</v>
      </c>
      <c r="W35" s="670">
        <f t="shared" si="14"/>
        <v>100</v>
      </c>
      <c r="X35" s="671"/>
      <c r="Y35" s="339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9"/>
      <c r="Q36" s="1263">
        <f t="shared" si="11"/>
        <v>111</v>
      </c>
      <c r="R36" s="667" t="s">
        <v>14</v>
      </c>
      <c r="S36" s="668">
        <f t="shared" si="12"/>
        <v>100</v>
      </c>
      <c r="T36" s="667" t="s">
        <v>14</v>
      </c>
      <c r="U36" s="668">
        <f t="shared" si="13"/>
        <v>100</v>
      </c>
      <c r="V36" s="667" t="s">
        <v>14</v>
      </c>
      <c r="W36" s="668">
        <f t="shared" si="14"/>
        <v>100</v>
      </c>
      <c r="X36" s="1265"/>
      <c r="Y36" s="3399"/>
      <c r="Z36" s="1264">
        <f t="shared" si="15"/>
        <v>111</v>
      </c>
      <c r="AA36" s="1264">
        <f t="shared" si="3"/>
        <v>1</v>
      </c>
      <c r="AB36" s="1264">
        <f t="shared" si="4"/>
        <v>1</v>
      </c>
      <c r="AC36" s="1264">
        <f t="shared" si="5"/>
        <v>1</v>
      </c>
    </row>
    <row r="37" spans="1:29" ht="14.4">
      <c r="A37" s="416" t="s">
        <v>1842</v>
      </c>
      <c r="B37" s="1821" t="s">
        <v>3352</v>
      </c>
      <c r="C37" s="1081" t="s">
        <v>0</v>
      </c>
      <c r="D37" s="418"/>
      <c r="E37" s="419"/>
      <c r="F37" s="420"/>
      <c r="G37" s="421"/>
      <c r="H37" s="422"/>
      <c r="I37" s="419"/>
      <c r="J37" s="422"/>
      <c r="K37" s="545"/>
      <c r="L37" s="2493"/>
      <c r="M37" s="2486"/>
      <c r="N37" s="2486"/>
      <c r="O37" s="2486"/>
      <c r="P37" s="3401" t="str">
        <f>A37</f>
        <v>成交单价</v>
      </c>
      <c r="Q37" s="3401"/>
      <c r="R37" s="3362">
        <f>E37</f>
        <v>0</v>
      </c>
      <c r="S37" s="3362"/>
      <c r="T37" s="3362">
        <f>G37</f>
        <v>0</v>
      </c>
      <c r="U37" s="3362"/>
      <c r="V37" s="3362">
        <f>I37</f>
        <v>0</v>
      </c>
      <c r="W37" s="3362"/>
      <c r="X37" s="385"/>
      <c r="Y37" s="673"/>
      <c r="Z37" s="385"/>
      <c r="AA37" s="385"/>
      <c r="AB37" s="385"/>
      <c r="AC37" s="385"/>
    </row>
    <row r="38" spans="1:29" ht="1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3"/>
      <c r="M38" s="2486"/>
      <c r="N38" s="2486"/>
      <c r="O38" s="2486"/>
      <c r="P38" s="3401" t="str">
        <f>A38</f>
        <v>比较价值（元/平方米）</v>
      </c>
      <c r="Q38" s="3401"/>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385"/>
      <c r="Y38" s="385"/>
      <c r="Z38" s="385"/>
      <c r="AA38" s="385"/>
      <c r="AB38" s="385"/>
      <c r="AC38" s="385"/>
    </row>
    <row r="39" spans="1:29" ht="15" thickBot="1">
      <c r="A39" s="427" t="s">
        <v>1844</v>
      </c>
      <c r="B39" s="428"/>
      <c r="C39" s="351" t="e">
        <f>R39</f>
        <v>#DIV/0!</v>
      </c>
      <c r="D39" s="351"/>
      <c r="E39" s="351"/>
      <c r="F39" s="351"/>
      <c r="G39" s="351"/>
      <c r="H39" s="351"/>
      <c r="I39" s="351"/>
      <c r="J39" s="351"/>
      <c r="K39" s="546"/>
      <c r="L39" s="2493"/>
      <c r="M39" s="2486"/>
      <c r="N39" s="2486"/>
      <c r="O39" s="2486"/>
      <c r="P39" s="3402" t="str">
        <f>A39</f>
        <v>估价对象XX用房的比较价值（楼面单价，元/平方米）</v>
      </c>
      <c r="Q39" s="3403"/>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1848</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1849</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1714</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1679</v>
      </c>
      <c r="B51" s="444"/>
      <c r="C51" s="456" t="s">
        <v>1774</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1717</v>
      </c>
      <c r="B53" s="460" t="s">
        <v>1683</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1686</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1725</v>
      </c>
      <c r="C65" s="509" t="s">
        <v>1719</v>
      </c>
      <c r="D65" s="509" t="s">
        <v>1720</v>
      </c>
      <c r="E65" s="509" t="s">
        <v>1721</v>
      </c>
      <c r="F65" s="509" t="s">
        <v>1722</v>
      </c>
      <c r="G65" s="509" t="s">
        <v>1723</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1811</v>
      </c>
      <c r="C67" s="581" t="s">
        <v>1797</v>
      </c>
      <c r="D67" s="581" t="s">
        <v>1798</v>
      </c>
      <c r="E67" s="581" t="s">
        <v>1799</v>
      </c>
      <c r="F67" s="581" t="s">
        <v>1800</v>
      </c>
      <c r="G67" s="581" t="s">
        <v>1801</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1731</v>
      </c>
      <c r="C69" s="509" t="s">
        <v>1719</v>
      </c>
      <c r="D69" s="509" t="s">
        <v>1720</v>
      </c>
      <c r="E69" s="509" t="s">
        <v>1721</v>
      </c>
      <c r="F69" s="509" t="s">
        <v>1722</v>
      </c>
      <c r="G69" s="509" t="s">
        <v>1723</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1850</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1692</v>
      </c>
      <c r="B79" s="460" t="s">
        <v>1851</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1852</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1738</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1854</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1856</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1857</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29" priority="13" stopIfTrue="1">
      <formula>$F$42="超过30%"</formula>
    </cfRule>
  </conditionalFormatting>
  <conditionalFormatting sqref="E43">
    <cfRule type="expression" dxfId="128" priority="11" stopIfTrue="1">
      <formula>$F$43="超过20%"</formula>
    </cfRule>
  </conditionalFormatting>
  <conditionalFormatting sqref="E44">
    <cfRule type="expression" dxfId="127" priority="10" stopIfTrue="1">
      <formula>$F$44="超过30%"</formula>
    </cfRule>
  </conditionalFormatting>
  <conditionalFormatting sqref="F7:F36 H7:H36 J7:J36">
    <cfRule type="cellIs" dxfId="126" priority="1" operator="notEqual">
      <formula>100</formula>
    </cfRule>
  </conditionalFormatting>
  <conditionalFormatting sqref="F38">
    <cfRule type="expression" dxfId="125" priority="4">
      <formula>$D$38="简单平均"</formula>
    </cfRule>
  </conditionalFormatting>
  <conditionalFormatting sqref="F42:F44 H42:H44 J42:J44">
    <cfRule type="containsText" dxfId="124" priority="14" stopIfTrue="1" operator="containsText" text="超过">
      <formula>NOT(ISERROR(SEARCH("超过",F42)))</formula>
    </cfRule>
  </conditionalFormatting>
  <conditionalFormatting sqref="G42">
    <cfRule type="expression" dxfId="123" priority="9" stopIfTrue="1">
      <formula>$H$52+$H$42="超过30%"</formula>
    </cfRule>
  </conditionalFormatting>
  <conditionalFormatting sqref="G43">
    <cfRule type="expression" dxfId="122" priority="8" stopIfTrue="1">
      <formula>$H$43="超过20%"</formula>
    </cfRule>
  </conditionalFormatting>
  <conditionalFormatting sqref="G44">
    <cfRule type="expression" dxfId="121" priority="12" stopIfTrue="1">
      <formula>$H$54+$H$44="超过30%"</formula>
    </cfRule>
  </conditionalFormatting>
  <conditionalFormatting sqref="H38">
    <cfRule type="expression" dxfId="120" priority="3">
      <formula>$D$38="简单平均"</formula>
    </cfRule>
  </conditionalFormatting>
  <conditionalFormatting sqref="I42">
    <cfRule type="expression" dxfId="119" priority="7" stopIfTrue="1">
      <formula>$J$52+$J$42="超过30%"</formula>
    </cfRule>
  </conditionalFormatting>
  <conditionalFormatting sqref="I43">
    <cfRule type="expression" dxfId="118" priority="6" stopIfTrue="1">
      <formula>$J$53+$J$43="超过20%"</formula>
    </cfRule>
  </conditionalFormatting>
  <conditionalFormatting sqref="I44">
    <cfRule type="expression" dxfId="117" priority="5" stopIfTrue="1">
      <formula>$J$44="超过30%"</formula>
    </cfRule>
  </conditionalFormatting>
  <conditionalFormatting sqref="J38">
    <cfRule type="expression" dxfId="116"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897</v>
      </c>
    </row>
    <row r="3" spans="1:1" ht="17.399999999999999">
      <c r="A3" s="1381" t="str">
        <f>项目基本情况!B5&amp;"："</f>
        <v>：</v>
      </c>
    </row>
    <row r="4" spans="1:1" ht="34.799999999999997">
      <c r="A4" s="1382" t="str">
        <f>"受贵公司委托，我公司对"&amp;项目基本情况!S1&amp;"进行了预评估。"</f>
        <v>受贵公司委托，我公司对北京市大兴区兴丰街（二段）36-60号（双号）2幢1至2层42、54、56号房地产抵押价值进行了预评估。</v>
      </c>
    </row>
    <row r="5" spans="1:1" ht="17.399999999999999">
      <c r="A5" s="1383" t="s">
        <v>898</v>
      </c>
    </row>
    <row r="6" spans="1:1" ht="17.399999999999999">
      <c r="A6" s="1384" t="s">
        <v>899</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兴丰街（二段）36-60号（双号）2幢1至2层42、54、56号房地产，为段磊所有。根据《国有土地使用证》[]，估价对象（分摊）出让国有建设用地使用权面积为0平方米，建筑面积为479.51平方米。</v>
      </c>
    </row>
    <row r="8" spans="1:1" ht="54.6">
      <c r="A8" s="1385" t="s">
        <v>900</v>
      </c>
    </row>
    <row r="9" spans="1:1" ht="17.399999999999999">
      <c r="A9" s="1384" t="s">
        <v>901</v>
      </c>
    </row>
    <row r="10" spans="1:1" ht="69.599999999999994">
      <c r="A10" s="1382" t="str">
        <f>"估价对象为"&amp;项目基本情况!S2&amp;IF('42号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兴丰街（二段）36-60号（双号）2幢1至2层42、54、56号房地产,属段磊开发建设的商业项目，该项目尚在开发建设中。根据《国有土地使用证》[]，估价对象（分摊）出让国有建设用地使用权面积为0平方米，规划建筑面积为479.51平方米。</v>
      </c>
    </row>
    <row r="11" spans="1:1" ht="72">
      <c r="A11" s="1385" t="s">
        <v>902</v>
      </c>
    </row>
    <row r="12" spans="1:1" ht="17.399999999999999">
      <c r="A12" s="1383" t="s">
        <v>903</v>
      </c>
    </row>
    <row r="13" spans="1:1" ht="38.25" customHeight="1">
      <c r="A13" s="1382" t="str">
        <f>IF(项目基本情况!B8="抵押",IF(项目基本情况!B5=项目基本情况!B6,定义!C51,定义!B51),定义!D51)</f>
        <v>拟使用北京市大兴区兴丰街（二段）36-60号（双号）2幢1至2层42、54、56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904</v>
      </c>
    </row>
    <row r="15" spans="1:1" ht="17.399999999999999">
      <c r="A15" s="1386" t="str">
        <f>TEXT(项目基本情况!D3,"yyyy年m月d日;;")&amp;IF(项目基本情况!D3=项目基本情况!B3,"（评估专业人员实地查勘之日）","")</f>
        <v>2024年12月9日（评估专业人员实地查勘之日）</v>
      </c>
    </row>
    <row r="16" spans="1:1" ht="17.399999999999999">
      <c r="A16" s="1381" t="s">
        <v>905</v>
      </c>
    </row>
    <row r="17" spans="1:1" ht="69.599999999999994">
      <c r="A17" s="1382" t="s">
        <v>906</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9日，估价对象规划用途为商业，土地取得方式为出让，出让国有建设用地使用权剩余土地使用年限为18.43，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42号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42号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18.43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895</v>
      </c>
    </row>
    <row r="24" spans="1:1" ht="17.399999999999999">
      <c r="A24" s="1387" t="str">
        <f>"本次评估采用的主估价方法为"&amp;'42号结果表'!K4&amp;"和"&amp;'42号结果表'!L4&amp;"。"</f>
        <v>本次评估采用的主估价方法为比较法和收益法。</v>
      </c>
    </row>
    <row r="25" spans="1:1" ht="17.399999999999999">
      <c r="A25" s="1387"/>
    </row>
    <row r="26" spans="1:1" ht="17.399999999999999">
      <c r="A26" s="1388"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1829</v>
      </c>
      <c r="B1" s="1140" t="s">
        <v>3333</v>
      </c>
      <c r="C1" s="1141" t="s">
        <v>1660</v>
      </c>
      <c r="D1" s="1142"/>
      <c r="E1" s="3130"/>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1767</v>
      </c>
      <c r="B4" s="346"/>
      <c r="C4" s="3378" t="s">
        <v>1768</v>
      </c>
      <c r="D4" s="3379"/>
      <c r="E4" s="3380" t="s">
        <v>1769</v>
      </c>
      <c r="F4" s="3381"/>
      <c r="G4" s="3378" t="s">
        <v>1770</v>
      </c>
      <c r="H4" s="3379"/>
      <c r="I4" s="3378" t="s">
        <v>1771</v>
      </c>
      <c r="J4" s="3379"/>
      <c r="K4" s="537" t="s">
        <v>1772</v>
      </c>
      <c r="L4" s="2485"/>
      <c r="M4" s="2486"/>
      <c r="N4" s="2486"/>
      <c r="O4" s="2486"/>
      <c r="P4" s="3382" t="s">
        <v>1773</v>
      </c>
      <c r="Q4" s="3383"/>
      <c r="R4" s="3365" t="s">
        <v>1769</v>
      </c>
      <c r="S4" s="3366"/>
      <c r="T4" s="3365" t="s">
        <v>1770</v>
      </c>
      <c r="U4" s="3366"/>
      <c r="V4" s="3362" t="s">
        <v>1771</v>
      </c>
      <c r="W4" s="3362"/>
      <c r="X4" s="1265"/>
      <c r="Y4" s="3365" t="s">
        <v>1773</v>
      </c>
      <c r="Z4" s="3366"/>
      <c r="AA4" s="3359" t="s">
        <v>1769</v>
      </c>
      <c r="AB4" s="3360" t="s">
        <v>1770</v>
      </c>
      <c r="AC4" s="3359" t="s">
        <v>1771</v>
      </c>
    </row>
    <row r="5" spans="1:29">
      <c r="A5" s="348"/>
      <c r="B5" s="349"/>
      <c r="C5" s="3371" t="s">
        <v>1671</v>
      </c>
      <c r="D5" s="3372"/>
      <c r="E5" s="3426" t="s">
        <v>1672</v>
      </c>
      <c r="F5" s="3370"/>
      <c r="G5" s="3371" t="s">
        <v>1673</v>
      </c>
      <c r="H5" s="3372"/>
      <c r="I5" s="3371" t="s">
        <v>1674</v>
      </c>
      <c r="J5" s="3372"/>
      <c r="K5" s="537"/>
      <c r="L5" s="2485"/>
      <c r="M5" s="2486"/>
      <c r="N5" s="2486"/>
      <c r="O5" s="2486"/>
      <c r="P5" s="3384"/>
      <c r="Q5" s="3385"/>
      <c r="R5" s="3367"/>
      <c r="S5" s="3368"/>
      <c r="T5" s="3367"/>
      <c r="U5" s="3368"/>
      <c r="V5" s="3362"/>
      <c r="W5" s="3362"/>
      <c r="X5" s="1265"/>
      <c r="Y5" s="3367"/>
      <c r="Z5" s="3368"/>
      <c r="AA5" s="3360"/>
      <c r="AB5" s="3360"/>
      <c r="AC5" s="3360"/>
    </row>
    <row r="6" spans="1:29" ht="15" thickBot="1">
      <c r="A6" s="350"/>
      <c r="B6" s="351"/>
      <c r="C6" s="3373" t="s">
        <v>1675</v>
      </c>
      <c r="D6" s="3374"/>
      <c r="E6" s="3375" t="s">
        <v>1675</v>
      </c>
      <c r="F6" s="3376"/>
      <c r="G6" s="3373" t="s">
        <v>1675</v>
      </c>
      <c r="H6" s="3374"/>
      <c r="I6" s="3373" t="s">
        <v>1675</v>
      </c>
      <c r="J6" s="3374"/>
      <c r="K6" s="537" t="s">
        <v>1676</v>
      </c>
      <c r="L6" s="2485"/>
      <c r="M6" s="2486"/>
      <c r="N6" s="2486"/>
      <c r="O6" s="2486"/>
      <c r="P6" s="3386"/>
      <c r="Q6" s="3387"/>
      <c r="R6" s="3367"/>
      <c r="S6" s="3368"/>
      <c r="T6" s="3388"/>
      <c r="U6" s="3389"/>
      <c r="V6" s="3362"/>
      <c r="W6" s="3362"/>
      <c r="X6" s="1265"/>
      <c r="Y6" s="3388"/>
      <c r="Z6" s="3389"/>
      <c r="AA6" s="3361"/>
      <c r="AB6" s="3361"/>
      <c r="AC6" s="3361"/>
    </row>
    <row r="7" spans="1:29" s="102" customFormat="1" ht="15" thickBot="1">
      <c r="A7" s="352" t="s">
        <v>1677</v>
      </c>
      <c r="B7" s="353"/>
      <c r="C7" s="354">
        <f>'数据-取费表'!B2</f>
        <v>45635</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63" t="s">
        <v>1678</v>
      </c>
      <c r="Q7" s="3391"/>
      <c r="R7" s="664" t="s">
        <v>14</v>
      </c>
      <c r="S7" s="665">
        <f t="shared" ref="S7:S14" si="0">F7</f>
        <v>0</v>
      </c>
      <c r="T7" s="664" t="s">
        <v>14</v>
      </c>
      <c r="U7" s="665">
        <f t="shared" ref="U7:U14" si="1">H7</f>
        <v>0</v>
      </c>
      <c r="V7" s="664" t="s">
        <v>14</v>
      </c>
      <c r="W7" s="665">
        <f t="shared" ref="W7:W14" si="2">J7</f>
        <v>0</v>
      </c>
      <c r="X7" s="666"/>
      <c r="Y7" s="3363" t="s">
        <v>1678</v>
      </c>
      <c r="Z7" s="3364"/>
      <c r="AA7" s="50" t="e">
        <f>D7/F7</f>
        <v>#DIV/0!</v>
      </c>
      <c r="AB7" s="50" t="e">
        <f>D7/H7</f>
        <v>#DIV/0!</v>
      </c>
      <c r="AC7" s="50" t="e">
        <f>D7/J7</f>
        <v>#DIV/0!</v>
      </c>
    </row>
    <row r="8" spans="1:29" s="102" customFormat="1" ht="1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63" t="s">
        <v>1681</v>
      </c>
      <c r="Q8" s="3364"/>
      <c r="R8" s="664" t="s">
        <v>14</v>
      </c>
      <c r="S8" s="665">
        <f t="shared" si="0"/>
        <v>100</v>
      </c>
      <c r="T8" s="664" t="s">
        <v>14</v>
      </c>
      <c r="U8" s="665">
        <f t="shared" si="1"/>
        <v>100</v>
      </c>
      <c r="V8" s="664" t="s">
        <v>14</v>
      </c>
      <c r="W8" s="665">
        <f t="shared" si="2"/>
        <v>100</v>
      </c>
      <c r="X8" s="666"/>
      <c r="Y8" s="3363" t="s">
        <v>1681</v>
      </c>
      <c r="Z8" s="3364"/>
      <c r="AA8" s="50">
        <f t="shared" ref="AA8:AA34" si="3">D8/F8</f>
        <v>1</v>
      </c>
      <c r="AB8" s="50">
        <f t="shared" ref="AB8:AB34" si="4">D8/H8</f>
        <v>1</v>
      </c>
      <c r="AC8" s="50">
        <f t="shared" ref="AC8:AC34" si="5">D8/J8</f>
        <v>1</v>
      </c>
    </row>
    <row r="9" spans="1:29" s="102" customFormat="1" ht="14.4">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01" t="s">
        <v>1684</v>
      </c>
      <c r="Q9" s="530" t="str">
        <f t="shared" ref="Q9:Q14" si="6">B9</f>
        <v>用途</v>
      </c>
      <c r="R9" s="664" t="s">
        <v>14</v>
      </c>
      <c r="S9" s="665">
        <f t="shared" si="0"/>
        <v>100</v>
      </c>
      <c r="T9" s="664" t="s">
        <v>14</v>
      </c>
      <c r="U9" s="665">
        <f t="shared" si="1"/>
        <v>100</v>
      </c>
      <c r="V9" s="664" t="s">
        <v>14</v>
      </c>
      <c r="W9" s="665">
        <f t="shared" si="2"/>
        <v>100</v>
      </c>
      <c r="X9" s="666"/>
      <c r="Y9" s="3327" t="s">
        <v>1685</v>
      </c>
      <c r="Z9" s="50" t="str">
        <f t="shared" ref="Z9:Z14" si="7">Q9</f>
        <v>用途</v>
      </c>
      <c r="AA9" s="50">
        <f t="shared" si="3"/>
        <v>1</v>
      </c>
      <c r="AB9" s="50">
        <f t="shared" si="4"/>
        <v>1</v>
      </c>
      <c r="AC9" s="50">
        <f t="shared" si="5"/>
        <v>1</v>
      </c>
    </row>
    <row r="10" spans="1:29" s="366" customFormat="1" ht="28.8">
      <c r="A10" s="363"/>
      <c r="B10" s="364" t="s">
        <v>1686</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1"/>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1"/>
      <c r="Q11" s="530">
        <f t="shared" si="6"/>
        <v>111</v>
      </c>
      <c r="R11" s="664" t="s">
        <v>14</v>
      </c>
      <c r="S11" s="665">
        <f t="shared" si="0"/>
        <v>100</v>
      </c>
      <c r="T11" s="664" t="s">
        <v>14</v>
      </c>
      <c r="U11" s="665">
        <f t="shared" si="1"/>
        <v>100</v>
      </c>
      <c r="V11" s="664" t="s">
        <v>14</v>
      </c>
      <c r="W11" s="665">
        <f t="shared" si="2"/>
        <v>100</v>
      </c>
      <c r="X11" s="666"/>
      <c r="Y11" s="332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01"/>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01"/>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96.6">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94" t="s">
        <v>1689</v>
      </c>
      <c r="Q14" s="1263" t="str">
        <f t="shared" si="6"/>
        <v>交通便捷度</v>
      </c>
      <c r="R14" s="667" t="s">
        <v>14</v>
      </c>
      <c r="S14" s="668">
        <f t="shared" si="0"/>
        <v>100</v>
      </c>
      <c r="T14" s="667" t="s">
        <v>14</v>
      </c>
      <c r="U14" s="668">
        <f t="shared" si="1"/>
        <v>100</v>
      </c>
      <c r="V14" s="667" t="s">
        <v>14</v>
      </c>
      <c r="W14" s="668">
        <f t="shared" si="2"/>
        <v>100</v>
      </c>
      <c r="X14" s="1265"/>
      <c r="Y14" s="3394"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95"/>
      <c r="Q15" s="1263"/>
      <c r="R15" s="667"/>
      <c r="S15" s="668"/>
      <c r="T15" s="667"/>
      <c r="U15" s="668"/>
      <c r="V15" s="667"/>
      <c r="W15" s="668"/>
      <c r="X15" s="1265"/>
      <c r="Y15" s="3395"/>
      <c r="Z15" s="1264"/>
      <c r="AA15" s="1264">
        <v>1</v>
      </c>
      <c r="AB15" s="1264">
        <v>1</v>
      </c>
      <c r="AC15" s="1264">
        <v>1</v>
      </c>
    </row>
    <row r="16" spans="1:29" ht="41.4">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95"/>
      <c r="Q17" s="1263"/>
      <c r="R17" s="667"/>
      <c r="S17" s="668"/>
      <c r="T17" s="667"/>
      <c r="U17" s="668"/>
      <c r="V17" s="667"/>
      <c r="W17" s="668"/>
      <c r="X17" s="1265"/>
      <c r="Y17" s="3395"/>
      <c r="Z17" s="1264"/>
      <c r="AA17" s="1264">
        <v>1</v>
      </c>
      <c r="AB17" s="1264">
        <v>1</v>
      </c>
      <c r="AC17" s="1264">
        <v>1</v>
      </c>
    </row>
    <row r="18" spans="1:29" ht="41.4">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95"/>
      <c r="Q19" s="1263"/>
      <c r="R19" s="667"/>
      <c r="S19" s="668"/>
      <c r="T19" s="667"/>
      <c r="U19" s="668"/>
      <c r="V19" s="667"/>
      <c r="W19" s="668"/>
      <c r="X19" s="1265"/>
      <c r="Y19" s="3395"/>
      <c r="Z19" s="1264"/>
      <c r="AA19" s="1264">
        <v>1</v>
      </c>
      <c r="AB19" s="1264">
        <v>1</v>
      </c>
      <c r="AC19" s="1264">
        <v>1</v>
      </c>
    </row>
    <row r="20" spans="1:29" ht="55.2">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95"/>
      <c r="Q21" s="1263"/>
      <c r="R21" s="667"/>
      <c r="S21" s="668"/>
      <c r="T21" s="667"/>
      <c r="U21" s="668"/>
      <c r="V21" s="667"/>
      <c r="W21" s="668"/>
      <c r="X21" s="1265"/>
      <c r="Y21" s="3395"/>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5"/>
      <c r="Q24" s="1263">
        <f t="shared" ref="Q24:Q34"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30">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2"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9"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9"/>
      <c r="Q27" s="531" t="str">
        <f t="shared" si="11"/>
        <v>成新率</v>
      </c>
      <c r="R27" s="669" t="s">
        <v>14</v>
      </c>
      <c r="S27" s="670" t="e">
        <f t="shared" si="12"/>
        <v>#N/A</v>
      </c>
      <c r="T27" s="669" t="s">
        <v>14</v>
      </c>
      <c r="U27" s="670" t="e">
        <f t="shared" si="13"/>
        <v>#N/A</v>
      </c>
      <c r="V27" s="669" t="s">
        <v>14</v>
      </c>
      <c r="W27" s="670" t="e">
        <f t="shared" si="14"/>
        <v>#N/A</v>
      </c>
      <c r="X27" s="671"/>
      <c r="Y27" s="3399"/>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9"/>
      <c r="Q28" s="1263" t="str">
        <f t="shared" si="11"/>
        <v>物业等级</v>
      </c>
      <c r="R28" s="667" t="s">
        <v>14</v>
      </c>
      <c r="S28" s="668">
        <f t="shared" si="12"/>
        <v>100</v>
      </c>
      <c r="T28" s="667" t="s">
        <v>14</v>
      </c>
      <c r="U28" s="668">
        <f t="shared" si="13"/>
        <v>100</v>
      </c>
      <c r="V28" s="667" t="s">
        <v>14</v>
      </c>
      <c r="W28" s="668">
        <f t="shared" si="14"/>
        <v>100</v>
      </c>
      <c r="X28" s="1265"/>
      <c r="Y28" s="3399"/>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9"/>
      <c r="Q29" s="1263" t="str">
        <f t="shared" si="11"/>
        <v>有无电梯</v>
      </c>
      <c r="R29" s="667" t="s">
        <v>14</v>
      </c>
      <c r="S29" s="668">
        <f t="shared" si="12"/>
        <v>100</v>
      </c>
      <c r="T29" s="667" t="s">
        <v>14</v>
      </c>
      <c r="U29" s="668">
        <f t="shared" si="13"/>
        <v>100</v>
      </c>
      <c r="V29" s="667" t="s">
        <v>14</v>
      </c>
      <c r="W29" s="668">
        <f t="shared" si="14"/>
        <v>100</v>
      </c>
      <c r="X29" s="1265"/>
      <c r="Y29" s="3399"/>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9"/>
      <c r="Q30" s="1263" t="str">
        <f t="shared" si="11"/>
        <v>建筑面积</v>
      </c>
      <c r="R30" s="667" t="s">
        <v>14</v>
      </c>
      <c r="S30" s="668" t="e">
        <f t="shared" si="12"/>
        <v>#N/A</v>
      </c>
      <c r="T30" s="667" t="s">
        <v>14</v>
      </c>
      <c r="U30" s="668" t="e">
        <f t="shared" si="13"/>
        <v>#N/A</v>
      </c>
      <c r="V30" s="667" t="s">
        <v>14</v>
      </c>
      <c r="W30" s="668" t="e">
        <f t="shared" si="14"/>
        <v>#N/A</v>
      </c>
      <c r="X30" s="1265"/>
      <c r="Y30" s="3399"/>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99"/>
      <c r="Q31" s="530" t="str">
        <f t="shared" si="11"/>
        <v>是否封闭</v>
      </c>
      <c r="R31" s="664" t="s">
        <v>14</v>
      </c>
      <c r="S31" s="665">
        <f t="shared" si="12"/>
        <v>100</v>
      </c>
      <c r="T31" s="664" t="s">
        <v>14</v>
      </c>
      <c r="U31" s="665">
        <f t="shared" si="13"/>
        <v>100</v>
      </c>
      <c r="V31" s="664" t="s">
        <v>14</v>
      </c>
      <c r="W31" s="665">
        <f t="shared" si="14"/>
        <v>100</v>
      </c>
      <c r="X31" s="666"/>
      <c r="Y31" s="339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9" t="s">
        <v>1694</v>
      </c>
      <c r="Q32" s="1263">
        <f t="shared" si="11"/>
        <v>111</v>
      </c>
      <c r="R32" s="667" t="s">
        <v>14</v>
      </c>
      <c r="S32" s="668">
        <f t="shared" si="12"/>
        <v>100</v>
      </c>
      <c r="T32" s="667" t="s">
        <v>14</v>
      </c>
      <c r="U32" s="668">
        <f t="shared" si="13"/>
        <v>100</v>
      </c>
      <c r="V32" s="667" t="s">
        <v>14</v>
      </c>
      <c r="W32" s="668">
        <f t="shared" si="14"/>
        <v>100</v>
      </c>
      <c r="X32" s="1265"/>
      <c r="Y32" s="3399"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9"/>
      <c r="Q33" s="1263">
        <f t="shared" si="11"/>
        <v>111</v>
      </c>
      <c r="R33" s="667" t="s">
        <v>14</v>
      </c>
      <c r="S33" s="668">
        <f t="shared" si="12"/>
        <v>100</v>
      </c>
      <c r="T33" s="667" t="s">
        <v>14</v>
      </c>
      <c r="U33" s="668">
        <f t="shared" si="13"/>
        <v>100</v>
      </c>
      <c r="V33" s="667" t="s">
        <v>14</v>
      </c>
      <c r="W33" s="668">
        <f t="shared" si="14"/>
        <v>100</v>
      </c>
      <c r="X33" s="1265"/>
      <c r="Y33" s="339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30" ht="14.4">
      <c r="A35" s="416" t="s">
        <v>1706</v>
      </c>
      <c r="B35" s="417"/>
      <c r="C35" s="1081" t="s">
        <v>0</v>
      </c>
      <c r="D35" s="418"/>
      <c r="E35" s="419"/>
      <c r="F35" s="420"/>
      <c r="G35" s="421"/>
      <c r="H35" s="422"/>
      <c r="I35" s="419"/>
      <c r="J35" s="422"/>
      <c r="K35" s="674"/>
      <c r="L35" s="2493"/>
      <c r="M35" s="2486"/>
      <c r="N35" s="2486"/>
      <c r="O35" s="2486"/>
      <c r="P35" s="3401" t="str">
        <f>A35</f>
        <v>成交单价（元/平方米）</v>
      </c>
      <c r="Q35" s="3401"/>
      <c r="R35" s="3362">
        <f>E35</f>
        <v>0</v>
      </c>
      <c r="S35" s="3362"/>
      <c r="T35" s="3362">
        <f>G35</f>
        <v>0</v>
      </c>
      <c r="U35" s="3362"/>
      <c r="V35" s="3362">
        <f>I35</f>
        <v>0</v>
      </c>
      <c r="W35" s="3362"/>
      <c r="X35" s="385"/>
      <c r="Y35" s="673"/>
      <c r="Z35" s="385"/>
      <c r="AA35" s="385"/>
      <c r="AB35" s="385"/>
      <c r="AC35" s="385"/>
    </row>
    <row r="36" spans="1:30" ht="15" thickBot="1">
      <c r="A36" s="423" t="s">
        <v>1791</v>
      </c>
      <c r="B36" s="424"/>
      <c r="C36" s="1082" t="e">
        <f>R37</f>
        <v>#DIV/0!</v>
      </c>
      <c r="D36" s="2141" t="s">
        <v>2136</v>
      </c>
      <c r="E36" s="1083" t="e">
        <f>R36</f>
        <v>#DIV/0!</v>
      </c>
      <c r="F36" s="2142"/>
      <c r="G36" s="1082" t="e">
        <f>T36</f>
        <v>#DIV/0!</v>
      </c>
      <c r="H36" s="2142"/>
      <c r="I36" s="1083" t="e">
        <f>V36</f>
        <v>#DIV/0!</v>
      </c>
      <c r="J36" s="2142"/>
      <c r="K36" s="2144">
        <f>F36+H36+J36</f>
        <v>0</v>
      </c>
      <c r="L36" s="2493"/>
      <c r="M36" s="2486"/>
      <c r="N36" s="2486"/>
      <c r="O36" s="2486"/>
      <c r="P36" s="3401" t="str">
        <f>A36</f>
        <v>比较价值（元/平方米）</v>
      </c>
      <c r="Q36" s="3401"/>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385"/>
      <c r="Y36" s="385"/>
      <c r="Z36" s="385"/>
      <c r="AA36" s="385"/>
      <c r="AB36" s="385"/>
      <c r="AC36" s="385"/>
    </row>
    <row r="37" spans="1:30" ht="15" thickBot="1">
      <c r="A37" s="427" t="s">
        <v>1792</v>
      </c>
      <c r="B37" s="428"/>
      <c r="C37" s="351" t="e">
        <f>R37</f>
        <v>#DIV/0!</v>
      </c>
      <c r="D37" s="351"/>
      <c r="E37" s="351"/>
      <c r="F37" s="351"/>
      <c r="G37" s="351"/>
      <c r="H37" s="351"/>
      <c r="I37" s="351"/>
      <c r="J37" s="351"/>
      <c r="K37" s="675"/>
      <c r="L37" s="2493"/>
      <c r="M37" s="2486"/>
      <c r="N37" s="2486"/>
      <c r="O37" s="2486"/>
      <c r="P37" s="3402" t="str">
        <f>A37</f>
        <v>估价对象XX用房的比较价值（楼面单价，元/平方米）</v>
      </c>
      <c r="Q37" s="3403"/>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1796</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1677</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1714</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1679</v>
      </c>
      <c r="B49" s="444"/>
      <c r="C49" s="456" t="s">
        <v>1774</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1717</v>
      </c>
      <c r="B51" s="460" t="s">
        <v>1683</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1686</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1861</v>
      </c>
      <c r="C63" s="509" t="s">
        <v>1719</v>
      </c>
      <c r="D63" s="509" t="s">
        <v>1720</v>
      </c>
      <c r="E63" s="509" t="s">
        <v>1721</v>
      </c>
      <c r="F63" s="509" t="s">
        <v>1722</v>
      </c>
      <c r="G63" s="509" t="s">
        <v>1723</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1811</v>
      </c>
      <c r="C65" s="581" t="s">
        <v>1797</v>
      </c>
      <c r="D65" s="581" t="s">
        <v>1798</v>
      </c>
      <c r="E65" s="581" t="s">
        <v>1799</v>
      </c>
      <c r="F65" s="581" t="s">
        <v>1800</v>
      </c>
      <c r="G65" s="581" t="s">
        <v>1801</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1731</v>
      </c>
      <c r="C67" s="509" t="s">
        <v>1719</v>
      </c>
      <c r="D67" s="509" t="s">
        <v>1720</v>
      </c>
      <c r="E67" s="509" t="s">
        <v>1721</v>
      </c>
      <c r="F67" s="509" t="s">
        <v>1722</v>
      </c>
      <c r="G67" s="509" t="s">
        <v>1723</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1850</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1692</v>
      </c>
      <c r="B77" s="460" t="s">
        <v>1738</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1854</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1862</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1864</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115" priority="13" stopIfTrue="1">
      <formula>$F$40="超过30%"</formula>
    </cfRule>
  </conditionalFormatting>
  <conditionalFormatting sqref="E41">
    <cfRule type="expression" dxfId="114" priority="11" stopIfTrue="1">
      <formula>$F$41="超过20%"</formula>
    </cfRule>
  </conditionalFormatting>
  <conditionalFormatting sqref="E42">
    <cfRule type="expression" dxfId="113" priority="10" stopIfTrue="1">
      <formula>$F$42="超过30%"</formula>
    </cfRule>
  </conditionalFormatting>
  <conditionalFormatting sqref="F7:F34 H7:H34 J7:J34">
    <cfRule type="cellIs" dxfId="112" priority="1" operator="notEqual">
      <formula>100</formula>
    </cfRule>
  </conditionalFormatting>
  <conditionalFormatting sqref="F36">
    <cfRule type="expression" dxfId="111" priority="4">
      <formula>$D$36="简单平均"</formula>
    </cfRule>
  </conditionalFormatting>
  <conditionalFormatting sqref="F40:F42 H40:H42 J40:J42">
    <cfRule type="containsText" dxfId="110" priority="14" stopIfTrue="1" operator="containsText" text="超过">
      <formula>NOT(ISERROR(SEARCH("超过",F40)))</formula>
    </cfRule>
  </conditionalFormatting>
  <conditionalFormatting sqref="G40">
    <cfRule type="expression" dxfId="109" priority="9" stopIfTrue="1">
      <formula>$H$52+$H$40="超过30%"</formula>
    </cfRule>
  </conditionalFormatting>
  <conditionalFormatting sqref="G41">
    <cfRule type="expression" dxfId="108" priority="8" stopIfTrue="1">
      <formula>$H$53+$H$41="超过20%"</formula>
    </cfRule>
  </conditionalFormatting>
  <conditionalFormatting sqref="G42">
    <cfRule type="expression" dxfId="107" priority="12" stopIfTrue="1">
      <formula>$H$54+$H$42="超过30%"</formula>
    </cfRule>
  </conditionalFormatting>
  <conditionalFormatting sqref="H36">
    <cfRule type="expression" dxfId="106" priority="3">
      <formula>$D$36="简单平均"</formula>
    </cfRule>
  </conditionalFormatting>
  <conditionalFormatting sqref="I40">
    <cfRule type="expression" dxfId="105" priority="7" stopIfTrue="1">
      <formula>$J$40="超过30%"</formula>
    </cfRule>
  </conditionalFormatting>
  <conditionalFormatting sqref="I41">
    <cfRule type="expression" dxfId="104" priority="6" stopIfTrue="1">
      <formula>$J$41="超过20%"</formula>
    </cfRule>
  </conditionalFormatting>
  <conditionalFormatting sqref="I42">
    <cfRule type="expression" dxfId="103" priority="5" stopIfTrue="1">
      <formula>$J$42="超过30%"</formula>
    </cfRule>
  </conditionalFormatting>
  <conditionalFormatting sqref="J36">
    <cfRule type="expression" dxfId="102"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1767</v>
      </c>
      <c r="B4" s="346"/>
      <c r="C4" s="3378" t="s">
        <v>1768</v>
      </c>
      <c r="D4" s="3379"/>
      <c r="E4" s="3380" t="s">
        <v>1769</v>
      </c>
      <c r="F4" s="3381"/>
      <c r="G4" s="3378" t="s">
        <v>1770</v>
      </c>
      <c r="H4" s="3379"/>
      <c r="I4" s="3378" t="s">
        <v>1771</v>
      </c>
      <c r="J4" s="3379"/>
      <c r="K4" s="537" t="s">
        <v>1772</v>
      </c>
      <c r="L4" s="2485"/>
      <c r="M4" s="2486"/>
      <c r="N4" s="2486"/>
      <c r="O4" s="2486"/>
      <c r="P4" s="3382" t="s">
        <v>1773</v>
      </c>
      <c r="Q4" s="3383"/>
      <c r="R4" s="3365" t="s">
        <v>1769</v>
      </c>
      <c r="S4" s="3366"/>
      <c r="T4" s="3365" t="s">
        <v>1770</v>
      </c>
      <c r="U4" s="3366"/>
      <c r="V4" s="3362" t="s">
        <v>1771</v>
      </c>
      <c r="W4" s="3362"/>
      <c r="X4" s="1265"/>
      <c r="Y4" s="3365" t="s">
        <v>1773</v>
      </c>
      <c r="Z4" s="3366"/>
      <c r="AA4" s="3359" t="s">
        <v>1769</v>
      </c>
      <c r="AB4" s="3360" t="s">
        <v>1770</v>
      </c>
      <c r="AC4" s="3359" t="s">
        <v>1771</v>
      </c>
    </row>
    <row r="5" spans="1:29">
      <c r="A5" s="348"/>
      <c r="B5" s="349"/>
      <c r="C5" s="3371" t="s">
        <v>1671</v>
      </c>
      <c r="D5" s="3372"/>
      <c r="E5" s="3426" t="s">
        <v>1672</v>
      </c>
      <c r="F5" s="3370"/>
      <c r="G5" s="3371" t="s">
        <v>1673</v>
      </c>
      <c r="H5" s="3372"/>
      <c r="I5" s="3371" t="s">
        <v>1674</v>
      </c>
      <c r="J5" s="3372"/>
      <c r="K5" s="537"/>
      <c r="L5" s="2485"/>
      <c r="M5" s="2486"/>
      <c r="N5" s="2486"/>
      <c r="O5" s="2486"/>
      <c r="P5" s="3384"/>
      <c r="Q5" s="3385"/>
      <c r="R5" s="3367"/>
      <c r="S5" s="3368"/>
      <c r="T5" s="3367"/>
      <c r="U5" s="3368"/>
      <c r="V5" s="3362"/>
      <c r="W5" s="3362"/>
      <c r="X5" s="1265"/>
      <c r="Y5" s="3367"/>
      <c r="Z5" s="3368"/>
      <c r="AA5" s="3360"/>
      <c r="AB5" s="3360"/>
      <c r="AC5" s="3360"/>
    </row>
    <row r="6" spans="1:29" ht="15" thickBot="1">
      <c r="A6" s="350"/>
      <c r="B6" s="351"/>
      <c r="C6" s="3373" t="s">
        <v>1675</v>
      </c>
      <c r="D6" s="3374"/>
      <c r="E6" s="3375" t="s">
        <v>1675</v>
      </c>
      <c r="F6" s="3376"/>
      <c r="G6" s="3373" t="s">
        <v>1675</v>
      </c>
      <c r="H6" s="3374"/>
      <c r="I6" s="3373" t="s">
        <v>1675</v>
      </c>
      <c r="J6" s="3374"/>
      <c r="K6" s="537" t="s">
        <v>1676</v>
      </c>
      <c r="L6" s="2485"/>
      <c r="M6" s="2486"/>
      <c r="N6" s="2486"/>
      <c r="O6" s="2486"/>
      <c r="P6" s="3386"/>
      <c r="Q6" s="3387"/>
      <c r="R6" s="3367"/>
      <c r="S6" s="3368"/>
      <c r="T6" s="3388"/>
      <c r="U6" s="3389"/>
      <c r="V6" s="3362"/>
      <c r="W6" s="3362"/>
      <c r="X6" s="1265"/>
      <c r="Y6" s="3388"/>
      <c r="Z6" s="3389"/>
      <c r="AA6" s="3361"/>
      <c r="AB6" s="3361"/>
      <c r="AC6" s="3361"/>
    </row>
    <row r="7" spans="1:29" s="102" customFormat="1" ht="15" thickBot="1">
      <c r="A7" s="352" t="s">
        <v>1677</v>
      </c>
      <c r="B7" s="353"/>
      <c r="C7" s="354">
        <f>'数据-取费表'!B2</f>
        <v>45635</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63" t="s">
        <v>1678</v>
      </c>
      <c r="Q7" s="3391"/>
      <c r="R7" s="664" t="s">
        <v>14</v>
      </c>
      <c r="S7" s="665">
        <f t="shared" ref="S7:S15" si="0">F7</f>
        <v>0</v>
      </c>
      <c r="T7" s="664" t="s">
        <v>14</v>
      </c>
      <c r="U7" s="665">
        <f t="shared" ref="U7:U15" si="1">H7</f>
        <v>0</v>
      </c>
      <c r="V7" s="664" t="s">
        <v>14</v>
      </c>
      <c r="W7" s="665">
        <f t="shared" ref="W7:W15" si="2">J7</f>
        <v>0</v>
      </c>
      <c r="X7" s="666"/>
      <c r="Y7" s="3363" t="s">
        <v>1678</v>
      </c>
      <c r="Z7" s="3364"/>
      <c r="AA7" s="50" t="e">
        <f>D7/F7</f>
        <v>#DIV/0!</v>
      </c>
      <c r="AB7" s="50" t="e">
        <f>D7/H7</f>
        <v>#DIV/0!</v>
      </c>
      <c r="AC7" s="50" t="e">
        <f>D7/J7</f>
        <v>#DIV/0!</v>
      </c>
    </row>
    <row r="8" spans="1:29" s="102" customFormat="1" ht="1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63" t="s">
        <v>1681</v>
      </c>
      <c r="Q8" s="3364"/>
      <c r="R8" s="664" t="s">
        <v>14</v>
      </c>
      <c r="S8" s="665">
        <f t="shared" si="0"/>
        <v>0</v>
      </c>
      <c r="T8" s="664" t="s">
        <v>14</v>
      </c>
      <c r="U8" s="665">
        <f t="shared" si="1"/>
        <v>0</v>
      </c>
      <c r="V8" s="664" t="s">
        <v>14</v>
      </c>
      <c r="W8" s="665">
        <f t="shared" si="2"/>
        <v>0</v>
      </c>
      <c r="X8" s="666"/>
      <c r="Y8" s="3363" t="s">
        <v>1681</v>
      </c>
      <c r="Z8" s="3364"/>
      <c r="AA8" s="50" t="e">
        <f t="shared" ref="AA8:AA45" si="3">D8/F8</f>
        <v>#DIV/0!</v>
      </c>
      <c r="AB8" s="50" t="e">
        <f t="shared" ref="AB8:AB45" si="4">D8/H8</f>
        <v>#DIV/0!</v>
      </c>
      <c r="AC8" s="50" t="e">
        <f t="shared" ref="AC8:AC45" si="5">D8/J8</f>
        <v>#DIV/0!</v>
      </c>
    </row>
    <row r="9" spans="1:29" s="102" customFormat="1" ht="14.4">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01" t="s">
        <v>1684</v>
      </c>
      <c r="Q9" s="530" t="str">
        <f t="shared" ref="Q9:Q15" si="6">B9</f>
        <v>用途</v>
      </c>
      <c r="R9" s="664" t="s">
        <v>14</v>
      </c>
      <c r="S9" s="665">
        <f t="shared" si="0"/>
        <v>100</v>
      </c>
      <c r="T9" s="664" t="s">
        <v>14</v>
      </c>
      <c r="U9" s="665">
        <f t="shared" si="1"/>
        <v>100</v>
      </c>
      <c r="V9" s="664" t="s">
        <v>14</v>
      </c>
      <c r="W9" s="665">
        <f t="shared" si="2"/>
        <v>100</v>
      </c>
      <c r="X9" s="666"/>
      <c r="Y9" s="3327" t="s">
        <v>1685</v>
      </c>
      <c r="Z9" s="50" t="str">
        <f t="shared" ref="Z9:Z15" si="7">Q9</f>
        <v>用途</v>
      </c>
      <c r="AA9" s="50">
        <f t="shared" si="3"/>
        <v>1</v>
      </c>
      <c r="AB9" s="50">
        <f t="shared" si="4"/>
        <v>1</v>
      </c>
      <c r="AC9" s="50">
        <f t="shared" si="5"/>
        <v>1</v>
      </c>
    </row>
    <row r="10" spans="1:29" s="366" customFormat="1" ht="28.8">
      <c r="A10" s="363"/>
      <c r="B10" s="364" t="s">
        <v>1686</v>
      </c>
      <c r="C10" s="371"/>
      <c r="D10" s="119">
        <v>100</v>
      </c>
      <c r="E10" s="403"/>
      <c r="F10" s="119">
        <f>ROUND(100/'数据-取费表'!G16,0)</f>
        <v>145</v>
      </c>
      <c r="G10" s="402"/>
      <c r="H10" s="119">
        <f>ROUND(100/'数据-取费表'!G16,0)</f>
        <v>145</v>
      </c>
      <c r="I10" s="402"/>
      <c r="J10" s="119">
        <f>ROUND(100/'数据-取费表'!G16,0)</f>
        <v>145</v>
      </c>
      <c r="K10" s="592"/>
      <c r="L10" s="2488"/>
      <c r="M10" s="2489"/>
      <c r="N10" s="2489"/>
      <c r="O10" s="2540"/>
      <c r="P10" s="3401"/>
      <c r="Q10" s="530" t="str">
        <f t="shared" si="6"/>
        <v>土地使用年限（年）</v>
      </c>
      <c r="R10" s="664" t="s">
        <v>14</v>
      </c>
      <c r="S10" s="665">
        <f t="shared" si="0"/>
        <v>145</v>
      </c>
      <c r="T10" s="664" t="s">
        <v>14</v>
      </c>
      <c r="U10" s="665">
        <f t="shared" si="1"/>
        <v>145</v>
      </c>
      <c r="V10" s="664" t="s">
        <v>14</v>
      </c>
      <c r="W10" s="665">
        <f t="shared" si="2"/>
        <v>145</v>
      </c>
      <c r="X10" s="666"/>
      <c r="Y10" s="3327"/>
      <c r="Z10" s="50" t="str">
        <f t="shared" si="7"/>
        <v>土地使用年限（年）</v>
      </c>
      <c r="AA10" s="50">
        <f t="shared" si="3"/>
        <v>0.68965517241379315</v>
      </c>
      <c r="AB10" s="50">
        <f t="shared" si="4"/>
        <v>0.68965517241379315</v>
      </c>
      <c r="AC10" s="50">
        <f t="shared" si="5"/>
        <v>0.68965517241379315</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01"/>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01"/>
      <c r="Q12" s="530" t="str">
        <f t="shared" si="6"/>
        <v>配建</v>
      </c>
      <c r="R12" s="664" t="s">
        <v>14</v>
      </c>
      <c r="S12" s="665">
        <f t="shared" si="0"/>
        <v>100</v>
      </c>
      <c r="T12" s="664" t="s">
        <v>14</v>
      </c>
      <c r="U12" s="665">
        <f t="shared" si="1"/>
        <v>100</v>
      </c>
      <c r="V12" s="664" t="s">
        <v>14</v>
      </c>
      <c r="W12" s="665">
        <f t="shared" si="2"/>
        <v>100</v>
      </c>
      <c r="X12" s="666"/>
      <c r="Y12" s="332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01"/>
      <c r="Q13" s="530">
        <f t="shared" si="6"/>
        <v>111</v>
      </c>
      <c r="R13" s="664" t="s">
        <v>14</v>
      </c>
      <c r="S13" s="665">
        <f t="shared" si="0"/>
        <v>100</v>
      </c>
      <c r="T13" s="664" t="s">
        <v>14</v>
      </c>
      <c r="U13" s="665">
        <f t="shared" si="1"/>
        <v>100</v>
      </c>
      <c r="V13" s="664" t="s">
        <v>14</v>
      </c>
      <c r="W13" s="665">
        <f t="shared" si="2"/>
        <v>100</v>
      </c>
      <c r="X13" s="666"/>
      <c r="Y13" s="3327"/>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01"/>
      <c r="Q14" s="530">
        <f t="shared" si="6"/>
        <v>111</v>
      </c>
      <c r="R14" s="664" t="s">
        <v>14</v>
      </c>
      <c r="S14" s="665">
        <f t="shared" si="0"/>
        <v>100</v>
      </c>
      <c r="T14" s="664" t="s">
        <v>14</v>
      </c>
      <c r="U14" s="665">
        <f t="shared" si="1"/>
        <v>100</v>
      </c>
      <c r="V14" s="664" t="s">
        <v>14</v>
      </c>
      <c r="W14" s="665">
        <f t="shared" si="2"/>
        <v>100</v>
      </c>
      <c r="X14" s="666"/>
      <c r="Y14" s="3327"/>
      <c r="Z14" s="50">
        <f t="shared" si="7"/>
        <v>111</v>
      </c>
      <c r="AA14" s="50">
        <f>D14/F14</f>
        <v>1</v>
      </c>
      <c r="AB14" s="50">
        <f>D14/H14</f>
        <v>1</v>
      </c>
      <c r="AC14" s="50">
        <f>D14/J14</f>
        <v>1</v>
      </c>
    </row>
    <row r="15" spans="1:29" ht="96.6">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94" t="s">
        <v>1689</v>
      </c>
      <c r="Q15" s="1263" t="str">
        <f t="shared" si="6"/>
        <v>居住社区成熟度</v>
      </c>
      <c r="R15" s="667" t="s">
        <v>14</v>
      </c>
      <c r="S15" s="668">
        <f t="shared" si="0"/>
        <v>100</v>
      </c>
      <c r="T15" s="667" t="s">
        <v>14</v>
      </c>
      <c r="U15" s="668">
        <f t="shared" si="1"/>
        <v>100</v>
      </c>
      <c r="V15" s="667" t="s">
        <v>14</v>
      </c>
      <c r="W15" s="668">
        <f t="shared" si="2"/>
        <v>100</v>
      </c>
      <c r="X15" s="1265"/>
      <c r="Y15" s="3394"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95"/>
      <c r="Q16" s="1263"/>
      <c r="R16" s="667"/>
      <c r="S16" s="668"/>
      <c r="T16" s="667"/>
      <c r="U16" s="668"/>
      <c r="V16" s="667"/>
      <c r="W16" s="668"/>
      <c r="X16" s="1265"/>
      <c r="Y16" s="3395"/>
      <c r="Z16" s="1264"/>
      <c r="AA16" s="1264">
        <v>1</v>
      </c>
      <c r="AB16" s="1264">
        <v>1</v>
      </c>
      <c r="AC16" s="1264">
        <v>1</v>
      </c>
    </row>
    <row r="17" spans="1:29" ht="82.8">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5"/>
      <c r="Q17" s="1263" t="str">
        <f>B17</f>
        <v>商业繁华度</v>
      </c>
      <c r="R17" s="667" t="s">
        <v>14</v>
      </c>
      <c r="S17" s="668">
        <f>F17</f>
        <v>100</v>
      </c>
      <c r="T17" s="667" t="s">
        <v>14</v>
      </c>
      <c r="U17" s="668">
        <f>H17</f>
        <v>100</v>
      </c>
      <c r="V17" s="667" t="s">
        <v>14</v>
      </c>
      <c r="W17" s="668">
        <f>J17</f>
        <v>100</v>
      </c>
      <c r="X17" s="1265"/>
      <c r="Y17" s="339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95"/>
      <c r="Q18" s="1263"/>
      <c r="R18" s="667"/>
      <c r="S18" s="668"/>
      <c r="T18" s="667"/>
      <c r="U18" s="668"/>
      <c r="V18" s="667"/>
      <c r="W18" s="668"/>
      <c r="X18" s="1265"/>
      <c r="Y18" s="3395"/>
      <c r="Z18" s="1264"/>
      <c r="AA18" s="1264">
        <v>1</v>
      </c>
      <c r="AB18" s="1264">
        <v>1</v>
      </c>
      <c r="AC18" s="1264">
        <v>1</v>
      </c>
    </row>
    <row r="19" spans="1:29" ht="82.8">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5"/>
      <c r="Q19" s="1263" t="str">
        <f>B19</f>
        <v>办公集聚程度</v>
      </c>
      <c r="R19" s="667" t="s">
        <v>14</v>
      </c>
      <c r="S19" s="668">
        <f>F19</f>
        <v>100</v>
      </c>
      <c r="T19" s="667" t="s">
        <v>14</v>
      </c>
      <c r="U19" s="668">
        <f>H19</f>
        <v>100</v>
      </c>
      <c r="V19" s="667" t="s">
        <v>14</v>
      </c>
      <c r="W19" s="668">
        <f>J19</f>
        <v>100</v>
      </c>
      <c r="X19" s="1265"/>
      <c r="Y19" s="339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95"/>
      <c r="Q20" s="1263"/>
      <c r="R20" s="667"/>
      <c r="S20" s="668"/>
      <c r="T20" s="667"/>
      <c r="U20" s="668"/>
      <c r="V20" s="667"/>
      <c r="W20" s="668"/>
      <c r="X20" s="1265"/>
      <c r="Y20" s="3395"/>
      <c r="Z20" s="1264"/>
      <c r="AA20" s="1264">
        <v>1</v>
      </c>
      <c r="AB20" s="1264">
        <v>1</v>
      </c>
      <c r="AC20" s="1264">
        <v>1</v>
      </c>
    </row>
    <row r="21" spans="1:29" ht="96.6">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5"/>
      <c r="Q21" s="1263" t="str">
        <f>B21</f>
        <v>交通便捷度</v>
      </c>
      <c r="R21" s="667" t="s">
        <v>14</v>
      </c>
      <c r="S21" s="668">
        <f>F21</f>
        <v>100</v>
      </c>
      <c r="T21" s="667" t="s">
        <v>14</v>
      </c>
      <c r="U21" s="668">
        <f>H21</f>
        <v>100</v>
      </c>
      <c r="V21" s="667" t="s">
        <v>14</v>
      </c>
      <c r="W21" s="668">
        <f>J21</f>
        <v>100</v>
      </c>
      <c r="X21" s="1265"/>
      <c r="Y21" s="339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95"/>
      <c r="Q22" s="1263"/>
      <c r="R22" s="667"/>
      <c r="S22" s="668"/>
      <c r="T22" s="667"/>
      <c r="U22" s="668"/>
      <c r="V22" s="667"/>
      <c r="W22" s="668"/>
      <c r="X22" s="1265"/>
      <c r="Y22" s="3395"/>
      <c r="Z22" s="1264"/>
      <c r="AA22" s="1264">
        <v>1</v>
      </c>
      <c r="AB22" s="1264">
        <v>1</v>
      </c>
      <c r="AC22" s="1264">
        <v>1</v>
      </c>
    </row>
    <row r="23" spans="1:29" ht="28.8">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5"/>
      <c r="Q23" s="1263" t="str">
        <f t="shared" ref="Q23:Q37" si="8">B23</f>
        <v>区域土地利用方向</v>
      </c>
      <c r="R23" s="667" t="s">
        <v>14</v>
      </c>
      <c r="S23" s="668">
        <f>F23</f>
        <v>100</v>
      </c>
      <c r="T23" s="667" t="s">
        <v>14</v>
      </c>
      <c r="U23" s="668">
        <f>H23</f>
        <v>100</v>
      </c>
      <c r="V23" s="667" t="s">
        <v>14</v>
      </c>
      <c r="W23" s="668">
        <f>J23</f>
        <v>100</v>
      </c>
      <c r="X23" s="1265"/>
      <c r="Y23" s="339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95"/>
      <c r="Q24" s="1263"/>
      <c r="R24" s="667"/>
      <c r="S24" s="668"/>
      <c r="T24" s="667"/>
      <c r="U24" s="668"/>
      <c r="V24" s="667"/>
      <c r="W24" s="668"/>
      <c r="X24" s="1265"/>
      <c r="Y24" s="3395"/>
      <c r="Z24" s="1264"/>
      <c r="AA24" s="1264"/>
      <c r="AB24" s="1264"/>
      <c r="AC24" s="1264"/>
    </row>
    <row r="25" spans="1:29" ht="55.2">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5"/>
      <c r="Q25" s="1263" t="str">
        <f t="shared" si="8"/>
        <v>自然及人文环境状况</v>
      </c>
      <c r="R25" s="667" t="s">
        <v>14</v>
      </c>
      <c r="S25" s="668">
        <f>F25</f>
        <v>100</v>
      </c>
      <c r="T25" s="667" t="s">
        <v>14</v>
      </c>
      <c r="U25" s="668">
        <f>H25</f>
        <v>100</v>
      </c>
      <c r="V25" s="667" t="s">
        <v>14</v>
      </c>
      <c r="W25" s="668">
        <f>J25</f>
        <v>100</v>
      </c>
      <c r="X25" s="1265"/>
      <c r="Y25" s="339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95"/>
      <c r="Q26" s="1263"/>
      <c r="R26" s="667"/>
      <c r="S26" s="668"/>
      <c r="T26" s="667"/>
      <c r="U26" s="668"/>
      <c r="V26" s="667"/>
      <c r="W26" s="668"/>
      <c r="X26" s="1265"/>
      <c r="Y26" s="3395"/>
      <c r="Z26" s="1264"/>
      <c r="AA26" s="1264">
        <v>1</v>
      </c>
      <c r="AB26" s="1264">
        <v>1</v>
      </c>
      <c r="AC26" s="1264">
        <v>1</v>
      </c>
    </row>
    <row r="27" spans="1:29" s="102" customFormat="1" ht="41.4">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95"/>
      <c r="Q27" s="530" t="str">
        <f t="shared" si="8"/>
        <v>公共配套设施</v>
      </c>
      <c r="R27" s="664" t="s">
        <v>14</v>
      </c>
      <c r="S27" s="665">
        <f>F27</f>
        <v>100</v>
      </c>
      <c r="T27" s="664" t="s">
        <v>14</v>
      </c>
      <c r="U27" s="665">
        <f>H27</f>
        <v>100</v>
      </c>
      <c r="V27" s="664" t="s">
        <v>14</v>
      </c>
      <c r="W27" s="665">
        <f>J27</f>
        <v>100</v>
      </c>
      <c r="X27" s="666"/>
      <c r="Y27" s="339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95"/>
      <c r="Q28" s="530"/>
      <c r="R28" s="664"/>
      <c r="S28" s="665"/>
      <c r="T28" s="664"/>
      <c r="U28" s="665"/>
      <c r="V28" s="664"/>
      <c r="W28" s="665"/>
      <c r="X28" s="666"/>
      <c r="Y28" s="3395"/>
      <c r="Z28" s="50"/>
      <c r="AA28" s="1264">
        <v>1</v>
      </c>
      <c r="AB28" s="1264">
        <v>1</v>
      </c>
      <c r="AC28" s="1264">
        <v>1</v>
      </c>
    </row>
    <row r="29" spans="1:29" s="102" customFormat="1" ht="41.4">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95"/>
      <c r="Q29" s="530" t="str">
        <f t="shared" ref="Q29" si="9">B29</f>
        <v>基础设施水平</v>
      </c>
      <c r="R29" s="664" t="s">
        <v>14</v>
      </c>
      <c r="S29" s="665">
        <f>F29</f>
        <v>100</v>
      </c>
      <c r="T29" s="664" t="s">
        <v>14</v>
      </c>
      <c r="U29" s="665">
        <f>H29</f>
        <v>100</v>
      </c>
      <c r="V29" s="664" t="s">
        <v>14</v>
      </c>
      <c r="W29" s="665">
        <f>J29</f>
        <v>100</v>
      </c>
      <c r="X29" s="666"/>
      <c r="Y29" s="339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95"/>
      <c r="Q30" s="530"/>
      <c r="R30" s="664"/>
      <c r="S30" s="665"/>
      <c r="T30" s="664"/>
      <c r="U30" s="665"/>
      <c r="V30" s="664"/>
      <c r="W30" s="665"/>
      <c r="X30" s="666"/>
      <c r="Y30" s="3395"/>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5"/>
      <c r="Z31" s="1264" t="str">
        <f t="shared" ref="Z31:Z45" si="13">Q31</f>
        <v>临街状况</v>
      </c>
      <c r="AA31" s="1264">
        <f t="shared" si="3"/>
        <v>1</v>
      </c>
      <c r="AB31" s="1264">
        <f t="shared" si="4"/>
        <v>1</v>
      </c>
      <c r="AC31" s="1264">
        <f t="shared" si="5"/>
        <v>1</v>
      </c>
    </row>
    <row r="32" spans="1:29" ht="28.8">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5"/>
      <c r="Q32" s="1263" t="str">
        <f t="shared" si="8"/>
        <v>毗邻道路的类型与等级</v>
      </c>
      <c r="R32" s="667" t="s">
        <v>14</v>
      </c>
      <c r="S32" s="668">
        <f t="shared" si="10"/>
        <v>100</v>
      </c>
      <c r="T32" s="667" t="s">
        <v>14</v>
      </c>
      <c r="U32" s="668">
        <f t="shared" si="11"/>
        <v>100</v>
      </c>
      <c r="V32" s="667" t="s">
        <v>14</v>
      </c>
      <c r="W32" s="668">
        <f t="shared" si="12"/>
        <v>100</v>
      </c>
      <c r="X32" s="1265"/>
      <c r="Y32" s="339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95"/>
      <c r="Q33" s="1263"/>
      <c r="R33" s="667"/>
      <c r="S33" s="668"/>
      <c r="T33" s="667"/>
      <c r="U33" s="668"/>
      <c r="V33" s="667"/>
      <c r="W33" s="668"/>
      <c r="X33" s="1265"/>
      <c r="Y33" s="3395"/>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5"/>
      <c r="Q34" s="1263" t="str">
        <f t="shared" si="8"/>
        <v>土地级别</v>
      </c>
      <c r="R34" s="667" t="s">
        <v>14</v>
      </c>
      <c r="S34" s="668">
        <f t="shared" si="10"/>
        <v>100</v>
      </c>
      <c r="T34" s="667" t="s">
        <v>14</v>
      </c>
      <c r="U34" s="668">
        <f t="shared" si="11"/>
        <v>100</v>
      </c>
      <c r="V34" s="667" t="s">
        <v>14</v>
      </c>
      <c r="W34" s="668">
        <f t="shared" si="12"/>
        <v>100</v>
      </c>
      <c r="X34" s="1265"/>
      <c r="Y34" s="339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5"/>
      <c r="Q35" s="1263">
        <f t="shared" si="8"/>
        <v>111</v>
      </c>
      <c r="R35" s="667" t="s">
        <v>14</v>
      </c>
      <c r="S35" s="668">
        <f t="shared" si="10"/>
        <v>100</v>
      </c>
      <c r="T35" s="667" t="s">
        <v>14</v>
      </c>
      <c r="U35" s="668">
        <f t="shared" si="11"/>
        <v>100</v>
      </c>
      <c r="V35" s="667" t="s">
        <v>14</v>
      </c>
      <c r="W35" s="668">
        <f t="shared" si="12"/>
        <v>100</v>
      </c>
      <c r="X35" s="1265"/>
      <c r="Y35" s="339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2" t="s">
        <v>1694</v>
      </c>
      <c r="Q36" s="1263">
        <f t="shared" si="8"/>
        <v>111</v>
      </c>
      <c r="R36" s="667" t="s">
        <v>14</v>
      </c>
      <c r="S36" s="668">
        <f t="shared" si="10"/>
        <v>100</v>
      </c>
      <c r="T36" s="667" t="s">
        <v>14</v>
      </c>
      <c r="U36" s="668">
        <f t="shared" si="11"/>
        <v>100</v>
      </c>
      <c r="V36" s="667" t="s">
        <v>14</v>
      </c>
      <c r="W36" s="668">
        <f t="shared" si="12"/>
        <v>100</v>
      </c>
      <c r="X36" s="1265"/>
      <c r="Y36" s="3399" t="s">
        <v>1694</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9"/>
      <c r="Q37" s="1263">
        <f t="shared" si="8"/>
        <v>111</v>
      </c>
      <c r="R37" s="669" t="s">
        <v>14</v>
      </c>
      <c r="S37" s="670">
        <f t="shared" si="10"/>
        <v>100</v>
      </c>
      <c r="T37" s="669" t="s">
        <v>14</v>
      </c>
      <c r="U37" s="670">
        <f t="shared" si="11"/>
        <v>100</v>
      </c>
      <c r="V37" s="669" t="s">
        <v>14</v>
      </c>
      <c r="W37" s="670">
        <f t="shared" si="12"/>
        <v>100</v>
      </c>
      <c r="X37" s="671"/>
      <c r="Y37" s="3399"/>
      <c r="Z37" s="672">
        <f t="shared" si="13"/>
        <v>111</v>
      </c>
      <c r="AA37" s="1264">
        <f t="shared" si="3"/>
        <v>1</v>
      </c>
      <c r="AB37" s="1264">
        <f t="shared" si="4"/>
        <v>1</v>
      </c>
      <c r="AC37" s="1264">
        <f t="shared" si="5"/>
        <v>1</v>
      </c>
    </row>
    <row r="38" spans="1:29" ht="15.6">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9"/>
      <c r="Q38" s="1263" t="str">
        <f>B38</f>
        <v>宗地面积</v>
      </c>
      <c r="R38" s="667" t="s">
        <v>14</v>
      </c>
      <c r="S38" s="668" t="e">
        <f t="shared" si="10"/>
        <v>#N/A</v>
      </c>
      <c r="T38" s="667" t="s">
        <v>14</v>
      </c>
      <c r="U38" s="668" t="e">
        <f t="shared" si="11"/>
        <v>#N/A</v>
      </c>
      <c r="V38" s="667" t="s">
        <v>14</v>
      </c>
      <c r="W38" s="668" t="e">
        <f t="shared" si="12"/>
        <v>#N/A</v>
      </c>
      <c r="X38" s="1265"/>
      <c r="Y38" s="3399"/>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9"/>
      <c r="Q39" s="1263" t="str">
        <f t="shared" ref="Q39:Q45" si="14">B39</f>
        <v>宗地形状</v>
      </c>
      <c r="R39" s="667" t="s">
        <v>14</v>
      </c>
      <c r="S39" s="668">
        <f t="shared" si="10"/>
        <v>100</v>
      </c>
      <c r="T39" s="667" t="s">
        <v>14</v>
      </c>
      <c r="U39" s="668">
        <f t="shared" si="11"/>
        <v>100</v>
      </c>
      <c r="V39" s="667" t="s">
        <v>14</v>
      </c>
      <c r="W39" s="668">
        <f t="shared" si="12"/>
        <v>100</v>
      </c>
      <c r="X39" s="1265"/>
      <c r="Y39" s="3399"/>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9"/>
      <c r="Q40" s="1263" t="str">
        <f t="shared" si="14"/>
        <v>临街宽度及深度</v>
      </c>
      <c r="R40" s="667" t="s">
        <v>14</v>
      </c>
      <c r="S40" s="668">
        <f t="shared" si="10"/>
        <v>100</v>
      </c>
      <c r="T40" s="667" t="s">
        <v>14</v>
      </c>
      <c r="U40" s="668">
        <f t="shared" si="11"/>
        <v>100</v>
      </c>
      <c r="V40" s="667" t="s">
        <v>14</v>
      </c>
      <c r="W40" s="668">
        <f t="shared" si="12"/>
        <v>100</v>
      </c>
      <c r="X40" s="1265"/>
      <c r="Y40" s="3399"/>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99"/>
      <c r="Q41" s="1263" t="str">
        <f t="shared" si="14"/>
        <v>宗地开发程度</v>
      </c>
      <c r="R41" s="664" t="s">
        <v>14</v>
      </c>
      <c r="S41" s="665">
        <f t="shared" si="10"/>
        <v>100</v>
      </c>
      <c r="T41" s="664" t="s">
        <v>14</v>
      </c>
      <c r="U41" s="665">
        <f t="shared" si="11"/>
        <v>100</v>
      </c>
      <c r="V41" s="664" t="s">
        <v>14</v>
      </c>
      <c r="W41" s="665">
        <f t="shared" si="12"/>
        <v>100</v>
      </c>
      <c r="X41" s="666"/>
      <c r="Y41" s="3399"/>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9" t="s">
        <v>1694</v>
      </c>
      <c r="Q42" s="1263" t="str">
        <f t="shared" si="14"/>
        <v>工程地质条件</v>
      </c>
      <c r="R42" s="667" t="s">
        <v>14</v>
      </c>
      <c r="S42" s="668">
        <f t="shared" si="10"/>
        <v>100</v>
      </c>
      <c r="T42" s="667" t="s">
        <v>14</v>
      </c>
      <c r="U42" s="668">
        <f t="shared" si="11"/>
        <v>100</v>
      </c>
      <c r="V42" s="667" t="s">
        <v>14</v>
      </c>
      <c r="W42" s="668">
        <f t="shared" si="12"/>
        <v>100</v>
      </c>
      <c r="X42" s="1265"/>
      <c r="Y42" s="3399"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9"/>
      <c r="Q43" s="1263">
        <f t="shared" si="14"/>
        <v>111</v>
      </c>
      <c r="R43" s="667" t="s">
        <v>14</v>
      </c>
      <c r="S43" s="668">
        <f t="shared" si="10"/>
        <v>100</v>
      </c>
      <c r="T43" s="667" t="s">
        <v>14</v>
      </c>
      <c r="U43" s="668">
        <f t="shared" si="11"/>
        <v>100</v>
      </c>
      <c r="V43" s="667" t="s">
        <v>14</v>
      </c>
      <c r="W43" s="668">
        <f t="shared" si="12"/>
        <v>100</v>
      </c>
      <c r="X43" s="1265"/>
      <c r="Y43" s="339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9"/>
      <c r="Q44" s="1263">
        <f t="shared" si="14"/>
        <v>111</v>
      </c>
      <c r="R44" s="667" t="s">
        <v>14</v>
      </c>
      <c r="S44" s="668">
        <f t="shared" si="10"/>
        <v>100</v>
      </c>
      <c r="T44" s="667" t="s">
        <v>14</v>
      </c>
      <c r="U44" s="668">
        <f t="shared" si="11"/>
        <v>100</v>
      </c>
      <c r="V44" s="667" t="s">
        <v>14</v>
      </c>
      <c r="W44" s="668">
        <f t="shared" si="12"/>
        <v>100</v>
      </c>
      <c r="X44" s="1265"/>
      <c r="Y44" s="339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9"/>
      <c r="Q45" s="1263">
        <f t="shared" si="14"/>
        <v>111</v>
      </c>
      <c r="R45" s="669" t="s">
        <v>14</v>
      </c>
      <c r="S45" s="670">
        <f t="shared" si="10"/>
        <v>100</v>
      </c>
      <c r="T45" s="669" t="s">
        <v>14</v>
      </c>
      <c r="U45" s="670">
        <f t="shared" si="11"/>
        <v>100</v>
      </c>
      <c r="V45" s="669" t="s">
        <v>14</v>
      </c>
      <c r="W45" s="670">
        <f t="shared" si="12"/>
        <v>100</v>
      </c>
      <c r="X45" s="671"/>
      <c r="Y45" s="3399"/>
      <c r="Z45" s="672">
        <f t="shared" si="13"/>
        <v>111</v>
      </c>
      <c r="AA45" s="1264">
        <f t="shared" si="3"/>
        <v>1</v>
      </c>
      <c r="AB45" s="1264">
        <f t="shared" si="4"/>
        <v>1</v>
      </c>
      <c r="AC45" s="1264">
        <f t="shared" si="5"/>
        <v>1</v>
      </c>
    </row>
    <row r="46" spans="1:29" ht="14.4">
      <c r="A46" s="416" t="s">
        <v>1842</v>
      </c>
      <c r="B46" s="1830" t="s">
        <v>1877</v>
      </c>
      <c r="C46" s="602" t="s">
        <v>0</v>
      </c>
      <c r="D46" s="418"/>
      <c r="E46" s="419"/>
      <c r="F46" s="420"/>
      <c r="G46" s="421"/>
      <c r="H46" s="422"/>
      <c r="I46" s="419"/>
      <c r="J46" s="422"/>
      <c r="K46" s="674"/>
      <c r="L46" s="2493"/>
      <c r="M46" s="2486"/>
      <c r="N46" s="2486"/>
      <c r="O46" s="2486"/>
      <c r="P46" s="3401" t="str">
        <f>A46</f>
        <v>成交单价</v>
      </c>
      <c r="Q46" s="3401"/>
      <c r="R46" s="3362">
        <f>E46</f>
        <v>0</v>
      </c>
      <c r="S46" s="3362"/>
      <c r="T46" s="3362">
        <f>G46</f>
        <v>0</v>
      </c>
      <c r="U46" s="3362"/>
      <c r="V46" s="3362">
        <f>I46</f>
        <v>0</v>
      </c>
      <c r="W46" s="3362"/>
      <c r="X46" s="385"/>
      <c r="Y46" s="673"/>
      <c r="Z46" s="385"/>
      <c r="AA46" s="385"/>
      <c r="AB46" s="385"/>
      <c r="AC46" s="385"/>
    </row>
    <row r="47" spans="1:29" ht="15" thickBot="1">
      <c r="A47" s="423" t="s">
        <v>1791</v>
      </c>
      <c r="B47" s="603"/>
      <c r="C47" s="426" t="e">
        <f>R48</f>
        <v>#DIV/0!</v>
      </c>
      <c r="D47" s="2141" t="s">
        <v>2136</v>
      </c>
      <c r="E47" s="426" t="e">
        <f>R47</f>
        <v>#DIV/0!</v>
      </c>
      <c r="F47" s="2142"/>
      <c r="G47" s="425" t="e">
        <f>T47</f>
        <v>#DIV/0!</v>
      </c>
      <c r="H47" s="2142"/>
      <c r="I47" s="426" t="e">
        <f>V47</f>
        <v>#DIV/0!</v>
      </c>
      <c r="J47" s="2142"/>
      <c r="K47" s="2144">
        <f>F47+H47+J47</f>
        <v>0</v>
      </c>
      <c r="L47" s="2493"/>
      <c r="M47" s="2486"/>
      <c r="N47" s="2486"/>
      <c r="O47" s="2486"/>
      <c r="P47" s="3401" t="str">
        <f>A47</f>
        <v>比较价值（元/平方米）</v>
      </c>
      <c r="Q47" s="3401"/>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5" thickBot="1">
      <c r="A48" s="427" t="s">
        <v>1878</v>
      </c>
      <c r="B48" s="428"/>
      <c r="C48" s="429" t="e">
        <f>R48</f>
        <v>#DIV/0!</v>
      </c>
      <c r="D48" s="429"/>
      <c r="E48" s="429"/>
      <c r="F48" s="429"/>
      <c r="G48" s="429"/>
      <c r="H48" s="429"/>
      <c r="I48" s="429"/>
      <c r="J48" s="429"/>
      <c r="K48" s="675"/>
      <c r="L48" s="2493"/>
      <c r="M48" s="2486"/>
      <c r="N48" s="2486"/>
      <c r="O48" s="2486"/>
      <c r="P48" s="3402" t="str">
        <f>A48</f>
        <v>估价对象XX用房的比较价值（楼面单价，元/平方米）</v>
      </c>
      <c r="Q48" s="3403"/>
      <c r="R48" s="3445" t="e">
        <f>ROUND(IF(D47="简单平均",AVERAGE(R47:W47),R47*F47+T47*H47+V47*J47),0)</f>
        <v>#DIV/0!</v>
      </c>
      <c r="S48" s="3445"/>
      <c r="T48" s="3445"/>
      <c r="U48" s="3445"/>
      <c r="V48" s="3445"/>
      <c r="W48" s="344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1879</v>
      </c>
      <c r="B55" s="605" t="s">
        <v>1880</v>
      </c>
      <c r="C55" s="1831" t="s">
        <v>1881</v>
      </c>
      <c r="D55" s="1832" t="s">
        <v>1882</v>
      </c>
      <c r="E55" s="606" t="s">
        <v>1883</v>
      </c>
      <c r="F55" s="837" t="s">
        <v>1884</v>
      </c>
      <c r="G55" s="3378" t="s">
        <v>1885</v>
      </c>
      <c r="H55" s="3446"/>
      <c r="I55" s="127" t="s">
        <v>1886</v>
      </c>
      <c r="J55" s="1833">
        <f>项目基本情况!F35</f>
        <v>0</v>
      </c>
      <c r="K55" s="1834" t="s">
        <v>1887</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1888</v>
      </c>
      <c r="B56" s="609" t="e">
        <f>C48</f>
        <v>#DIV/0!</v>
      </c>
      <c r="C56" s="610">
        <v>1</v>
      </c>
      <c r="D56" s="890">
        <v>1</v>
      </c>
      <c r="E56" s="610">
        <f>'数据-汇总表'!E8+'数据-汇总表'!E9</f>
        <v>479.51</v>
      </c>
      <c r="F56" s="833" t="e">
        <f t="shared" ref="F56:F64" si="15">ROUND(B56*E56/10000,0)</f>
        <v>#DIV/0!</v>
      </c>
      <c r="G56" s="3377"/>
      <c r="H56" s="3401"/>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1889</v>
      </c>
      <c r="B57" s="210" t="e">
        <f>ROUND($C$48*C57*D57,0)</f>
        <v>#DIV/0!</v>
      </c>
      <c r="C57" s="163">
        <f t="shared" ref="C57:C64" si="16">IF($C$55="北京市系数",I57,J57)</f>
        <v>0.6</v>
      </c>
      <c r="D57" s="891">
        <v>0.25</v>
      </c>
      <c r="E57" s="614"/>
      <c r="F57" s="833" t="e">
        <f t="shared" si="15"/>
        <v>#DIV/0!</v>
      </c>
      <c r="G57" s="2749" t="s">
        <v>1890</v>
      </c>
      <c r="H57" s="834" t="str">
        <f>项目基本情况!B37</f>
        <v>六级</v>
      </c>
      <c r="I57" s="838">
        <f>SUMIF(修正!A57:A68,H57,修正!B57:B68)</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1891</v>
      </c>
      <c r="B58" s="210" t="e">
        <f t="shared" ref="B58:B64" si="17">ROUND($C$48*C58*D58,0)</f>
        <v>#DIV/0!</v>
      </c>
      <c r="C58" s="163">
        <f t="shared" si="16"/>
        <v>0.3</v>
      </c>
      <c r="D58" s="891">
        <v>0.25</v>
      </c>
      <c r="E58" s="614"/>
      <c r="F58" s="833" t="e">
        <f t="shared" si="15"/>
        <v>#DIV/0!</v>
      </c>
      <c r="G58" s="2750"/>
      <c r="H58" s="834" t="str">
        <f>项目基本情况!B37</f>
        <v>六级</v>
      </c>
      <c r="I58" s="838">
        <f>SUMIF(修正!A57:A68,H58,修正!C57:C68)</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1892</v>
      </c>
      <c r="B59" s="210" t="e">
        <f t="shared" si="17"/>
        <v>#DIV/0!</v>
      </c>
      <c r="C59" s="163">
        <f t="shared" si="16"/>
        <v>0.25</v>
      </c>
      <c r="D59" s="891">
        <v>0.25</v>
      </c>
      <c r="E59" s="614"/>
      <c r="F59" s="833" t="e">
        <f t="shared" si="15"/>
        <v>#DIV/0!</v>
      </c>
      <c r="G59" s="2750"/>
      <c r="H59" s="834" t="str">
        <f>项目基本情况!B37</f>
        <v>六级</v>
      </c>
      <c r="I59" s="838">
        <f>SUMIF(修正!A57:A68,H59,修正!D57:D68)</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1899</v>
      </c>
      <c r="B63" s="210" t="e">
        <f t="shared" si="17"/>
        <v>#DIV/0!</v>
      </c>
      <c r="C63" s="163">
        <f t="shared" si="16"/>
        <v>0.15</v>
      </c>
      <c r="D63" s="891">
        <v>0.25</v>
      </c>
      <c r="E63" s="209">
        <f>'数据-汇总表'!E14</f>
        <v>0</v>
      </c>
      <c r="F63" s="833" t="e">
        <f t="shared" si="15"/>
        <v>#DIV/0!</v>
      </c>
      <c r="G63" s="1835" t="s">
        <v>1890</v>
      </c>
      <c r="H63" s="834" t="str">
        <f>项目基本情况!B37</f>
        <v>六级</v>
      </c>
      <c r="I63" s="838">
        <f>SUMIF(修正!A57:A68,H63,修正!G57:G68)</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1901</v>
      </c>
      <c r="B65" s="616" t="s">
        <v>22</v>
      </c>
      <c r="C65" s="616" t="s">
        <v>23</v>
      </c>
      <c r="D65" s="616" t="s">
        <v>392</v>
      </c>
      <c r="E65" s="616">
        <f>IF(B46="楼面地价",SUM(E56:E64),'数据-汇总表'!D3)</f>
        <v>479.51</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6"/>
      <c r="Q67" s="2486"/>
      <c r="R67" s="2486"/>
      <c r="S67" s="2486"/>
      <c r="T67" s="2486"/>
      <c r="U67" s="2486"/>
      <c r="V67" s="2486"/>
      <c r="W67" s="2486"/>
      <c r="X67" s="2486"/>
      <c r="Y67" s="2486"/>
      <c r="Z67" s="2486"/>
      <c r="AA67" s="2486"/>
      <c r="AB67" s="2486"/>
      <c r="AC67" s="2486"/>
    </row>
    <row r="68" spans="1:29" ht="22.2" thickBot="1">
      <c r="A68" s="658" t="s">
        <v>1796</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1902</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1714</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1679</v>
      </c>
      <c r="B72" s="444"/>
      <c r="C72" s="456" t="s">
        <v>1774</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1717</v>
      </c>
      <c r="B74" s="460" t="s">
        <v>1683</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1686</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1688</v>
      </c>
      <c r="B87" s="460" t="s">
        <v>1718</v>
      </c>
      <c r="C87" s="504" t="s">
        <v>1719</v>
      </c>
      <c r="D87" s="504" t="s">
        <v>1720</v>
      </c>
      <c r="E87" s="504" t="s">
        <v>1721</v>
      </c>
      <c r="F87" s="504" t="s">
        <v>1722</v>
      </c>
      <c r="G87" s="504" t="s">
        <v>1723</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1904</v>
      </c>
      <c r="C89" s="509" t="s">
        <v>1719</v>
      </c>
      <c r="D89" s="509" t="s">
        <v>1720</v>
      </c>
      <c r="E89" s="509" t="s">
        <v>1721</v>
      </c>
      <c r="F89" s="509" t="s">
        <v>1722</v>
      </c>
      <c r="G89" s="509" t="s">
        <v>1723</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1819</v>
      </c>
      <c r="C91" s="509" t="s">
        <v>1719</v>
      </c>
      <c r="D91" s="509" t="s">
        <v>1720</v>
      </c>
      <c r="E91" s="509" t="s">
        <v>1721</v>
      </c>
      <c r="F91" s="509" t="s">
        <v>1722</v>
      </c>
      <c r="G91" s="509" t="s">
        <v>1723</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1724</v>
      </c>
      <c r="C93" s="509" t="s">
        <v>1719</v>
      </c>
      <c r="D93" s="509" t="s">
        <v>1720</v>
      </c>
      <c r="E93" s="509" t="s">
        <v>1721</v>
      </c>
      <c r="F93" s="509" t="s">
        <v>1722</v>
      </c>
      <c r="G93" s="509" t="s">
        <v>1723</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1905</v>
      </c>
      <c r="C95" s="509" t="s">
        <v>1719</v>
      </c>
      <c r="D95" s="509" t="s">
        <v>1720</v>
      </c>
      <c r="E95" s="509" t="s">
        <v>1721</v>
      </c>
      <c r="F95" s="509" t="s">
        <v>1722</v>
      </c>
      <c r="G95" s="509" t="s">
        <v>1723</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1906</v>
      </c>
      <c r="C97" s="504" t="s">
        <v>1719</v>
      </c>
      <c r="D97" s="504" t="s">
        <v>1720</v>
      </c>
      <c r="E97" s="504" t="s">
        <v>1721</v>
      </c>
      <c r="F97" s="504" t="s">
        <v>1722</v>
      </c>
      <c r="G97" s="504" t="s">
        <v>1723</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1776</v>
      </c>
      <c r="C99" s="504" t="s">
        <v>1719</v>
      </c>
      <c r="D99" s="504" t="s">
        <v>1720</v>
      </c>
      <c r="E99" s="504" t="s">
        <v>1721</v>
      </c>
      <c r="F99" s="504" t="s">
        <v>1722</v>
      </c>
      <c r="G99" s="504" t="s">
        <v>1723</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1777</v>
      </c>
      <c r="C101" s="581" t="s">
        <v>1797</v>
      </c>
      <c r="D101" s="581" t="s">
        <v>1798</v>
      </c>
      <c r="E101" s="581" t="s">
        <v>1799</v>
      </c>
      <c r="F101" s="581" t="s">
        <v>1800</v>
      </c>
      <c r="G101" s="581" t="s">
        <v>1801</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1907</v>
      </c>
      <c r="D103" s="470" t="s">
        <v>1908</v>
      </c>
      <c r="E103" s="470" t="s">
        <v>1909</v>
      </c>
      <c r="F103" s="470" t="s">
        <v>1910</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1813</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1871</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1912</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1913</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1914</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1915</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01" priority="13" stopIfTrue="1">
      <formula>$F$51="超过30%"</formula>
    </cfRule>
  </conditionalFormatting>
  <conditionalFormatting sqref="E52">
    <cfRule type="expression" dxfId="100" priority="11" stopIfTrue="1">
      <formula>$F$52="超过20%"</formula>
    </cfRule>
  </conditionalFormatting>
  <conditionalFormatting sqref="E53">
    <cfRule type="expression" dxfId="99" priority="10" stopIfTrue="1">
      <formula>$F$53="超过30%"</formula>
    </cfRule>
  </conditionalFormatting>
  <conditionalFormatting sqref="F7:F45 H7:H45 J7:J45">
    <cfRule type="cellIs" dxfId="98" priority="1" operator="notEqual">
      <formula>100</formula>
    </cfRule>
  </conditionalFormatting>
  <conditionalFormatting sqref="F47">
    <cfRule type="expression" dxfId="97" priority="4">
      <formula>$D$47="简单平均"</formula>
    </cfRule>
  </conditionalFormatting>
  <conditionalFormatting sqref="F51:F53 H51:H53 J51:J53">
    <cfRule type="containsText" dxfId="96" priority="14" stopIfTrue="1" operator="containsText" text="超过">
      <formula>NOT(ISERROR(SEARCH("超过",F51)))</formula>
    </cfRule>
  </conditionalFormatting>
  <conditionalFormatting sqref="G51">
    <cfRule type="expression" dxfId="95" priority="9" stopIfTrue="1">
      <formula>$H$53+$H$51="超过30%"</formula>
    </cfRule>
  </conditionalFormatting>
  <conditionalFormatting sqref="G52">
    <cfRule type="expression" dxfId="94" priority="8" stopIfTrue="1">
      <formula>$H$52="超过20%"</formula>
    </cfRule>
  </conditionalFormatting>
  <conditionalFormatting sqref="G53">
    <cfRule type="expression" dxfId="93" priority="12" stopIfTrue="1">
      <formula>$H$53="超过30%"</formula>
    </cfRule>
  </conditionalFormatting>
  <conditionalFormatting sqref="H47">
    <cfRule type="expression" dxfId="92" priority="3">
      <formula>$D$47="简单平均"</formula>
    </cfRule>
  </conditionalFormatting>
  <conditionalFormatting sqref="I51">
    <cfRule type="expression" dxfId="91" priority="7" stopIfTrue="1">
      <formula>$J$51="超过30%"</formula>
    </cfRule>
  </conditionalFormatting>
  <conditionalFormatting sqref="I52">
    <cfRule type="expression" dxfId="90" priority="6" stopIfTrue="1">
      <formula>$J$52="超过20%"</formula>
    </cfRule>
  </conditionalFormatting>
  <conditionalFormatting sqref="I53">
    <cfRule type="expression" dxfId="89" priority="5" stopIfTrue="1">
      <formula>$J$53="超过30%"</formula>
    </cfRule>
  </conditionalFormatting>
  <conditionalFormatting sqref="J47">
    <cfRule type="expression" dxfId="88"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1767</v>
      </c>
      <c r="B4" s="346"/>
      <c r="C4" s="3378" t="s">
        <v>1768</v>
      </c>
      <c r="D4" s="3379"/>
      <c r="E4" s="3380" t="s">
        <v>1769</v>
      </c>
      <c r="F4" s="3381"/>
      <c r="G4" s="3378" t="s">
        <v>1770</v>
      </c>
      <c r="H4" s="3379"/>
      <c r="I4" s="3378" t="s">
        <v>1771</v>
      </c>
      <c r="J4" s="3379"/>
      <c r="K4" s="537" t="s">
        <v>1772</v>
      </c>
      <c r="L4" s="2485"/>
      <c r="M4" s="2486"/>
      <c r="N4" s="2486"/>
      <c r="O4" s="2486"/>
      <c r="P4" s="3382" t="s">
        <v>1773</v>
      </c>
      <c r="Q4" s="3383"/>
      <c r="R4" s="3365" t="s">
        <v>1769</v>
      </c>
      <c r="S4" s="3366"/>
      <c r="T4" s="3365" t="s">
        <v>1770</v>
      </c>
      <c r="U4" s="3366"/>
      <c r="V4" s="3362" t="s">
        <v>1771</v>
      </c>
      <c r="W4" s="3362"/>
      <c r="X4" s="1265"/>
      <c r="Y4" s="3365" t="s">
        <v>1773</v>
      </c>
      <c r="Z4" s="3366"/>
      <c r="AA4" s="3359" t="s">
        <v>1769</v>
      </c>
      <c r="AB4" s="3360" t="s">
        <v>1770</v>
      </c>
      <c r="AC4" s="3359" t="s">
        <v>1771</v>
      </c>
    </row>
    <row r="5" spans="1:29">
      <c r="A5" s="348"/>
      <c r="B5" s="349"/>
      <c r="C5" s="3371" t="s">
        <v>1671</v>
      </c>
      <c r="D5" s="3372"/>
      <c r="E5" s="3426" t="s">
        <v>1672</v>
      </c>
      <c r="F5" s="3370"/>
      <c r="G5" s="3371" t="s">
        <v>1673</v>
      </c>
      <c r="H5" s="3372"/>
      <c r="I5" s="3371" t="s">
        <v>1674</v>
      </c>
      <c r="J5" s="3372"/>
      <c r="K5" s="537"/>
      <c r="L5" s="2485"/>
      <c r="M5" s="2486"/>
      <c r="N5" s="2486"/>
      <c r="O5" s="2486"/>
      <c r="P5" s="3384"/>
      <c r="Q5" s="3385"/>
      <c r="R5" s="3367"/>
      <c r="S5" s="3368"/>
      <c r="T5" s="3367"/>
      <c r="U5" s="3368"/>
      <c r="V5" s="3362"/>
      <c r="W5" s="3362"/>
      <c r="X5" s="1265"/>
      <c r="Y5" s="3367"/>
      <c r="Z5" s="3368"/>
      <c r="AA5" s="3360"/>
      <c r="AB5" s="3360"/>
      <c r="AC5" s="3360"/>
    </row>
    <row r="6" spans="1:29" ht="15" thickBot="1">
      <c r="A6" s="350"/>
      <c r="B6" s="351"/>
      <c r="C6" s="3447" t="s">
        <v>1917</v>
      </c>
      <c r="D6" s="3448"/>
      <c r="E6" s="3449" t="s">
        <v>1917</v>
      </c>
      <c r="F6" s="3450"/>
      <c r="G6" s="3447" t="s">
        <v>1917</v>
      </c>
      <c r="H6" s="3448"/>
      <c r="I6" s="3447" t="s">
        <v>1917</v>
      </c>
      <c r="J6" s="3448"/>
      <c r="K6" s="537" t="s">
        <v>1676</v>
      </c>
      <c r="L6" s="2485"/>
      <c r="M6" s="2486"/>
      <c r="N6" s="2486"/>
      <c r="O6" s="2486"/>
      <c r="P6" s="3386"/>
      <c r="Q6" s="3387"/>
      <c r="R6" s="3367"/>
      <c r="S6" s="3368"/>
      <c r="T6" s="3388"/>
      <c r="U6" s="3389"/>
      <c r="V6" s="3362"/>
      <c r="W6" s="3362"/>
      <c r="X6" s="1265"/>
      <c r="Y6" s="3388"/>
      <c r="Z6" s="3389"/>
      <c r="AA6" s="3361"/>
      <c r="AB6" s="3361"/>
      <c r="AC6" s="3361"/>
    </row>
    <row r="7" spans="1:29" s="102" customFormat="1" ht="15" thickBot="1">
      <c r="A7" s="352" t="s">
        <v>1677</v>
      </c>
      <c r="B7" s="353"/>
      <c r="C7" s="354">
        <f>'数据-取费表'!B2</f>
        <v>45635</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63" t="s">
        <v>1678</v>
      </c>
      <c r="Q7" s="3391"/>
      <c r="R7" s="664" t="s">
        <v>14</v>
      </c>
      <c r="S7" s="665">
        <f t="shared" ref="S7:S15" si="0">F7</f>
        <v>0</v>
      </c>
      <c r="T7" s="664" t="s">
        <v>14</v>
      </c>
      <c r="U7" s="665">
        <f t="shared" ref="U7:U15" si="1">H7</f>
        <v>0</v>
      </c>
      <c r="V7" s="664" t="s">
        <v>14</v>
      </c>
      <c r="W7" s="665">
        <f t="shared" ref="W7:W15" si="2">J7</f>
        <v>0</v>
      </c>
      <c r="X7" s="666"/>
      <c r="Y7" s="3363" t="s">
        <v>1678</v>
      </c>
      <c r="Z7" s="3364"/>
      <c r="AA7" s="50" t="e">
        <f>D7/F7</f>
        <v>#DIV/0!</v>
      </c>
      <c r="AB7" s="50" t="e">
        <f>D7/H7</f>
        <v>#DIV/0!</v>
      </c>
      <c r="AC7" s="50" t="e">
        <f>D7/J7</f>
        <v>#DIV/0!</v>
      </c>
    </row>
    <row r="8" spans="1:29" s="102" customFormat="1" ht="1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63" t="s">
        <v>1681</v>
      </c>
      <c r="Q8" s="3364"/>
      <c r="R8" s="664" t="s">
        <v>14</v>
      </c>
      <c r="S8" s="665">
        <f t="shared" si="0"/>
        <v>0</v>
      </c>
      <c r="T8" s="664" t="s">
        <v>14</v>
      </c>
      <c r="U8" s="665">
        <f t="shared" si="1"/>
        <v>0</v>
      </c>
      <c r="V8" s="664" t="s">
        <v>14</v>
      </c>
      <c r="W8" s="665">
        <f t="shared" si="2"/>
        <v>0</v>
      </c>
      <c r="X8" s="666"/>
      <c r="Y8" s="3363" t="s">
        <v>1681</v>
      </c>
      <c r="Z8" s="3364"/>
      <c r="AA8" s="50" t="e">
        <f t="shared" ref="AA8:AA40" si="3">D8/F8</f>
        <v>#DIV/0!</v>
      </c>
      <c r="AB8" s="50" t="e">
        <f t="shared" ref="AB8:AB40" si="4">D8/H8</f>
        <v>#DIV/0!</v>
      </c>
      <c r="AC8" s="50" t="e">
        <f t="shared" ref="AC8:AC40" si="5">D8/J8</f>
        <v>#DIV/0!</v>
      </c>
    </row>
    <row r="9" spans="1:29" s="102" customFormat="1" ht="14.4">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01" t="s">
        <v>1684</v>
      </c>
      <c r="Q9" s="530" t="str">
        <f t="shared" ref="Q9:Q15" si="6">B9</f>
        <v>用途</v>
      </c>
      <c r="R9" s="664" t="s">
        <v>14</v>
      </c>
      <c r="S9" s="665">
        <f t="shared" si="0"/>
        <v>100</v>
      </c>
      <c r="T9" s="664" t="s">
        <v>14</v>
      </c>
      <c r="U9" s="665">
        <f t="shared" si="1"/>
        <v>100</v>
      </c>
      <c r="V9" s="664" t="s">
        <v>14</v>
      </c>
      <c r="W9" s="665">
        <f t="shared" si="2"/>
        <v>100</v>
      </c>
      <c r="X9" s="666"/>
      <c r="Y9" s="3327" t="s">
        <v>1685</v>
      </c>
      <c r="Z9" s="50" t="str">
        <f t="shared" ref="Z9:Z15" si="7">Q9</f>
        <v>用途</v>
      </c>
      <c r="AA9" s="50">
        <f t="shared" si="3"/>
        <v>1</v>
      </c>
      <c r="AB9" s="50">
        <f t="shared" si="4"/>
        <v>1</v>
      </c>
      <c r="AC9" s="50">
        <f t="shared" si="5"/>
        <v>1</v>
      </c>
    </row>
    <row r="10" spans="1:29" s="366" customFormat="1" ht="28.8">
      <c r="A10" s="363"/>
      <c r="B10" s="364" t="s">
        <v>1686</v>
      </c>
      <c r="C10" s="371"/>
      <c r="D10" s="119">
        <v>100</v>
      </c>
      <c r="E10" s="371"/>
      <c r="F10" s="119">
        <f>ROUND(100/'数据-取费表'!G16,0)</f>
        <v>145</v>
      </c>
      <c r="G10" s="371"/>
      <c r="H10" s="119">
        <f>ROUND(100/'数据-取费表'!G16,0)</f>
        <v>145</v>
      </c>
      <c r="I10" s="371"/>
      <c r="J10" s="119">
        <f>ROUND(100/'数据-取费表'!G16,0)</f>
        <v>145</v>
      </c>
      <c r="K10" s="592"/>
      <c r="L10" s="2488"/>
      <c r="M10" s="2489"/>
      <c r="N10" s="2489"/>
      <c r="O10" s="2540"/>
      <c r="P10" s="3401"/>
      <c r="Q10" s="530" t="str">
        <f t="shared" si="6"/>
        <v>土地使用年限（年）</v>
      </c>
      <c r="R10" s="664" t="s">
        <v>14</v>
      </c>
      <c r="S10" s="665">
        <f t="shared" si="0"/>
        <v>145</v>
      </c>
      <c r="T10" s="664" t="s">
        <v>14</v>
      </c>
      <c r="U10" s="665">
        <f t="shared" si="1"/>
        <v>145</v>
      </c>
      <c r="V10" s="664" t="s">
        <v>14</v>
      </c>
      <c r="W10" s="665">
        <f t="shared" si="2"/>
        <v>145</v>
      </c>
      <c r="X10" s="666"/>
      <c r="Y10" s="3327"/>
      <c r="Z10" s="50" t="str">
        <f t="shared" si="7"/>
        <v>土地使用年限（年）</v>
      </c>
      <c r="AA10" s="50">
        <f t="shared" si="3"/>
        <v>0.68965517241379315</v>
      </c>
      <c r="AB10" s="50">
        <f t="shared" si="4"/>
        <v>0.68965517241379315</v>
      </c>
      <c r="AC10" s="50">
        <f t="shared" si="5"/>
        <v>0.68965517241379315</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01"/>
      <c r="Q11" s="530" t="str">
        <f t="shared" si="6"/>
        <v>容积率</v>
      </c>
      <c r="R11" s="664" t="s">
        <v>14</v>
      </c>
      <c r="S11" s="665" t="e">
        <f t="shared" si="0"/>
        <v>#N/A</v>
      </c>
      <c r="T11" s="664" t="s">
        <v>14</v>
      </c>
      <c r="U11" s="665" t="e">
        <f t="shared" si="1"/>
        <v>#N/A</v>
      </c>
      <c r="V11" s="664" t="s">
        <v>14</v>
      </c>
      <c r="W11" s="665" t="e">
        <f t="shared" si="2"/>
        <v>#N/A</v>
      </c>
      <c r="X11" s="666"/>
      <c r="Y11" s="332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01"/>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01"/>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01"/>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94" t="s">
        <v>1689</v>
      </c>
      <c r="Q15" s="1263" t="str">
        <f t="shared" si="6"/>
        <v>产业集聚程度</v>
      </c>
      <c r="R15" s="667" t="s">
        <v>14</v>
      </c>
      <c r="S15" s="668">
        <f t="shared" si="0"/>
        <v>100</v>
      </c>
      <c r="T15" s="667" t="s">
        <v>14</v>
      </c>
      <c r="U15" s="668">
        <f t="shared" si="1"/>
        <v>100</v>
      </c>
      <c r="V15" s="667" t="s">
        <v>14</v>
      </c>
      <c r="W15" s="668">
        <f t="shared" si="2"/>
        <v>100</v>
      </c>
      <c r="X15" s="1265"/>
      <c r="Y15" s="3394"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95"/>
      <c r="Q16" s="1263"/>
      <c r="R16" s="667"/>
      <c r="S16" s="668"/>
      <c r="T16" s="667"/>
      <c r="U16" s="668"/>
      <c r="V16" s="667"/>
      <c r="W16" s="668"/>
      <c r="X16" s="1265"/>
      <c r="Y16" s="3395"/>
      <c r="Z16" s="1264"/>
      <c r="AA16" s="1264">
        <v>1</v>
      </c>
      <c r="AB16" s="1264">
        <v>1</v>
      </c>
      <c r="AC16" s="1264">
        <v>1</v>
      </c>
    </row>
    <row r="17" spans="1:29" ht="96.6">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95"/>
      <c r="Q18" s="1263"/>
      <c r="R18" s="667"/>
      <c r="S18" s="668"/>
      <c r="T18" s="667"/>
      <c r="U18" s="668"/>
      <c r="V18" s="667"/>
      <c r="W18" s="668"/>
      <c r="X18" s="1265"/>
      <c r="Y18" s="3395"/>
      <c r="Z18" s="1264"/>
      <c r="AA18" s="1264">
        <v>1</v>
      </c>
      <c r="AB18" s="1264">
        <v>1</v>
      </c>
      <c r="AC18" s="1264">
        <v>1</v>
      </c>
    </row>
    <row r="19" spans="1:29" ht="28.8">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5"/>
      <c r="Q19" s="1263" t="str">
        <f t="shared" ref="Q19:Q33" si="8">B19</f>
        <v>区域土地利用方向</v>
      </c>
      <c r="R19" s="667" t="s">
        <v>14</v>
      </c>
      <c r="S19" s="668">
        <f>F19</f>
        <v>100</v>
      </c>
      <c r="T19" s="667" t="s">
        <v>14</v>
      </c>
      <c r="U19" s="668">
        <f>H19</f>
        <v>100</v>
      </c>
      <c r="V19" s="667" t="s">
        <v>14</v>
      </c>
      <c r="W19" s="668">
        <f>J19</f>
        <v>100</v>
      </c>
      <c r="X19" s="1265"/>
      <c r="Y19" s="339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95"/>
      <c r="Q20" s="1263"/>
      <c r="R20" s="667"/>
      <c r="S20" s="668"/>
      <c r="T20" s="667"/>
      <c r="U20" s="668"/>
      <c r="V20" s="667"/>
      <c r="W20" s="668"/>
      <c r="X20" s="1265"/>
      <c r="Y20" s="3395"/>
      <c r="Z20" s="1264"/>
      <c r="AA20" s="1264"/>
      <c r="AB20" s="1264"/>
      <c r="AC20" s="1264"/>
    </row>
    <row r="21" spans="1:29" ht="82.8">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5"/>
      <c r="Q21" s="1263" t="str">
        <f t="shared" si="8"/>
        <v>环境状况</v>
      </c>
      <c r="R21" s="667" t="s">
        <v>14</v>
      </c>
      <c r="S21" s="668">
        <f>F21</f>
        <v>100</v>
      </c>
      <c r="T21" s="667" t="s">
        <v>14</v>
      </c>
      <c r="U21" s="668">
        <f>H21</f>
        <v>100</v>
      </c>
      <c r="V21" s="667" t="s">
        <v>14</v>
      </c>
      <c r="W21" s="668">
        <f>J21</f>
        <v>100</v>
      </c>
      <c r="X21" s="1265"/>
      <c r="Y21" s="339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95"/>
      <c r="Q22" s="1263"/>
      <c r="R22" s="667"/>
      <c r="S22" s="668"/>
      <c r="T22" s="667"/>
      <c r="U22" s="668"/>
      <c r="V22" s="667"/>
      <c r="W22" s="668"/>
      <c r="X22" s="1265"/>
      <c r="Y22" s="3395"/>
      <c r="Z22" s="1264"/>
      <c r="AA22" s="1264">
        <v>1</v>
      </c>
      <c r="AB22" s="1264">
        <v>1</v>
      </c>
      <c r="AC22" s="1264">
        <v>1</v>
      </c>
    </row>
    <row r="23" spans="1:29" s="102" customFormat="1" ht="41.4">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95"/>
      <c r="Q23" s="530" t="str">
        <f t="shared" si="8"/>
        <v>公共配套设施</v>
      </c>
      <c r="R23" s="664" t="s">
        <v>14</v>
      </c>
      <c r="S23" s="665">
        <f>F23</f>
        <v>100</v>
      </c>
      <c r="T23" s="664" t="s">
        <v>14</v>
      </c>
      <c r="U23" s="665">
        <f>H23</f>
        <v>100</v>
      </c>
      <c r="V23" s="664" t="s">
        <v>14</v>
      </c>
      <c r="W23" s="665">
        <f>J23</f>
        <v>100</v>
      </c>
      <c r="X23" s="666"/>
      <c r="Y23" s="339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95"/>
      <c r="Q24" s="530"/>
      <c r="R24" s="664"/>
      <c r="S24" s="665"/>
      <c r="T24" s="664"/>
      <c r="U24" s="665"/>
      <c r="V24" s="664"/>
      <c r="W24" s="665"/>
      <c r="X24" s="666"/>
      <c r="Y24" s="3395"/>
      <c r="Z24" s="50"/>
      <c r="AA24" s="50">
        <v>1</v>
      </c>
      <c r="AB24" s="50">
        <v>1</v>
      </c>
      <c r="AC24" s="50">
        <v>1</v>
      </c>
    </row>
    <row r="25" spans="1:29" s="102" customFormat="1" ht="41.4">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95"/>
      <c r="Q25" s="530" t="str">
        <f t="shared" ref="Q25" si="9">B25</f>
        <v>基础设施水平</v>
      </c>
      <c r="R25" s="664" t="s">
        <v>14</v>
      </c>
      <c r="S25" s="665">
        <f>F25</f>
        <v>100</v>
      </c>
      <c r="T25" s="664" t="s">
        <v>14</v>
      </c>
      <c r="U25" s="665">
        <f>H25</f>
        <v>100</v>
      </c>
      <c r="V25" s="664" t="s">
        <v>14</v>
      </c>
      <c r="W25" s="665">
        <f>J25</f>
        <v>100</v>
      </c>
      <c r="X25" s="666"/>
      <c r="Y25" s="339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95"/>
      <c r="Q26" s="530"/>
      <c r="R26" s="664"/>
      <c r="S26" s="665"/>
      <c r="T26" s="664"/>
      <c r="U26" s="665"/>
      <c r="V26" s="664"/>
      <c r="W26" s="665"/>
      <c r="X26" s="666"/>
      <c r="Y26" s="3395"/>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5"/>
      <c r="Z27" s="1264" t="str">
        <f t="shared" ref="Z27:Z40" si="13">Q27</f>
        <v>临街状况</v>
      </c>
      <c r="AA27" s="1264">
        <f t="shared" si="3"/>
        <v>1</v>
      </c>
      <c r="AB27" s="1264">
        <f t="shared" si="4"/>
        <v>1</v>
      </c>
      <c r="AC27" s="1264">
        <f t="shared" si="5"/>
        <v>1</v>
      </c>
    </row>
    <row r="28" spans="1:29" ht="28.8">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5"/>
      <c r="Q28" s="1263" t="str">
        <f t="shared" si="8"/>
        <v>毗邻道路的类型与等级</v>
      </c>
      <c r="R28" s="667" t="s">
        <v>14</v>
      </c>
      <c r="S28" s="668">
        <f t="shared" si="10"/>
        <v>100</v>
      </c>
      <c r="T28" s="667" t="s">
        <v>14</v>
      </c>
      <c r="U28" s="668">
        <f t="shared" si="11"/>
        <v>100</v>
      </c>
      <c r="V28" s="667" t="s">
        <v>14</v>
      </c>
      <c r="W28" s="668">
        <f t="shared" si="12"/>
        <v>100</v>
      </c>
      <c r="X28" s="1265"/>
      <c r="Y28" s="339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95"/>
      <c r="Q29" s="1263"/>
      <c r="R29" s="667"/>
      <c r="S29" s="668"/>
      <c r="T29" s="667"/>
      <c r="U29" s="668"/>
      <c r="V29" s="667"/>
      <c r="W29" s="668"/>
      <c r="X29" s="1265"/>
      <c r="Y29" s="3395"/>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5"/>
      <c r="Q30" s="1263" t="str">
        <f t="shared" si="8"/>
        <v>土地级别</v>
      </c>
      <c r="R30" s="667" t="s">
        <v>14</v>
      </c>
      <c r="S30" s="668">
        <f t="shared" si="10"/>
        <v>100</v>
      </c>
      <c r="T30" s="667" t="s">
        <v>14</v>
      </c>
      <c r="U30" s="668">
        <f t="shared" si="11"/>
        <v>100</v>
      </c>
      <c r="V30" s="667" t="s">
        <v>14</v>
      </c>
      <c r="W30" s="668">
        <f t="shared" si="12"/>
        <v>100</v>
      </c>
      <c r="X30" s="1265"/>
      <c r="Y30" s="339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5"/>
      <c r="Q31" s="1263">
        <f t="shared" si="8"/>
        <v>111</v>
      </c>
      <c r="R31" s="667" t="s">
        <v>14</v>
      </c>
      <c r="S31" s="668">
        <f t="shared" si="10"/>
        <v>100</v>
      </c>
      <c r="T31" s="667" t="s">
        <v>14</v>
      </c>
      <c r="U31" s="668">
        <f t="shared" si="11"/>
        <v>100</v>
      </c>
      <c r="V31" s="667" t="s">
        <v>14</v>
      </c>
      <c r="W31" s="668">
        <f t="shared" si="12"/>
        <v>100</v>
      </c>
      <c r="X31" s="1265"/>
      <c r="Y31" s="339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2" t="s">
        <v>1694</v>
      </c>
      <c r="Q32" s="1263">
        <f t="shared" si="8"/>
        <v>111</v>
      </c>
      <c r="R32" s="667" t="s">
        <v>14</v>
      </c>
      <c r="S32" s="668">
        <f t="shared" si="10"/>
        <v>100</v>
      </c>
      <c r="T32" s="667" t="s">
        <v>14</v>
      </c>
      <c r="U32" s="668">
        <f t="shared" si="11"/>
        <v>100</v>
      </c>
      <c r="V32" s="667" t="s">
        <v>14</v>
      </c>
      <c r="W32" s="668">
        <f t="shared" si="12"/>
        <v>100</v>
      </c>
      <c r="X32" s="1265"/>
      <c r="Y32" s="3399" t="s">
        <v>1694</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9"/>
      <c r="Q33" s="1263">
        <f t="shared" si="8"/>
        <v>111</v>
      </c>
      <c r="R33" s="669" t="s">
        <v>14</v>
      </c>
      <c r="S33" s="670">
        <f t="shared" si="10"/>
        <v>100</v>
      </c>
      <c r="T33" s="669" t="s">
        <v>14</v>
      </c>
      <c r="U33" s="670">
        <f t="shared" si="11"/>
        <v>100</v>
      </c>
      <c r="V33" s="669" t="s">
        <v>14</v>
      </c>
      <c r="W33" s="670">
        <f t="shared" si="12"/>
        <v>100</v>
      </c>
      <c r="X33" s="671"/>
      <c r="Y33" s="3399"/>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9"/>
      <c r="Q34" s="1263" t="str">
        <f>B34</f>
        <v>宗地面积</v>
      </c>
      <c r="R34" s="667" t="s">
        <v>14</v>
      </c>
      <c r="S34" s="668" t="e">
        <f t="shared" si="10"/>
        <v>#N/A</v>
      </c>
      <c r="T34" s="667" t="s">
        <v>14</v>
      </c>
      <c r="U34" s="668" t="e">
        <f t="shared" si="11"/>
        <v>#N/A</v>
      </c>
      <c r="V34" s="667" t="s">
        <v>14</v>
      </c>
      <c r="W34" s="668" t="e">
        <f t="shared" si="12"/>
        <v>#N/A</v>
      </c>
      <c r="X34" s="1265"/>
      <c r="Y34" s="3399"/>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9"/>
      <c r="Q35" s="1263" t="str">
        <f t="shared" ref="Q35:Q40" si="14">B35</f>
        <v>宗地形状</v>
      </c>
      <c r="R35" s="667" t="s">
        <v>14</v>
      </c>
      <c r="S35" s="668">
        <f t="shared" si="10"/>
        <v>100</v>
      </c>
      <c r="T35" s="667" t="s">
        <v>14</v>
      </c>
      <c r="U35" s="668">
        <f t="shared" si="11"/>
        <v>100</v>
      </c>
      <c r="V35" s="667" t="s">
        <v>14</v>
      </c>
      <c r="W35" s="668">
        <f t="shared" si="12"/>
        <v>100</v>
      </c>
      <c r="X35" s="1265"/>
      <c r="Y35" s="3399"/>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99"/>
      <c r="Q36" s="1263" t="str">
        <f t="shared" si="14"/>
        <v>宗地开发程度</v>
      </c>
      <c r="R36" s="664" t="s">
        <v>14</v>
      </c>
      <c r="S36" s="665">
        <f t="shared" si="10"/>
        <v>100</v>
      </c>
      <c r="T36" s="664" t="s">
        <v>14</v>
      </c>
      <c r="U36" s="665">
        <f t="shared" si="11"/>
        <v>100</v>
      </c>
      <c r="V36" s="664" t="s">
        <v>14</v>
      </c>
      <c r="W36" s="665">
        <f t="shared" si="12"/>
        <v>100</v>
      </c>
      <c r="X36" s="666"/>
      <c r="Y36" s="3399"/>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9" t="s">
        <v>1694</v>
      </c>
      <c r="Q37" s="1263" t="str">
        <f t="shared" si="14"/>
        <v>工程地质条件</v>
      </c>
      <c r="R37" s="667" t="s">
        <v>14</v>
      </c>
      <c r="S37" s="668">
        <f t="shared" si="10"/>
        <v>100</v>
      </c>
      <c r="T37" s="667" t="s">
        <v>14</v>
      </c>
      <c r="U37" s="668">
        <f t="shared" si="11"/>
        <v>100</v>
      </c>
      <c r="V37" s="667" t="s">
        <v>14</v>
      </c>
      <c r="W37" s="668">
        <f t="shared" si="12"/>
        <v>100</v>
      </c>
      <c r="X37" s="1265"/>
      <c r="Y37" s="3399"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9"/>
      <c r="Q38" s="1263">
        <f t="shared" si="14"/>
        <v>111</v>
      </c>
      <c r="R38" s="667" t="s">
        <v>14</v>
      </c>
      <c r="S38" s="668">
        <f t="shared" si="10"/>
        <v>100</v>
      </c>
      <c r="T38" s="667" t="s">
        <v>14</v>
      </c>
      <c r="U38" s="668">
        <f t="shared" si="11"/>
        <v>100</v>
      </c>
      <c r="V38" s="667" t="s">
        <v>14</v>
      </c>
      <c r="W38" s="668">
        <f t="shared" si="12"/>
        <v>100</v>
      </c>
      <c r="X38" s="1265"/>
      <c r="Y38" s="339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9"/>
      <c r="Q39" s="1263">
        <f t="shared" si="14"/>
        <v>111</v>
      </c>
      <c r="R39" s="667" t="s">
        <v>14</v>
      </c>
      <c r="S39" s="668">
        <f t="shared" si="10"/>
        <v>100</v>
      </c>
      <c r="T39" s="667" t="s">
        <v>14</v>
      </c>
      <c r="U39" s="668">
        <f t="shared" si="11"/>
        <v>100</v>
      </c>
      <c r="V39" s="667" t="s">
        <v>14</v>
      </c>
      <c r="W39" s="668">
        <f t="shared" si="12"/>
        <v>100</v>
      </c>
      <c r="X39" s="1265"/>
      <c r="Y39" s="339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9"/>
      <c r="Q40" s="1263">
        <f t="shared" si="14"/>
        <v>111</v>
      </c>
      <c r="R40" s="669" t="s">
        <v>14</v>
      </c>
      <c r="S40" s="670">
        <f t="shared" si="10"/>
        <v>100</v>
      </c>
      <c r="T40" s="669" t="s">
        <v>14</v>
      </c>
      <c r="U40" s="670">
        <f t="shared" si="11"/>
        <v>100</v>
      </c>
      <c r="V40" s="669" t="s">
        <v>14</v>
      </c>
      <c r="W40" s="670">
        <f t="shared" si="12"/>
        <v>100</v>
      </c>
      <c r="X40" s="671"/>
      <c r="Y40" s="3399"/>
      <c r="Z40" s="672">
        <f t="shared" si="13"/>
        <v>111</v>
      </c>
      <c r="AA40" s="1264">
        <f t="shared" si="3"/>
        <v>1</v>
      </c>
      <c r="AB40" s="1264">
        <f t="shared" si="4"/>
        <v>1</v>
      </c>
      <c r="AC40" s="1264">
        <f t="shared" si="5"/>
        <v>1</v>
      </c>
    </row>
    <row r="41" spans="1:31" ht="14.4">
      <c r="A41" s="416" t="s">
        <v>1842</v>
      </c>
      <c r="B41" s="1830" t="s">
        <v>1920</v>
      </c>
      <c r="C41" s="602" t="s">
        <v>0</v>
      </c>
      <c r="D41" s="418"/>
      <c r="E41" s="419"/>
      <c r="F41" s="420"/>
      <c r="G41" s="421"/>
      <c r="H41" s="422"/>
      <c r="I41" s="419"/>
      <c r="J41" s="422"/>
      <c r="K41" s="674"/>
      <c r="L41" s="2493"/>
      <c r="M41" s="2486"/>
      <c r="N41" s="2486"/>
      <c r="O41" s="2486"/>
      <c r="P41" s="3401" t="str">
        <f>A41</f>
        <v>成交单价</v>
      </c>
      <c r="Q41" s="3401"/>
      <c r="R41" s="3362">
        <f>E41</f>
        <v>0</v>
      </c>
      <c r="S41" s="3362"/>
      <c r="T41" s="3362">
        <f>G41</f>
        <v>0</v>
      </c>
      <c r="U41" s="3362"/>
      <c r="V41" s="3362">
        <f>I41</f>
        <v>0</v>
      </c>
      <c r="W41" s="3362"/>
      <c r="X41" s="385"/>
      <c r="Y41" s="673"/>
      <c r="Z41" s="385"/>
      <c r="AA41" s="385"/>
      <c r="AB41" s="385"/>
      <c r="AC41" s="385"/>
    </row>
    <row r="42" spans="1:31" ht="15" thickBot="1">
      <c r="A42" s="423" t="s">
        <v>1791</v>
      </c>
      <c r="B42" s="603"/>
      <c r="C42" s="426" t="e">
        <f>R43</f>
        <v>#DIV/0!</v>
      </c>
      <c r="D42" s="2141" t="s">
        <v>2136</v>
      </c>
      <c r="E42" s="426" t="e">
        <f>R42</f>
        <v>#DIV/0!</v>
      </c>
      <c r="F42" s="2142"/>
      <c r="G42" s="425" t="e">
        <f>T42</f>
        <v>#DIV/0!</v>
      </c>
      <c r="H42" s="2142"/>
      <c r="I42" s="426" t="e">
        <f>V42</f>
        <v>#DIV/0!</v>
      </c>
      <c r="J42" s="2142"/>
      <c r="K42" s="2144">
        <f>F42+H42+J42</f>
        <v>0</v>
      </c>
      <c r="L42" s="2493"/>
      <c r="M42" s="2486"/>
      <c r="N42" s="2486"/>
      <c r="O42" s="2486"/>
      <c r="P42" s="3401" t="str">
        <f>A42</f>
        <v>比较价值（元/平方米）</v>
      </c>
      <c r="Q42" s="3401"/>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5" thickBot="1">
      <c r="A43" s="427" t="s">
        <v>1792</v>
      </c>
      <c r="B43" s="428"/>
      <c r="C43" s="429" t="e">
        <f>R43</f>
        <v>#DIV/0!</v>
      </c>
      <c r="D43" s="429"/>
      <c r="E43" s="429"/>
      <c r="F43" s="429"/>
      <c r="G43" s="429"/>
      <c r="H43" s="429"/>
      <c r="I43" s="429"/>
      <c r="J43" s="429"/>
      <c r="K43" s="675"/>
      <c r="L43" s="2493"/>
      <c r="M43" s="2486"/>
      <c r="N43" s="2486"/>
      <c r="O43" s="2486"/>
      <c r="P43" s="3402" t="str">
        <f>A43</f>
        <v>估价对象XX用房的比较价值（楼面单价，元/平方米）</v>
      </c>
      <c r="Q43" s="3403"/>
      <c r="R43" s="3445" t="e">
        <f>ROUND(IF(D42="简单平均",AVERAGE(R42:W42),R42*F42+T42*H42+V42*J42),0)</f>
        <v>#DIV/0!</v>
      </c>
      <c r="S43" s="3445"/>
      <c r="T43" s="3445"/>
      <c r="U43" s="3445"/>
      <c r="V43" s="3445"/>
      <c r="W43" s="344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1879</v>
      </c>
      <c r="B50" s="605" t="s">
        <v>1880</v>
      </c>
      <c r="C50" s="1831" t="s">
        <v>1881</v>
      </c>
      <c r="D50" s="1832" t="s">
        <v>1882</v>
      </c>
      <c r="E50" s="606" t="s">
        <v>1883</v>
      </c>
      <c r="F50" s="607" t="s">
        <v>1884</v>
      </c>
      <c r="G50" s="3378" t="s">
        <v>1885</v>
      </c>
      <c r="H50" s="3446"/>
      <c r="I50" s="1264" t="s">
        <v>1921</v>
      </c>
      <c r="J50" s="1264">
        <f>项目基本情况!F35</f>
        <v>0</v>
      </c>
      <c r="K50" s="1834" t="s">
        <v>1887</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1888</v>
      </c>
      <c r="B51" s="609" t="e">
        <f>C43</f>
        <v>#DIV/0!</v>
      </c>
      <c r="C51" s="610">
        <v>1</v>
      </c>
      <c r="D51" s="890">
        <v>1</v>
      </c>
      <c r="E51" s="610">
        <f>'数据-汇总表'!E8+'数据-汇总表'!E9</f>
        <v>479.51</v>
      </c>
      <c r="F51" s="611" t="e">
        <f t="shared" ref="F51:F60" si="15">ROUND(B51*E51/10000,0)</f>
        <v>#DIV/0!</v>
      </c>
      <c r="G51" s="3377"/>
      <c r="H51" s="3401"/>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1889</v>
      </c>
      <c r="B52" s="210" t="e">
        <f>ROUND($C$43*C52*D52,0)</f>
        <v>#DIV/0!</v>
      </c>
      <c r="C52" s="163">
        <f t="shared" ref="C52:C60" si="16">IF($C$50="北京市系数",I52,J52)</f>
        <v>0.6</v>
      </c>
      <c r="D52" s="891">
        <v>0.25</v>
      </c>
      <c r="E52" s="614"/>
      <c r="F52" s="611" t="e">
        <f t="shared" si="15"/>
        <v>#DIV/0!</v>
      </c>
      <c r="G52" s="2749" t="s">
        <v>1890</v>
      </c>
      <c r="H52" s="834" t="str">
        <f>项目基本情况!B37</f>
        <v>六级</v>
      </c>
      <c r="I52" s="727">
        <f>SUMIF(修正!A57:A68,H52,修正!B57:B68)</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1891</v>
      </c>
      <c r="B53" s="210" t="e">
        <f t="shared" ref="B53:B60" si="17">ROUND($C$43*C53*D53,0)</f>
        <v>#DIV/0!</v>
      </c>
      <c r="C53" s="163">
        <f t="shared" si="16"/>
        <v>0.3</v>
      </c>
      <c r="D53" s="891">
        <v>0.25</v>
      </c>
      <c r="E53" s="614"/>
      <c r="F53" s="611" t="e">
        <f t="shared" si="15"/>
        <v>#DIV/0!</v>
      </c>
      <c r="G53" s="2750"/>
      <c r="H53" s="834" t="str">
        <f>项目基本情况!B37</f>
        <v>六级</v>
      </c>
      <c r="I53" s="727">
        <f>SUMIF(修正!A57:A68,H53,修正!C57:C68)</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1892</v>
      </c>
      <c r="B54" s="210" t="e">
        <f t="shared" si="17"/>
        <v>#DIV/0!</v>
      </c>
      <c r="C54" s="163">
        <f t="shared" si="16"/>
        <v>0.25</v>
      </c>
      <c r="D54" s="891">
        <v>0.25</v>
      </c>
      <c r="E54" s="614"/>
      <c r="F54" s="611" t="e">
        <f t="shared" si="15"/>
        <v>#DIV/0!</v>
      </c>
      <c r="G54" s="2750"/>
      <c r="H54" s="834" t="str">
        <f>项目基本情况!B37</f>
        <v>六级</v>
      </c>
      <c r="I54" s="727">
        <f>SUMIF(修正!A57:A68,H54,修正!D57:D68)</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1899</v>
      </c>
      <c r="B59" s="210" t="e">
        <f t="shared" si="17"/>
        <v>#DIV/0!</v>
      </c>
      <c r="C59" s="163">
        <f t="shared" si="16"/>
        <v>0.15</v>
      </c>
      <c r="D59" s="891">
        <v>0.25</v>
      </c>
      <c r="E59" s="209">
        <f>'数据-汇总表'!E14</f>
        <v>0</v>
      </c>
      <c r="F59" s="611" t="e">
        <f t="shared" si="15"/>
        <v>#DIV/0!</v>
      </c>
      <c r="G59" s="1835" t="s">
        <v>1890</v>
      </c>
      <c r="H59" s="834" t="str">
        <f>项目基本情况!B37</f>
        <v>六级</v>
      </c>
      <c r="I59" s="727">
        <f>SUMIF(修正!A57:A68,H59,修正!G57:G68)</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1901</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6"/>
      <c r="Q63" s="2486"/>
      <c r="R63" s="2486"/>
      <c r="S63" s="2486"/>
      <c r="T63" s="2486"/>
      <c r="U63" s="2486"/>
      <c r="V63" s="2486"/>
      <c r="W63" s="2486"/>
      <c r="X63" s="2486"/>
      <c r="Y63" s="2486"/>
      <c r="Z63" s="2486"/>
      <c r="AA63" s="2486"/>
      <c r="AB63" s="2486"/>
      <c r="AC63" s="2486"/>
      <c r="AD63" s="2486"/>
      <c r="AE63" s="2486"/>
    </row>
    <row r="64" spans="1:31" ht="22.2" thickBot="1">
      <c r="A64" s="658" t="s">
        <v>1796</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1902</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1714</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1679</v>
      </c>
      <c r="B68" s="444"/>
      <c r="C68" s="456" t="s">
        <v>1774</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1717</v>
      </c>
      <c r="B70" s="460" t="s">
        <v>1683</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1686</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1688</v>
      </c>
      <c r="B83" s="460" t="s">
        <v>1827</v>
      </c>
      <c r="C83" s="504" t="s">
        <v>1719</v>
      </c>
      <c r="D83" s="504" t="s">
        <v>1720</v>
      </c>
      <c r="E83" s="504" t="s">
        <v>1721</v>
      </c>
      <c r="F83" s="504" t="s">
        <v>1722</v>
      </c>
      <c r="G83" s="504" t="s">
        <v>1723</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1724</v>
      </c>
      <c r="C85" s="509" t="s">
        <v>1719</v>
      </c>
      <c r="D85" s="509" t="s">
        <v>1720</v>
      </c>
      <c r="E85" s="509" t="s">
        <v>1721</v>
      </c>
      <c r="F85" s="509" t="s">
        <v>1722</v>
      </c>
      <c r="G85" s="509" t="s">
        <v>1723</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1905</v>
      </c>
      <c r="C87" s="504" t="s">
        <v>1719</v>
      </c>
      <c r="D87" s="504" t="s">
        <v>1720</v>
      </c>
      <c r="E87" s="504" t="s">
        <v>1721</v>
      </c>
      <c r="F87" s="504" t="s">
        <v>1722</v>
      </c>
      <c r="G87" s="504" t="s">
        <v>1723</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1906</v>
      </c>
      <c r="C89" s="504" t="s">
        <v>1719</v>
      </c>
      <c r="D89" s="504" t="s">
        <v>1720</v>
      </c>
      <c r="E89" s="504" t="s">
        <v>1721</v>
      </c>
      <c r="F89" s="504" t="s">
        <v>1722</v>
      </c>
      <c r="G89" s="504" t="s">
        <v>1723</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1776</v>
      </c>
      <c r="C91" s="504" t="s">
        <v>1719</v>
      </c>
      <c r="D91" s="504" t="s">
        <v>1720</v>
      </c>
      <c r="E91" s="504" t="s">
        <v>1721</v>
      </c>
      <c r="F91" s="504" t="s">
        <v>1722</v>
      </c>
      <c r="G91" s="504" t="s">
        <v>1723</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1923</v>
      </c>
      <c r="C93" s="581" t="s">
        <v>1797</v>
      </c>
      <c r="D93" s="581" t="s">
        <v>1798</v>
      </c>
      <c r="E93" s="581" t="s">
        <v>1799</v>
      </c>
      <c r="F93" s="581" t="s">
        <v>1800</v>
      </c>
      <c r="G93" s="581" t="s">
        <v>1801</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1907</v>
      </c>
      <c r="D95" s="470" t="s">
        <v>1908</v>
      </c>
      <c r="E95" s="470" t="s">
        <v>1909</v>
      </c>
      <c r="F95" s="470" t="s">
        <v>1910</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1813</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1871</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1912</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1914</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1915</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87" priority="13" stopIfTrue="1">
      <formula>$F$46="超过30%"</formula>
    </cfRule>
  </conditionalFormatting>
  <conditionalFormatting sqref="E47">
    <cfRule type="expression" dxfId="86" priority="53" stopIfTrue="1">
      <formula>#REF!+$F$47="超过20%"</formula>
    </cfRule>
  </conditionalFormatting>
  <conditionalFormatting sqref="E48">
    <cfRule type="expression" dxfId="85" priority="10" stopIfTrue="1">
      <formula>$F$48="超过30%"</formula>
    </cfRule>
  </conditionalFormatting>
  <conditionalFormatting sqref="F7:F40 H7:H40 J7:J40">
    <cfRule type="cellIs" dxfId="84" priority="1" operator="notEqual">
      <formula>100</formula>
    </cfRule>
  </conditionalFormatting>
  <conditionalFormatting sqref="F42">
    <cfRule type="expression" dxfId="83" priority="4">
      <formula>$D$42="简单平均"</formula>
    </cfRule>
  </conditionalFormatting>
  <conditionalFormatting sqref="F46:F48 H46:H48 J46:J48">
    <cfRule type="containsText" dxfId="82" priority="14" stopIfTrue="1" operator="containsText" text="超过">
      <formula>NOT(ISERROR(SEARCH("超过",F46)))</formula>
    </cfRule>
  </conditionalFormatting>
  <conditionalFormatting sqref="G46">
    <cfRule type="expression" dxfId="81" priority="9" stopIfTrue="1">
      <formula>$H$46="超过30%"</formula>
    </cfRule>
  </conditionalFormatting>
  <conditionalFormatting sqref="G47">
    <cfRule type="expression" dxfId="80" priority="8" stopIfTrue="1">
      <formula>$H$47="超过20%"</formula>
    </cfRule>
  </conditionalFormatting>
  <conditionalFormatting sqref="G48">
    <cfRule type="expression" dxfId="79" priority="12" stopIfTrue="1">
      <formula>$H$48="超过30%"</formula>
    </cfRule>
  </conditionalFormatting>
  <conditionalFormatting sqref="H42">
    <cfRule type="expression" dxfId="78" priority="3">
      <formula>$D$42="简单平均"</formula>
    </cfRule>
  </conditionalFormatting>
  <conditionalFormatting sqref="I46">
    <cfRule type="expression" dxfId="77" priority="7" stopIfTrue="1">
      <formula>$J$46="超过30%"</formula>
    </cfRule>
  </conditionalFormatting>
  <conditionalFormatting sqref="I47">
    <cfRule type="expression" dxfId="76" priority="6" stopIfTrue="1">
      <formula>$J$47="超过20%"</formula>
    </cfRule>
  </conditionalFormatting>
  <conditionalFormatting sqref="I48">
    <cfRule type="expression" dxfId="75" priority="5" stopIfTrue="1">
      <formula>$J$48="超过30%"</formula>
    </cfRule>
  </conditionalFormatting>
  <conditionalFormatting sqref="J42">
    <cfRule type="expression" dxfId="74"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454" t="s">
        <v>2082</v>
      </c>
      <c r="D1" s="3455"/>
      <c r="E1" s="3455"/>
      <c r="F1" s="3455"/>
      <c r="G1" s="3455"/>
      <c r="H1" s="3455"/>
      <c r="I1" s="3455"/>
      <c r="J1" s="3455"/>
      <c r="K1" s="3455"/>
      <c r="L1" s="3455"/>
      <c r="M1" s="3455"/>
      <c r="N1" s="3455"/>
      <c r="O1" s="3455"/>
      <c r="P1" s="3455"/>
      <c r="Q1" s="3455"/>
      <c r="R1" s="3455"/>
      <c r="S1" s="3456"/>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2"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6">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51" t="s">
        <v>27</v>
      </c>
      <c r="D22" s="3452"/>
      <c r="E22" s="3452"/>
      <c r="F22" s="3452"/>
      <c r="G22" s="3452"/>
      <c r="H22" s="3452"/>
      <c r="I22" s="3452"/>
      <c r="J22" s="3452"/>
      <c r="K22" s="3452"/>
      <c r="L22" s="3452"/>
      <c r="M22" s="3452"/>
      <c r="N22" s="3452"/>
      <c r="O22" s="3452"/>
      <c r="P22" s="3452"/>
      <c r="Q22" s="3453"/>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3"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2079</v>
      </c>
      <c r="B1" s="4"/>
      <c r="C1" s="4"/>
      <c r="D1" s="4"/>
      <c r="E1" s="4"/>
      <c r="F1" s="2543"/>
      <c r="G1" s="2543"/>
      <c r="H1" s="2543"/>
      <c r="I1" s="2543"/>
      <c r="J1" s="2543"/>
      <c r="K1" s="2543"/>
      <c r="L1" s="2543"/>
      <c r="M1" s="2543"/>
      <c r="N1" s="2543"/>
      <c r="O1" s="2543"/>
      <c r="P1" s="2543"/>
    </row>
    <row r="2" spans="1:16" ht="15.6">
      <c r="A2" s="1984" t="s">
        <v>2071</v>
      </c>
      <c r="B2" s="2387">
        <f ca="1">SUMIF(B6:B13,"&lt;&gt;#ref!",B6:B13)</f>
        <v>179</v>
      </c>
      <c r="C2" s="1984" t="s">
        <v>2072</v>
      </c>
      <c r="D2" s="1984" t="s">
        <v>2073</v>
      </c>
      <c r="E2" s="2397">
        <f ca="1">SUMIF(E6:E13,"&lt;&gt;#ref!",E6:E13)</f>
        <v>0</v>
      </c>
      <c r="F2" s="2543"/>
      <c r="G2" s="2543"/>
      <c r="H2" s="2543"/>
      <c r="I2" s="2543"/>
      <c r="J2" s="2543"/>
      <c r="K2" s="2543"/>
      <c r="L2" s="2543"/>
      <c r="M2" s="2543"/>
      <c r="N2" s="2543"/>
      <c r="O2" s="2543"/>
      <c r="P2" s="2543"/>
    </row>
    <row r="3" spans="1:16" ht="15.6">
      <c r="A3" s="1984" t="s">
        <v>2074</v>
      </c>
      <c r="B3" s="2387" t="e">
        <f ca="1">ROUND(B2*10000/E2,0)</f>
        <v>#DIV/0!</v>
      </c>
      <c r="C3" s="1984" t="s">
        <v>2080</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2075</v>
      </c>
      <c r="B5" s="2395" t="s">
        <v>2076</v>
      </c>
      <c r="C5" s="1985"/>
      <c r="D5" s="2543"/>
      <c r="E5" s="2396" t="s">
        <v>2077</v>
      </c>
      <c r="F5" s="2543"/>
      <c r="G5" s="2543"/>
      <c r="H5" s="2543"/>
      <c r="I5" s="2543"/>
      <c r="J5" s="2543"/>
      <c r="K5" s="2543"/>
      <c r="L5" s="2543"/>
      <c r="M5" s="2543"/>
      <c r="N5" s="2543"/>
      <c r="O5" s="2543"/>
      <c r="P5" s="2543"/>
    </row>
    <row r="6" spans="1:16" ht="15.6">
      <c r="A6" s="2394" t="s">
        <v>2078</v>
      </c>
      <c r="B6" s="2387">
        <f ca="1">SUMIF(INDIRECT("'"&amp;A6&amp;"'"&amp;"!A:A"),"总价",INDIRECT("'"&amp;A6&amp;"'"&amp;"!B:B"))</f>
        <v>179</v>
      </c>
      <c r="C6" s="1984" t="s">
        <v>2072</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2072</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2072</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2072</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2072</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2072</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2072</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2072</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8312C-A10C-4468-A1AF-4E06AC46D913}">
  <sheetPr>
    <tabColor rgb="FFFF0000"/>
  </sheetPr>
  <dimension ref="A1:AJ512"/>
  <sheetViews>
    <sheetView view="pageBreakPreview" topLeftCell="A106" zoomScaleNormal="100" zoomScaleSheetLayoutView="100" zoomScalePageLayoutView="80" workbookViewId="0">
      <selection activeCell="C1" sqref="C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1260</v>
      </c>
      <c r="B1" s="646"/>
      <c r="C1" s="1620" t="s">
        <v>3603</v>
      </c>
      <c r="D1" s="646"/>
      <c r="E1" s="646"/>
      <c r="F1" s="1621" t="s">
        <v>1261</v>
      </c>
      <c r="G1" s="1453" t="s">
        <v>3397</v>
      </c>
      <c r="H1" s="1621" t="str">
        <f>IF(G1="现房","——","估价对象范围")</f>
        <v>——</v>
      </c>
      <c r="I1" s="1622"/>
    </row>
    <row r="2" spans="1:12" ht="21.75" customHeight="1" thickBot="1">
      <c r="A2" s="3324" t="str">
        <f>项目基本情况!S2</f>
        <v>北京市大兴区兴丰街（二段）36-60号（双号）2幢1至2层42、54、56号房地产</v>
      </c>
      <c r="B2" s="3325"/>
      <c r="C2" s="3325"/>
      <c r="D2" s="3325"/>
      <c r="E2" s="3325"/>
      <c r="F2" s="3325"/>
      <c r="G2" s="3325"/>
      <c r="H2" s="3325"/>
      <c r="I2" s="3326"/>
    </row>
    <row r="3" spans="1:12" ht="13.2">
      <c r="A3" s="3328" t="s">
        <v>1262</v>
      </c>
      <c r="B3" s="3329"/>
      <c r="C3" s="3329"/>
      <c r="D3" s="3329"/>
      <c r="E3" s="3329"/>
      <c r="F3" s="3329"/>
      <c r="G3" s="3329"/>
      <c r="H3" s="3329"/>
      <c r="I3" s="3329"/>
    </row>
    <row r="4" spans="1:12" ht="14.4">
      <c r="A4" s="1624" t="s">
        <v>1263</v>
      </c>
      <c r="B4" s="1625" t="s">
        <v>1264</v>
      </c>
      <c r="C4" s="1626" t="s">
        <v>3606</v>
      </c>
      <c r="D4" s="1626" t="s">
        <v>3604</v>
      </c>
      <c r="E4" s="3333" t="s">
        <v>1265</v>
      </c>
      <c r="F4" s="3334"/>
      <c r="G4" s="3334"/>
      <c r="H4" s="3334"/>
      <c r="I4" s="3335"/>
      <c r="K4" s="138" t="str">
        <f>IF(ISNUMBER(FIND("比较法",'54号结果表'!C4)),"比较法",IF(ISNUMBER(FIND("成本法",'54号结果表'!C4)),"成本法",IF(ISNUMBER(FIND("假设开发法",'54号结果表'!C4)),"假设开发法",IF(ISNUMBER(FIND("收益法",'54号结果表'!C4)),"收益法","基准地价系数修正法"))))</f>
        <v>比较法</v>
      </c>
      <c r="L4" s="138" t="str">
        <f>IF(ISNUMBER(FIND("比较法",'54号结果表'!D4)),"比较法",IF(ISNUMBER(FIND("成本法",'54号结果表'!D4)),"成本法",IF(ISNUMBER(FIND("假设开发法",'54号结果表'!D4)),"假设开发法",IF(ISNUMBER(FIND("收益法",'54号结果表'!D4)),"收益法","基准地价系数修正法"))))</f>
        <v>收益法</v>
      </c>
    </row>
    <row r="5" spans="1:12" ht="13.2">
      <c r="A5" s="3272" t="s">
        <v>1266</v>
      </c>
      <c r="B5" s="3327">
        <v>25</v>
      </c>
      <c r="C5" s="3330"/>
      <c r="D5" s="3318"/>
      <c r="E5" s="123" t="s">
        <v>1267</v>
      </c>
      <c r="F5" s="1627"/>
      <c r="G5" s="1627"/>
      <c r="H5" s="1627"/>
      <c r="I5" s="1281"/>
    </row>
    <row r="6" spans="1:12" ht="13.2">
      <c r="A6" s="3272"/>
      <c r="B6" s="3327"/>
      <c r="C6" s="3332"/>
      <c r="D6" s="3318"/>
      <c r="E6" s="123" t="s">
        <v>1268</v>
      </c>
      <c r="F6" s="1627"/>
      <c r="G6" s="1627"/>
      <c r="H6" s="1627"/>
      <c r="I6" s="1281"/>
    </row>
    <row r="7" spans="1:12" ht="13.2">
      <c r="A7" s="3272"/>
      <c r="B7" s="3327"/>
      <c r="C7" s="3331"/>
      <c r="D7" s="3318"/>
      <c r="E7" s="123" t="s">
        <v>1269</v>
      </c>
      <c r="F7" s="1627"/>
      <c r="G7" s="1627"/>
      <c r="H7" s="1627"/>
      <c r="I7" s="1281"/>
    </row>
    <row r="8" spans="1:12" ht="13.2">
      <c r="A8" s="3272" t="s">
        <v>1270</v>
      </c>
      <c r="B8" s="3327">
        <v>15</v>
      </c>
      <c r="C8" s="3330"/>
      <c r="D8" s="3318"/>
      <c r="E8" s="123" t="s">
        <v>1271</v>
      </c>
      <c r="F8" s="1627"/>
      <c r="G8" s="1627"/>
      <c r="H8" s="1627"/>
      <c r="I8" s="1281"/>
    </row>
    <row r="9" spans="1:12" ht="13.2">
      <c r="A9" s="3272"/>
      <c r="B9" s="3327"/>
      <c r="C9" s="3331"/>
      <c r="D9" s="3318"/>
      <c r="E9" s="123" t="s">
        <v>1272</v>
      </c>
      <c r="F9" s="1627"/>
      <c r="G9" s="1627"/>
      <c r="H9" s="1627"/>
      <c r="I9" s="1281"/>
    </row>
    <row r="10" spans="1:12" ht="13.2">
      <c r="A10" s="3272" t="s">
        <v>1273</v>
      </c>
      <c r="B10" s="3327">
        <v>15</v>
      </c>
      <c r="C10" s="3330"/>
      <c r="D10" s="3318"/>
      <c r="E10" s="123" t="s">
        <v>1274</v>
      </c>
      <c r="F10" s="1627"/>
      <c r="G10" s="1627"/>
      <c r="H10" s="1627"/>
      <c r="I10" s="1281"/>
    </row>
    <row r="11" spans="1:12" ht="13.2">
      <c r="A11" s="3272"/>
      <c r="B11" s="3327"/>
      <c r="C11" s="3331"/>
      <c r="D11" s="3318"/>
      <c r="E11" s="123" t="s">
        <v>1275</v>
      </c>
      <c r="F11" s="1627"/>
      <c r="G11" s="1627"/>
      <c r="H11" s="1627"/>
      <c r="I11" s="1281"/>
    </row>
    <row r="12" spans="1:12" ht="13.2">
      <c r="A12" s="3272" t="s">
        <v>1276</v>
      </c>
      <c r="B12" s="3327">
        <v>15</v>
      </c>
      <c r="C12" s="3330"/>
      <c r="D12" s="3318"/>
      <c r="E12" s="123" t="s">
        <v>1277</v>
      </c>
      <c r="F12" s="1627"/>
      <c r="G12" s="1627"/>
      <c r="H12" s="1627"/>
      <c r="I12" s="1281"/>
    </row>
    <row r="13" spans="1:12" ht="13.2">
      <c r="A13" s="3272"/>
      <c r="B13" s="3327"/>
      <c r="C13" s="3331"/>
      <c r="D13" s="3318"/>
      <c r="E13" s="123" t="s">
        <v>1278</v>
      </c>
      <c r="F13" s="1627"/>
      <c r="G13" s="1627"/>
      <c r="H13" s="1627"/>
      <c r="I13" s="1281"/>
    </row>
    <row r="14" spans="1:12" ht="13.2">
      <c r="A14" s="3272" t="s">
        <v>1279</v>
      </c>
      <c r="B14" s="3327">
        <v>30</v>
      </c>
      <c r="C14" s="3330">
        <v>7</v>
      </c>
      <c r="D14" s="3318">
        <v>3</v>
      </c>
      <c r="E14" s="123" t="s">
        <v>1280</v>
      </c>
      <c r="F14" s="1627"/>
      <c r="G14" s="1627"/>
      <c r="H14" s="1627"/>
      <c r="I14" s="1281"/>
    </row>
    <row r="15" spans="1:12" ht="13.2">
      <c r="A15" s="3272"/>
      <c r="B15" s="3327"/>
      <c r="C15" s="3332"/>
      <c r="D15" s="3318"/>
      <c r="E15" s="123" t="s">
        <v>1281</v>
      </c>
      <c r="F15" s="1627"/>
      <c r="G15" s="1627"/>
      <c r="H15" s="1627"/>
      <c r="I15" s="1281"/>
    </row>
    <row r="16" spans="1:12" ht="13.2">
      <c r="A16" s="3272"/>
      <c r="B16" s="3327"/>
      <c r="C16" s="3331"/>
      <c r="D16" s="3318"/>
      <c r="E16" s="123" t="s">
        <v>1282</v>
      </c>
      <c r="F16" s="1627"/>
      <c r="G16" s="1627"/>
      <c r="H16" s="1627"/>
      <c r="I16" s="1281"/>
    </row>
    <row r="17" spans="1:36" ht="14.4">
      <c r="A17" s="1628" t="s">
        <v>1283</v>
      </c>
      <c r="B17" s="54"/>
      <c r="C17" s="124">
        <f>SUM(C5:C16)</f>
        <v>7</v>
      </c>
      <c r="D17" s="124">
        <f>SUM(D5:D16)</f>
        <v>3</v>
      </c>
      <c r="E17" s="121"/>
      <c r="F17" s="121"/>
      <c r="G17" s="121"/>
      <c r="H17" s="121"/>
      <c r="I17" s="121"/>
      <c r="K17" s="294"/>
      <c r="L17" s="294" t="s">
        <v>1284</v>
      </c>
      <c r="M17" s="294" t="s">
        <v>1285</v>
      </c>
    </row>
    <row r="18" spans="1:36" ht="31.95" customHeight="1" thickBot="1">
      <c r="A18" s="1629" t="s">
        <v>1286</v>
      </c>
      <c r="B18" s="1542"/>
      <c r="C18" s="125">
        <f>ROUND(C17/SUM(C17:D17),2)</f>
        <v>0.7</v>
      </c>
      <c r="D18" s="125">
        <f>1-C18</f>
        <v>0.30000000000000004</v>
      </c>
      <c r="E18" s="3349" t="s">
        <v>2129</v>
      </c>
      <c r="F18" s="3350"/>
      <c r="G18" s="3350"/>
      <c r="H18" s="3350"/>
      <c r="I18" s="3350"/>
      <c r="K18" s="294" t="s">
        <v>1287</v>
      </c>
      <c r="L18" s="294">
        <f>IF(C1="",'数据-汇总表'!E3,SUMIF(项目类型,C1,'数据-汇总表'!E17:E26)+SUMIF(项目类型,C1,'数据-汇总表'!I17:I26))</f>
        <v>152.88999999999999</v>
      </c>
      <c r="M18" s="294">
        <f>IF(C1="",'数据-汇总表'!E3,SUMIF(项目类型,C1,'数据-汇总表'!E17:E26))</f>
        <v>152.88999999999999</v>
      </c>
    </row>
    <row r="19" spans="1:36" ht="14.4">
      <c r="A19" s="1630" t="s">
        <v>1288</v>
      </c>
      <c r="B19" s="1631" t="s">
        <v>1289</v>
      </c>
      <c r="C19" s="126">
        <f ca="1">SUMIF(INDIRECT("'"&amp;C4&amp;"'"&amp;"!A:A"),'54号结果表'!B19,INDIRECT("'"&amp;C4&amp;"'"&amp;"!B:B"))</f>
        <v>618.97519999999997</v>
      </c>
      <c r="D19" s="127">
        <f ca="1">SUMIF(INDIRECT("'"&amp;D4&amp;"'"&amp;"!A:A"),'54号结果表'!B19,INDIRECT("'"&amp;D4&amp;"'"&amp;"!B:B"))</f>
        <v>341.46230000000003</v>
      </c>
      <c r="E19" s="1630" t="s">
        <v>1290</v>
      </c>
      <c r="F19" s="1631" t="s">
        <v>1289</v>
      </c>
      <c r="G19" s="128">
        <f ca="1">ROUND(C19*$C$18+D19*$D$18,0)</f>
        <v>536</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4.4">
      <c r="A20" s="1633"/>
      <c r="B20" s="43" t="s">
        <v>1293</v>
      </c>
      <c r="C20" s="129">
        <f ca="1">SUMIF(INDIRECT("'"&amp;C4&amp;"'"&amp;"!A:A"),'54号结果表'!B20,INDIRECT("'"&amp;C4&amp;"'"&amp;"!B:B"))</f>
        <v>40485</v>
      </c>
      <c r="D20" s="130">
        <f ca="1">SUMIF(INDIRECT("'"&amp;D4&amp;"'"&amp;"!A:A"),'54号结果表'!B20,INDIRECT("'"&amp;D4&amp;"'"&amp;"!B:B"))</f>
        <v>22334</v>
      </c>
      <c r="E20" s="1633"/>
      <c r="F20" s="43" t="s">
        <v>1293</v>
      </c>
      <c r="G20" s="131">
        <f ca="1">ROUND(C20*$C$18+D20*$D$18,0)</f>
        <v>35040</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0.81271900294703081</v>
      </c>
      <c r="E22" s="121"/>
      <c r="F22" s="121"/>
      <c r="G22" s="121"/>
      <c r="H22" s="121"/>
      <c r="I22" s="121"/>
    </row>
    <row r="23" spans="1:36" ht="13.8" thickBot="1">
      <c r="A23" s="646"/>
      <c r="B23" s="646"/>
      <c r="C23" s="646"/>
      <c r="D23" s="646"/>
      <c r="E23" s="121"/>
      <c r="F23" s="121"/>
      <c r="G23" s="121"/>
      <c r="H23" s="121"/>
      <c r="I23" s="121"/>
    </row>
    <row r="24" spans="1:36" ht="14.4">
      <c r="A24" s="3342" t="s">
        <v>1297</v>
      </c>
      <c r="B24" s="1631" t="s">
        <v>1289</v>
      </c>
      <c r="C24" s="128">
        <f>IF(B30=0,0,D30)</f>
        <v>0</v>
      </c>
      <c r="D24" s="1637"/>
      <c r="E24" s="121"/>
      <c r="F24" s="121"/>
      <c r="G24" s="121"/>
      <c r="H24" s="121"/>
      <c r="I24" s="121"/>
    </row>
    <row r="25" spans="1:36" ht="14.4">
      <c r="A25" s="3343"/>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1303</v>
      </c>
      <c r="B32" s="1535"/>
      <c r="C32" s="136">
        <f ca="1">IF(D32="总价",G19-C24,G20-C25)</f>
        <v>35040</v>
      </c>
      <c r="D32" s="1641" t="s">
        <v>3572</v>
      </c>
      <c r="E32" s="121"/>
      <c r="F32" s="121"/>
      <c r="G32" s="121"/>
      <c r="H32" s="121"/>
      <c r="I32" s="121"/>
    </row>
    <row r="33" spans="1:15" ht="14.4">
      <c r="A33" s="740" t="s">
        <v>1304</v>
      </c>
      <c r="B33" s="123"/>
      <c r="C33" s="1642" t="s">
        <v>3573</v>
      </c>
      <c r="D33" s="1643"/>
      <c r="E33" s="1644" t="s">
        <v>1305</v>
      </c>
      <c r="F33" s="1645" t="str">
        <f>IF(D32="楼面单价","取值（单价）","取值（总价）")</f>
        <v>取值（单价）</v>
      </c>
      <c r="G33" s="121"/>
      <c r="H33" s="121"/>
      <c r="I33" s="121"/>
    </row>
    <row r="34" spans="1:15" ht="14.4">
      <c r="A34" s="1646"/>
      <c r="B34" s="1647" t="s">
        <v>1306</v>
      </c>
      <c r="C34" s="140">
        <f>IF(C33="自定义",F34,C32-C35)</f>
        <v>0</v>
      </c>
      <c r="D34" s="808">
        <f ca="1">IF(C33="自定义",ROUND(C34/C32,3),IF(C33="收益比率",SUMIF(INDIRECT("'"&amp;D33&amp;"'"&amp;"!b:b"),"土地收益比率",INDIRECT("'"&amp;D33&amp;"'"&amp;"!c:c")),SUMIF(INDIRECT("'"&amp;D33&amp;"'"&amp;"!b:b"),"土地成本比率",INDIRECT("'"&amp;D33&amp;"'"&amp;"!c:c"))))</f>
        <v>0</v>
      </c>
      <c r="E34" s="1648" t="s">
        <v>1307</v>
      </c>
      <c r="F34" s="1243"/>
      <c r="G34" s="121"/>
      <c r="H34" s="121"/>
      <c r="I34" s="121"/>
    </row>
    <row r="35" spans="1:15" ht="15" thickBot="1">
      <c r="A35" s="1649"/>
      <c r="B35" s="1650" t="s">
        <v>1308</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1309</v>
      </c>
      <c r="F35" s="146"/>
      <c r="G35" s="121"/>
      <c r="H35" s="121"/>
      <c r="I35" s="121"/>
    </row>
    <row r="36" spans="1:15" ht="15" thickBot="1">
      <c r="A36" s="3319" t="s">
        <v>1310</v>
      </c>
      <c r="B36" s="1652" t="s">
        <v>1311</v>
      </c>
      <c r="C36" s="137"/>
      <c r="D36" s="1653"/>
      <c r="E36" s="1567"/>
      <c r="F36" s="1654"/>
      <c r="G36" s="121"/>
      <c r="H36" s="121"/>
      <c r="I36" s="121"/>
    </row>
    <row r="37" spans="1:15" ht="15" thickBot="1">
      <c r="A37" s="3320"/>
      <c r="B37" s="1555" t="s">
        <v>1312</v>
      </c>
      <c r="C37" s="139"/>
      <c r="D37" s="1071"/>
      <c r="E37" s="1071"/>
      <c r="F37" s="1654"/>
      <c r="G37" s="121"/>
      <c r="H37" s="121"/>
      <c r="I37" s="121"/>
    </row>
    <row r="38" spans="1:15" ht="15" thickBot="1">
      <c r="A38" s="3321"/>
      <c r="B38" s="1655" t="s">
        <v>1313</v>
      </c>
      <c r="C38" s="641"/>
      <c r="D38" s="1656" t="s">
        <v>1314</v>
      </c>
      <c r="E38" s="1071"/>
      <c r="F38" s="1654"/>
      <c r="G38" s="121"/>
      <c r="H38" s="121"/>
      <c r="I38" s="121"/>
    </row>
    <row r="39" spans="1:15" ht="14.4">
      <c r="A39" s="1633" t="s">
        <v>1315</v>
      </c>
      <c r="B39" s="1657" t="s">
        <v>1299</v>
      </c>
      <c r="C39" s="1658" t="s">
        <v>1300</v>
      </c>
      <c r="D39" s="1658" t="s">
        <v>1318</v>
      </c>
      <c r="E39" s="1659" t="s">
        <v>1301</v>
      </c>
      <c r="F39" s="1654"/>
      <c r="G39" s="121"/>
      <c r="H39" s="121"/>
      <c r="I39" s="121"/>
    </row>
    <row r="40" spans="1:15" ht="13.8">
      <c r="A40" s="1660" t="s">
        <v>1320</v>
      </c>
      <c r="B40" s="141"/>
      <c r="C40" s="142"/>
      <c r="D40" s="142"/>
      <c r="E40" s="143"/>
      <c r="F40" s="1654"/>
      <c r="G40" s="121"/>
      <c r="H40" s="121"/>
      <c r="I40" s="121"/>
    </row>
    <row r="41" spans="1:15" ht="13.8">
      <c r="A41" s="1660" t="s">
        <v>1321</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1322</v>
      </c>
      <c r="B44" s="1664"/>
      <c r="C44" s="1664"/>
      <c r="D44" s="1665"/>
      <c r="E44" s="1665"/>
      <c r="F44" s="1666"/>
      <c r="G44" s="1666"/>
      <c r="H44" s="1666"/>
      <c r="I44" s="1666"/>
      <c r="J44" s="1667" t="s">
        <v>1323</v>
      </c>
      <c r="K44" s="4"/>
      <c r="L44" s="4"/>
      <c r="M44" s="4"/>
      <c r="N44" s="4"/>
      <c r="O44" s="4"/>
    </row>
    <row r="45" spans="1:15" ht="14.25" customHeight="1" thickBot="1">
      <c r="A45" s="3339" t="s">
        <v>1324</v>
      </c>
      <c r="B45" s="3340"/>
      <c r="C45" s="3341"/>
      <c r="D45" s="147">
        <f ca="1">ROUND(H101*F45,0)</f>
        <v>536</v>
      </c>
      <c r="E45" s="148" t="s">
        <v>1325</v>
      </c>
      <c r="F45" s="149">
        <v>1</v>
      </c>
      <c r="G45" s="150" t="s">
        <v>1326</v>
      </c>
      <c r="H45" s="121"/>
      <c r="I45" s="121"/>
      <c r="J45" s="3259" t="s">
        <v>1327</v>
      </c>
      <c r="K45" s="3259"/>
      <c r="L45" s="3259"/>
      <c r="M45" s="3259"/>
      <c r="N45" s="3259"/>
      <c r="O45" s="3259"/>
    </row>
    <row r="46" spans="1:15" ht="14.25" customHeight="1">
      <c r="A46" s="3336" t="s">
        <v>1328</v>
      </c>
      <c r="B46" s="3337"/>
      <c r="C46" s="3337"/>
      <c r="D46" s="3337"/>
      <c r="E46" s="3337"/>
      <c r="F46" s="3337"/>
      <c r="G46" s="3338"/>
      <c r="H46" s="1668"/>
      <c r="I46" s="151"/>
      <c r="J46" s="2309">
        <v>1</v>
      </c>
      <c r="K46" s="3260" t="s">
        <v>1329</v>
      </c>
      <c r="L46" s="3260"/>
      <c r="M46" s="3261"/>
      <c r="N46" s="3261"/>
      <c r="O46" s="3261"/>
    </row>
    <row r="47" spans="1:15" ht="12" customHeight="1">
      <c r="A47" s="152" t="s">
        <v>1330</v>
      </c>
      <c r="B47" s="153"/>
      <c r="C47" s="154"/>
      <c r="D47" s="1024" t="s">
        <v>1331</v>
      </c>
      <c r="E47" s="294" t="s">
        <v>1332</v>
      </c>
      <c r="F47" s="155" t="s">
        <v>1333</v>
      </c>
      <c r="G47" s="2332" t="s">
        <v>1334</v>
      </c>
      <c r="H47" s="2333"/>
      <c r="I47" s="151"/>
      <c r="J47" s="2309">
        <v>2</v>
      </c>
      <c r="K47" s="3260" t="s">
        <v>1335</v>
      </c>
      <c r="L47" s="3260"/>
      <c r="M47" s="3262">
        <f>'数据-取费表'!B2</f>
        <v>45635</v>
      </c>
      <c r="N47" s="3262"/>
      <c r="O47" s="3262"/>
    </row>
    <row r="48" spans="1:15" ht="26.4">
      <c r="A48" s="3322" t="s">
        <v>1336</v>
      </c>
      <c r="B48" s="3323"/>
      <c r="C48" s="332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1337</v>
      </c>
      <c r="H48" s="2336"/>
      <c r="I48" s="1668"/>
      <c r="J48" s="2309">
        <v>3</v>
      </c>
      <c r="K48" s="3260" t="s">
        <v>1338</v>
      </c>
      <c r="L48" s="3260"/>
      <c r="M48" s="3263">
        <f ca="1">H101</f>
        <v>535.72659999999996</v>
      </c>
      <c r="N48" s="3263"/>
      <c r="O48" s="3263"/>
    </row>
    <row r="49" spans="1:35" ht="25.5" customHeight="1">
      <c r="A49" s="2152" t="s">
        <v>1339</v>
      </c>
      <c r="B49" s="3308" t="s">
        <v>1340</v>
      </c>
      <c r="C49" s="3308"/>
      <c r="D49" s="1478">
        <v>0</v>
      </c>
      <c r="E49" s="316" t="s">
        <v>1341</v>
      </c>
      <c r="F49" s="2232" t="s">
        <v>28</v>
      </c>
      <c r="G49" s="3291"/>
      <c r="H49" s="2134" t="s">
        <v>2132</v>
      </c>
      <c r="I49" s="2135"/>
      <c r="J49" s="2309">
        <v>4</v>
      </c>
      <c r="K49" s="3260" t="str">
        <f>IF(项目基本情况!E8="房地产抵押价值","房地产抵押价值","抵押担保权已注销时的房地产抵押价值")</f>
        <v>房地产抵押价值</v>
      </c>
      <c r="L49" s="3260"/>
      <c r="M49" s="3263">
        <f ca="1">IF(项目基本情况!E8="房地产抵押价值",H107,H109)</f>
        <v>535.72659999999996</v>
      </c>
      <c r="N49" s="3263"/>
      <c r="O49" s="3263"/>
    </row>
    <row r="50" spans="1:35" ht="25.5" customHeight="1">
      <c r="A50" s="2337"/>
      <c r="B50" s="3308" t="s">
        <v>1342</v>
      </c>
      <c r="C50" s="3308"/>
      <c r="D50" s="2189"/>
      <c r="E50" s="323"/>
      <c r="F50" s="2232"/>
      <c r="G50" s="3292"/>
      <c r="H50" s="2136" t="s">
        <v>2133</v>
      </c>
      <c r="I50" s="2135"/>
      <c r="J50" s="3259" t="s">
        <v>1343</v>
      </c>
      <c r="K50" s="3259"/>
      <c r="L50" s="3259"/>
      <c r="M50" s="3259"/>
      <c r="N50" s="3259"/>
      <c r="O50" s="3259"/>
    </row>
    <row r="51" spans="1:35" ht="20.399999999999999" customHeight="1">
      <c r="A51" s="2338"/>
      <c r="B51" s="3308" t="s">
        <v>1344</v>
      </c>
      <c r="C51" s="3308"/>
      <c r="D51" s="1024"/>
      <c r="E51" s="319"/>
      <c r="F51" s="2232"/>
      <c r="G51" s="3293"/>
      <c r="H51" s="2136" t="s">
        <v>2134</v>
      </c>
      <c r="I51" s="2135"/>
      <c r="J51" s="2310" t="s">
        <v>1345</v>
      </c>
      <c r="K51" s="3260" t="s">
        <v>1346</v>
      </c>
      <c r="L51" s="3260"/>
      <c r="M51" s="2310" t="s">
        <v>1347</v>
      </c>
      <c r="N51" s="2310" t="s">
        <v>1348</v>
      </c>
      <c r="O51" s="2310" t="s">
        <v>1349</v>
      </c>
    </row>
    <row r="52" spans="1:35" ht="24" customHeight="1">
      <c r="A52" s="2153" t="s">
        <v>1350</v>
      </c>
      <c r="B52" s="3308" t="s">
        <v>1351</v>
      </c>
      <c r="C52" s="3308"/>
      <c r="D52" s="1024">
        <f ca="1">ROUND(D45*'数据-取费表'!B41/(1+'数据-取费表'!C42),0)</f>
        <v>28</v>
      </c>
      <c r="E52" s="1256" t="s">
        <v>1352</v>
      </c>
      <c r="F52" s="2339">
        <f>'数据-取费表'!B41</f>
        <v>5.5000000000000007E-2</v>
      </c>
      <c r="G52" s="2340"/>
      <c r="H52" s="2330"/>
      <c r="I52" s="1669"/>
      <c r="J52" s="2309">
        <v>1</v>
      </c>
      <c r="K52" s="3285" t="s">
        <v>1353</v>
      </c>
      <c r="L52" s="3285"/>
      <c r="M52" s="2311" t="b">
        <f>D48</f>
        <v>0</v>
      </c>
      <c r="N52" s="2309" t="str">
        <f>E48</f>
        <v>销售额×税（费）率</v>
      </c>
      <c r="O52" s="2312">
        <f>F48</f>
        <v>5.5000000000000007E-2</v>
      </c>
    </row>
    <row r="53" spans="1:35" ht="12" customHeight="1">
      <c r="A53" s="2153" t="s">
        <v>1354</v>
      </c>
      <c r="B53" s="3309" t="s">
        <v>2289</v>
      </c>
      <c r="C53" s="3310"/>
      <c r="D53" s="1024">
        <f ca="1">ROUND(D45*'数据-取费表'!B41/(1+'数据-取费表'!C42),0)</f>
        <v>28</v>
      </c>
      <c r="E53" s="1256" t="s">
        <v>1352</v>
      </c>
      <c r="F53" s="2339">
        <f>'数据-取费表'!B41</f>
        <v>5.5000000000000007E-2</v>
      </c>
      <c r="G53" s="2340"/>
      <c r="H53" s="2330"/>
      <c r="I53" s="1669"/>
      <c r="J53" s="2309">
        <v>2</v>
      </c>
      <c r="K53" s="3285" t="s">
        <v>1355</v>
      </c>
      <c r="L53" s="3285"/>
      <c r="M53" s="2311">
        <f t="shared" ref="M53:O54" ca="1" si="0">D55</f>
        <v>0</v>
      </c>
      <c r="N53" s="2309" t="str">
        <f t="shared" si="0"/>
        <v>销售额×税（费）率</v>
      </c>
      <c r="O53" s="2312" t="str">
        <f t="shared" si="0"/>
        <v>免征</v>
      </c>
    </row>
    <row r="54" spans="1:35" ht="12" customHeight="1">
      <c r="A54" s="2153" t="s">
        <v>1356</v>
      </c>
      <c r="B54" s="3309" t="s">
        <v>2290</v>
      </c>
      <c r="C54" s="3310"/>
      <c r="D54" s="1024">
        <f ca="1">C68</f>
        <v>28</v>
      </c>
      <c r="E54" s="319" t="s">
        <v>1357</v>
      </c>
      <c r="F54" s="2339">
        <f>'数据-取费表'!B41</f>
        <v>5.5000000000000007E-2</v>
      </c>
      <c r="G54" s="2340"/>
      <c r="H54" s="2341"/>
      <c r="I54" s="1669"/>
      <c r="J54" s="2309">
        <v>3</v>
      </c>
      <c r="K54" s="3285" t="s">
        <v>1358</v>
      </c>
      <c r="L54" s="3285"/>
      <c r="M54" s="2311">
        <f t="shared" ca="1" si="0"/>
        <v>303</v>
      </c>
      <c r="N54" s="2309" t="str">
        <f t="shared" si="0"/>
        <v>增值额×税（费）率</v>
      </c>
      <c r="O54" s="2313" t="str">
        <f t="shared" si="0"/>
        <v>免征</v>
      </c>
    </row>
    <row r="55" spans="1:35" ht="24" customHeight="1">
      <c r="A55" s="3345" t="s">
        <v>1359</v>
      </c>
      <c r="B55" s="3323"/>
      <c r="C55" s="3323"/>
      <c r="D55" s="12">
        <f ca="1">IF(H55="个人住宅",0,ROUND(D45*I55,0))</f>
        <v>0</v>
      </c>
      <c r="E55" s="1256" t="s">
        <v>1360</v>
      </c>
      <c r="F55" s="2339" t="str">
        <f>IF(H55="正常",I55,"免征")</f>
        <v>免征</v>
      </c>
      <c r="G55" s="2340"/>
      <c r="H55" s="2336"/>
      <c r="I55" s="157">
        <f>'数据-取费表'!B49</f>
        <v>5.0000000000000001E-4</v>
      </c>
      <c r="J55" s="2309">
        <f>IF(H59="非个人房产","",4)</f>
        <v>4</v>
      </c>
      <c r="K55" s="3285" t="str">
        <f>IF(H59="非个人房产","——","个人所得税")</f>
        <v>个人所得税</v>
      </c>
      <c r="L55" s="3285"/>
      <c r="M55" s="2314">
        <f ca="1">D59</f>
        <v>5</v>
      </c>
      <c r="N55" s="1883" t="str">
        <f>E59</f>
        <v>差额计税</v>
      </c>
      <c r="O55" s="2315">
        <f>F59</f>
        <v>0.01</v>
      </c>
    </row>
    <row r="56" spans="1:35" ht="25.2">
      <c r="A56" s="3345" t="s">
        <v>1361</v>
      </c>
      <c r="B56" s="3323"/>
      <c r="C56" s="3323"/>
      <c r="D56" s="12">
        <f ca="1">IF(H56="个人住宅",D57,D58)</f>
        <v>303</v>
      </c>
      <c r="E56" s="1256" t="s">
        <v>1362</v>
      </c>
      <c r="F56" s="2339" t="str">
        <f>IF(H56="正常",F58,"免征")</f>
        <v>免征</v>
      </c>
      <c r="G56" s="2342" t="s">
        <v>1363</v>
      </c>
      <c r="H56" s="2343"/>
      <c r="I56" s="1670"/>
      <c r="J56" s="2309" t="str">
        <f>IF(项目基本情况!K6="上海银行",IF(J55="",4,J55+1),"")</f>
        <v/>
      </c>
      <c r="K56" s="3266" t="str">
        <f>IF(项目基本情况!K6="上海银行","其他处置费用","")</f>
        <v/>
      </c>
      <c r="L56" s="3267"/>
      <c r="M56" s="2311" t="str">
        <f>IF(项目基本情况!K6="上海银行",M69,"")</f>
        <v/>
      </c>
      <c r="N56" s="3266" t="str">
        <f>IF(项目基本情况!K6="上海银行","包含处置中涉及的律师、诉讼、拍卖、评估等费用","")</f>
        <v/>
      </c>
      <c r="O56" s="3269"/>
    </row>
    <row r="57" spans="1:35" ht="13.2">
      <c r="A57" s="2153" t="s">
        <v>1339</v>
      </c>
      <c r="B57" s="3309" t="s">
        <v>1364</v>
      </c>
      <c r="C57" s="3310"/>
      <c r="D57" s="1478">
        <v>0</v>
      </c>
      <c r="E57" s="316" t="s">
        <v>1341</v>
      </c>
      <c r="F57" s="294"/>
      <c r="G57" s="2340"/>
      <c r="H57" s="2344"/>
      <c r="I57" s="1670"/>
      <c r="J57" s="3285">
        <f>IF(AND(J55="",J56=""),4,IF(项目基本情况!K6="上海银行",'54号结果表'!J56+1,'54号结果表'!J55+1))</f>
        <v>5</v>
      </c>
      <c r="K57" s="3285" t="s">
        <v>1365</v>
      </c>
      <c r="L57" s="2316" t="s">
        <v>1366</v>
      </c>
      <c r="M57" s="2317"/>
      <c r="N57" s="2318">
        <f ca="1">SUMIF(M52:M56,"&lt;9e307")</f>
        <v>308</v>
      </c>
      <c r="O57" s="2319"/>
      <c r="P57" s="2463">
        <f ca="1">N57/M49</f>
        <v>0.57492011783622476</v>
      </c>
    </row>
    <row r="58" spans="1:35" ht="25.2">
      <c r="A58" s="2153" t="s">
        <v>1350</v>
      </c>
      <c r="B58" s="3309" t="s">
        <v>1367</v>
      </c>
      <c r="C58" s="3308"/>
      <c r="D58" s="12">
        <f ca="1">IF(H58="转让取得",C81,C97)</f>
        <v>303</v>
      </c>
      <c r="E58" s="1256" t="s">
        <v>1362</v>
      </c>
      <c r="F58" s="294" t="s">
        <v>28</v>
      </c>
      <c r="G58" s="2340"/>
      <c r="H58" s="2343"/>
      <c r="I58" s="1670"/>
      <c r="J58" s="3285"/>
      <c r="K58" s="3285"/>
      <c r="L58" s="2316" t="s">
        <v>1368</v>
      </c>
      <c r="M58" s="2320"/>
      <c r="N58" s="2321" t="str">
        <f ca="1">NUMBERSTRING(INT(N57*10000),2)&amp;"元整"</f>
        <v>叁佰零捌万元整</v>
      </c>
      <c r="O58" s="2322"/>
    </row>
    <row r="59" spans="1:35" ht="24.6" thickBot="1">
      <c r="A59" s="3289" t="s">
        <v>1369</v>
      </c>
      <c r="B59" s="3290"/>
      <c r="C59" s="3290"/>
      <c r="D59" s="2345">
        <f ca="1">IF(H59="非个人房产","——",IF(H59="个人住宅（满五唯一有凭证）",0,IF(H59="个人其他（无凭证）",ROUND(D45*F59,0),ROUND(C67*F59,0))))</f>
        <v>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8"/>
      <c r="I59" s="2137" t="s">
        <v>2135</v>
      </c>
      <c r="J59" s="3287">
        <f>J57+1</f>
        <v>6</v>
      </c>
      <c r="K59" s="3285" t="s">
        <v>1370</v>
      </c>
      <c r="L59" s="2309" t="s">
        <v>1366</v>
      </c>
      <c r="M59" s="2323"/>
      <c r="N59" s="2324">
        <f ca="1">M49-N57</f>
        <v>227.72659999999996</v>
      </c>
      <c r="O59" s="2325"/>
    </row>
    <row r="60" spans="1:35" ht="12" customHeight="1">
      <c r="A60" s="1671"/>
      <c r="B60" s="646"/>
      <c r="C60" s="646"/>
      <c r="D60" s="646"/>
      <c r="E60" s="1466"/>
      <c r="F60" s="1670"/>
      <c r="G60" s="1670"/>
      <c r="H60" s="151"/>
      <c r="I60" s="121"/>
      <c r="J60" s="3288"/>
      <c r="K60" s="3285"/>
      <c r="L60" s="2316" t="s">
        <v>1368</v>
      </c>
      <c r="M60" s="2320"/>
      <c r="N60" s="2321" t="str">
        <f ca="1">NUMBERSTRING(INT(N59*10000),2)&amp;"元整"</f>
        <v>贰佰贰拾柒万柒仟贰佰陆拾陆元整</v>
      </c>
      <c r="O60" s="2322"/>
    </row>
    <row r="61" spans="1:35" ht="13.8" thickBot="1">
      <c r="A61" s="3344" t="s">
        <v>1371</v>
      </c>
      <c r="B61" s="3344"/>
      <c r="C61" s="3344"/>
      <c r="D61" s="3344"/>
      <c r="E61" s="3344"/>
      <c r="F61" s="1670"/>
      <c r="G61" s="1670"/>
      <c r="H61" s="151"/>
      <c r="I61" s="121"/>
      <c r="J61" s="2309">
        <f>J59+1</f>
        <v>7</v>
      </c>
      <c r="K61" s="3285" t="s">
        <v>1372</v>
      </c>
      <c r="L61" s="3285"/>
      <c r="M61" s="2326"/>
      <c r="N61" s="2327">
        <f ca="1">ROUND(N59*10000/'数据-汇总表'!E3,0)</f>
        <v>4749</v>
      </c>
      <c r="O61" s="2328"/>
    </row>
    <row r="62" spans="1:35" ht="13.2">
      <c r="A62" s="3304" t="s">
        <v>1373</v>
      </c>
      <c r="B62" s="3305"/>
      <c r="C62" s="1865"/>
      <c r="D62" s="1865" t="s">
        <v>1374</v>
      </c>
      <c r="E62" s="158" t="s">
        <v>1375</v>
      </c>
      <c r="F62" s="1670"/>
      <c r="G62" s="1670"/>
      <c r="H62" s="151"/>
      <c r="I62" s="121"/>
    </row>
    <row r="63" spans="1:35" ht="13.2">
      <c r="A63" s="165" t="s">
        <v>330</v>
      </c>
      <c r="B63" s="159" t="s">
        <v>1376</v>
      </c>
      <c r="C63" s="2349">
        <f ca="1">ROUND((C64+C65)/(1+'数据-取费表'!C42),0)</f>
        <v>510</v>
      </c>
      <c r="D63" s="159"/>
      <c r="E63" s="160"/>
      <c r="F63" s="1670"/>
      <c r="G63" s="1670"/>
      <c r="H63" s="151"/>
      <c r="I63" s="121"/>
      <c r="J63" s="3268" t="s">
        <v>1377</v>
      </c>
      <c r="K63" s="1245" t="s">
        <v>1378</v>
      </c>
      <c r="L63" s="1245">
        <f ca="1">IF(M49&gt;10000,M49*0.5%,IF(AND(M49&gt;1000,M49&lt;=10000),M49*1%,IF(AND(M49&gt;100,M49&lt;=1000),M49*3%,IF(AND(M49&gt;10,M49&lt;=100),M49*5%,M49*8%))))</f>
        <v>16.071797999999998</v>
      </c>
      <c r="M63" s="294">
        <f ca="1">ROUND(L63,1)</f>
        <v>16.100000000000001</v>
      </c>
      <c r="N63" s="2329"/>
      <c r="Z63" s="1623"/>
      <c r="AI63" s="1561"/>
    </row>
    <row r="64" spans="1:35" ht="14.25" customHeight="1">
      <c r="A64" s="161" t="s">
        <v>325</v>
      </c>
      <c r="B64" s="162" t="s">
        <v>1379</v>
      </c>
      <c r="C64" s="2350">
        <f ca="1">D45</f>
        <v>536</v>
      </c>
      <c r="D64" s="162" t="s">
        <v>26</v>
      </c>
      <c r="E64" s="164"/>
      <c r="F64" s="1670"/>
      <c r="G64" s="1670"/>
      <c r="H64" s="151"/>
      <c r="I64" s="121"/>
      <c r="J64" s="3268"/>
      <c r="K64" s="1245" t="s">
        <v>1380</v>
      </c>
      <c r="L64" s="1245">
        <f ca="1">IF(M49&gt;2000,M49*0.5%,IF(AND(M49&gt;1000,M49&lt;=2000),M49*0.6%,IF(AND(M49&gt;500,M49&lt;=1000),M49*0.7%,IF(AND(M49&gt;200,M49&lt;=500),M49*0.8%,IF(AND(M49&gt;100,M49&lt;=200),M49*0.9%,IF(AND(M49&gt;50,M49&lt;=100),M49*1%,IF(AND(M49&gt;20,M49&lt;=50),M49*1.5%,IF(AND(M49&gt;10,M49&lt;=20),M49*2%,IF(AND(M49&gt;1,M49&lt;=10),M49*2.5%)))))))))</f>
        <v>3.7500861999999993</v>
      </c>
      <c r="M64" s="294">
        <f t="shared" ref="M64:M65" ca="1" si="1">ROUND(L64,1)</f>
        <v>3.8</v>
      </c>
      <c r="N64" s="2330" t="s">
        <v>1381</v>
      </c>
      <c r="Z64" s="1623"/>
      <c r="AI64" s="1561"/>
    </row>
    <row r="65" spans="1:35" ht="14.25" customHeight="1">
      <c r="A65" s="161" t="s">
        <v>326</v>
      </c>
      <c r="B65" s="162" t="s">
        <v>1382</v>
      </c>
      <c r="C65" s="2351"/>
      <c r="D65" s="162"/>
      <c r="E65" s="164"/>
      <c r="F65" s="1670"/>
      <c r="G65" s="1670"/>
      <c r="H65" s="151"/>
      <c r="I65" s="121"/>
      <c r="J65" s="3268"/>
      <c r="K65" s="1245" t="s">
        <v>1383</v>
      </c>
      <c r="L65" s="1245">
        <f ca="1">IF(M49&gt;1000,M49*0.1%,IF(AND(M49&gt;500,M49&lt;=1000),M49*0.5%,IF(AND(M49&gt;50,M49&lt;=500),M49*1%,IF(AND(M49&gt;1,M49&lt;=50),M49*1.5%))))</f>
        <v>2.678633</v>
      </c>
      <c r="M65" s="294">
        <f t="shared" ca="1" si="1"/>
        <v>2.7</v>
      </c>
      <c r="N65" s="2330" t="s">
        <v>1381</v>
      </c>
      <c r="Z65" s="1623"/>
      <c r="AI65" s="1561"/>
    </row>
    <row r="66" spans="1:35" ht="14.25" customHeight="1">
      <c r="A66" s="165" t="s">
        <v>327</v>
      </c>
      <c r="B66" s="166" t="s">
        <v>1384</v>
      </c>
      <c r="C66" s="2352"/>
      <c r="D66" s="166" t="s">
        <v>26</v>
      </c>
      <c r="E66" s="1251" t="s">
        <v>670</v>
      </c>
      <c r="F66" s="1670"/>
      <c r="G66" s="1670"/>
      <c r="H66" s="151"/>
      <c r="I66" s="121"/>
      <c r="J66" s="3268"/>
      <c r="K66" s="1245" t="s">
        <v>1385</v>
      </c>
      <c r="L66" s="1245">
        <f ca="1">M49*0.5%</f>
        <v>2.678633</v>
      </c>
      <c r="M66" s="294">
        <f ca="1">IF(L66&gt;0.5,0.5,ROUND(L66,0))</f>
        <v>0.5</v>
      </c>
      <c r="N66" s="2330" t="s">
        <v>1386</v>
      </c>
      <c r="Z66" s="1623"/>
      <c r="AI66" s="1561"/>
    </row>
    <row r="67" spans="1:35" ht="14.25" customHeight="1">
      <c r="A67" s="165" t="s">
        <v>328</v>
      </c>
      <c r="B67" s="166" t="s">
        <v>1387</v>
      </c>
      <c r="C67" s="2353">
        <f ca="1">C63-C66</f>
        <v>510</v>
      </c>
      <c r="D67" s="162" t="s">
        <v>26</v>
      </c>
      <c r="E67" s="164"/>
      <c r="F67" s="1670"/>
      <c r="G67" s="1670"/>
      <c r="H67" s="151"/>
      <c r="I67" s="121"/>
      <c r="J67" s="3268"/>
      <c r="K67" s="1245" t="s">
        <v>1388</v>
      </c>
      <c r="L67" s="1245">
        <f ca="1">IF(M49&gt;=10000,(8.25+(M49-10000)*0.01%),IF(AND(M49&gt;=8000,M49&lt;10000),(7.85+(M49-8000)*0.02%),IF(AND(M49&gt;=5000,M49&lt;8000),(6.65+(M49-5000)*0.04%),IF(AND(M49&gt;=2000,M49&lt;5000),(4.25+(PM49-2000)*0.08%),IF(AND(M49&gt;=1000,M49&lt;2000),(2.75+(M49-1000)*0.15%),IF(AND(M49&gt;=100,M49&lt;1000),(0.5+(M49-100)*0.25%),IF(AND(M49&gt;0,M49&lt;100),M49*0.5%)))))))</f>
        <v>1.5893165</v>
      </c>
      <c r="M67" s="294">
        <f ca="1">ROUND(L67*0.9,1)</f>
        <v>1.4</v>
      </c>
      <c r="N67" s="2329"/>
      <c r="Z67" s="1623"/>
      <c r="AI67" s="1561"/>
    </row>
    <row r="68" spans="1:35" ht="14.25" customHeight="1" thickBot="1">
      <c r="A68" s="168" t="s">
        <v>329</v>
      </c>
      <c r="B68" s="169" t="s">
        <v>1389</v>
      </c>
      <c r="C68" s="2354">
        <f ca="1">IF(C67&lt;=0,0,ROUND(C67*D68,0))</f>
        <v>28</v>
      </c>
      <c r="D68" s="2355">
        <f>'数据-取费表'!B41</f>
        <v>5.5000000000000007E-2</v>
      </c>
      <c r="E68" s="170"/>
      <c r="F68" s="1670"/>
      <c r="G68" s="1670"/>
      <c r="H68" s="151"/>
      <c r="I68" s="121"/>
      <c r="J68" s="3268"/>
      <c r="K68" s="1245" t="s">
        <v>1390</v>
      </c>
      <c r="L68" s="1245">
        <f ca="1">IF(M49&gt;10000,M49*0.5%,IF(AND(M49&gt;5000,M49&lt;=10000),M49*1%,IF(AND(M49&gt;1000,M49&lt;=5000),M49*2%,IF(AND(M49&gt;200,M49&lt;=1000),M49*3%,M49*5%))))</f>
        <v>16.071797999999998</v>
      </c>
      <c r="M68" s="294">
        <f ca="1">ROUND(L68,1)</f>
        <v>16.100000000000001</v>
      </c>
      <c r="N68" s="2329"/>
      <c r="Z68" s="1623"/>
      <c r="AI68" s="1561"/>
    </row>
    <row r="69" spans="1:35" ht="16.5" customHeight="1">
      <c r="A69" s="1672"/>
      <c r="B69" s="1673"/>
      <c r="C69" s="1674"/>
      <c r="D69" s="1675"/>
      <c r="E69" s="1676"/>
      <c r="F69" s="1466"/>
      <c r="G69" s="1466"/>
      <c r="H69" s="1467"/>
      <c r="I69" s="646"/>
      <c r="J69" s="3268"/>
      <c r="K69" s="1245" t="s">
        <v>1391</v>
      </c>
      <c r="L69" s="1245"/>
      <c r="M69" s="294">
        <f ca="1">ROUND(SUM(M63:M68),0)</f>
        <v>41</v>
      </c>
      <c r="N69" s="2331">
        <f ca="1">M69/M49</f>
        <v>7.6531574127549393E-2</v>
      </c>
      <c r="Z69" s="1623"/>
      <c r="AI69" s="1561"/>
    </row>
    <row r="70" spans="1:35" s="642" customFormat="1" ht="14.4" thickBot="1">
      <c r="A70" s="3312" t="s">
        <v>1392</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4" t="s">
        <v>1373</v>
      </c>
      <c r="B71" s="3305"/>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1393</v>
      </c>
      <c r="C72" s="2353">
        <f ca="1">ROUND(D45/(1+'数据-取费表'!C42),0)</f>
        <v>510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1394</v>
      </c>
      <c r="C73" s="2353">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1396</v>
      </c>
      <c r="C75" s="2356"/>
      <c r="D75" s="162" t="s">
        <v>26</v>
      </c>
      <c r="E75" s="176" t="s">
        <v>1397</v>
      </c>
      <c r="F75" s="2357"/>
      <c r="G75" s="176" t="s">
        <v>1398</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59">
        <v>0.05</v>
      </c>
      <c r="E76" s="3309" t="s">
        <v>1400</v>
      </c>
      <c r="F76" s="3308"/>
      <c r="G76" s="3308"/>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0">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1">
        <f ca="1">ROUND(D45*D78/(1+'数据-取费表'!C42),0)</f>
        <v>3</v>
      </c>
      <c r="D78" s="2362">
        <f>'数据-取费表'!B43</f>
        <v>5.000000000000001E-3</v>
      </c>
      <c r="E78" s="3301" t="s">
        <v>1404</v>
      </c>
      <c r="F78" s="3302"/>
      <c r="G78" s="3302"/>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1405</v>
      </c>
      <c r="C79" s="2353">
        <f ca="1">C72-C73</f>
        <v>507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3">
        <f ca="1">IF(C79&lt;=0,0,C79/C73)</f>
        <v>169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1407</v>
      </c>
      <c r="C81" s="2364">
        <f ca="1">ROUND(IF(C79&lt;=0,0,IF(C80&gt;=200%,C79*60%-C73*35%,IF(C80&gt;=100%,C79*50%-C73*15%,IF(C80&gt;=50%,C79*40%-C73*5%,IF(C80&lt;50%,C79*30%,0))))),0)</f>
        <v>303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2" t="s">
        <v>1408</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4" t="s">
        <v>1373</v>
      </c>
      <c r="B84" s="3305"/>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1393</v>
      </c>
      <c r="C85" s="2353">
        <f ca="1">ROUND(D45/(1+'数据-取费表'!C42),0)</f>
        <v>510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1394</v>
      </c>
      <c r="C86" s="2353">
        <f ca="1">IF(H88="仅含出让金",C87+C90+C91+C92+C93+C94,C87+C91+C92+C93+C94)</f>
        <v>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1409</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1410</v>
      </c>
      <c r="C88" s="2367"/>
      <c r="D88" s="2362"/>
      <c r="E88" s="185" t="s">
        <v>1411</v>
      </c>
      <c r="F88" s="2148"/>
      <c r="G88" s="186" t="s">
        <v>1412</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1401</v>
      </c>
      <c r="C89" s="2361">
        <f>ROUND(C88*D89,0)</f>
        <v>0</v>
      </c>
      <c r="D89" s="2362">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1414</v>
      </c>
      <c r="C90" s="2367"/>
      <c r="D90" s="2362"/>
      <c r="E90" s="185" t="str">
        <f>IF(H88="-","土地取得成本中已包含该笔费用"," ")</f>
        <v xml:space="preserve"> </v>
      </c>
      <c r="F90" s="2148"/>
      <c r="G90" s="3270" t="s">
        <v>2127</v>
      </c>
      <c r="H90" s="3271"/>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1">
        <f>IF(H91="——",成本法!C33,I91)</f>
        <v>0</v>
      </c>
      <c r="D91" s="2362"/>
      <c r="E91" s="3301" t="s">
        <v>1417</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1">
        <f>ROUND((C87+C90+C91)*D92,0)</f>
        <v>0</v>
      </c>
      <c r="D92" s="2368"/>
      <c r="E92" s="3301" t="s">
        <v>1420</v>
      </c>
      <c r="F92" s="3302"/>
      <c r="G92" s="3302"/>
      <c r="H92" s="3303"/>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1">
        <f ca="1">ROUND(D45*D93/(1+'数据-取费表'!C42),0)</f>
        <v>3</v>
      </c>
      <c r="D93" s="2362">
        <f>'数据-取费表'!B43</f>
        <v>5.000000000000001E-3</v>
      </c>
      <c r="E93" s="3301" t="s">
        <v>1404</v>
      </c>
      <c r="F93" s="3302"/>
      <c r="G93" s="3302"/>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7">
        <f>ROUND((C87+C90+C91)*D94,0)</f>
        <v>0</v>
      </c>
      <c r="D94" s="2362">
        <v>0.2</v>
      </c>
      <c r="E94" s="3346" t="s">
        <v>1424</v>
      </c>
      <c r="F94" s="3347"/>
      <c r="G94" s="3347"/>
      <c r="H94" s="334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1405</v>
      </c>
      <c r="C95" s="2353">
        <f ca="1">ROUND(C85-C86,0)</f>
        <v>507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3">
        <f ca="1">IF(C95&lt;=0,0,C95/C86)</f>
        <v>169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1407</v>
      </c>
      <c r="C97" s="2364">
        <f ca="1">ROUND(IF(C95&lt;=0,0,IF(C96&gt;=200%,C95*60%-C86*35%,IF(C96&gt;=100%,C95*50%-C86*15%,IF(C96&gt;=50%,C95*40%-C86*5%,IF(C96&lt;50%,C95*30%,0))))),0)</f>
        <v>303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51" t="s">
        <v>1426</v>
      </c>
      <c r="B100" s="3252"/>
      <c r="C100" s="3252"/>
      <c r="D100" s="3286"/>
      <c r="E100" s="3252" t="s">
        <v>1427</v>
      </c>
      <c r="F100" s="3252"/>
      <c r="G100" s="3252"/>
      <c r="H100" s="3286"/>
      <c r="I100" s="121"/>
    </row>
    <row r="101" spans="1:35" ht="18.75" customHeight="1">
      <c r="A101" s="3294" t="s">
        <v>1428</v>
      </c>
      <c r="B101" s="3295"/>
      <c r="C101" s="2370" t="str">
        <f>C4</f>
        <v>54号比较法-商业</v>
      </c>
      <c r="D101" s="2371" t="str">
        <f>D4</f>
        <v xml:space="preserve">54号收益法 (元) </v>
      </c>
      <c r="E101" s="3264" t="s">
        <v>1429</v>
      </c>
      <c r="F101" s="3265"/>
      <c r="G101" s="1687" t="s">
        <v>1430</v>
      </c>
      <c r="H101" s="2380">
        <f ca="1">H118</f>
        <v>535.72659999999996</v>
      </c>
      <c r="I101" s="121"/>
    </row>
    <row r="102" spans="1:35" ht="18.75" customHeight="1">
      <c r="A102" s="3296" t="s">
        <v>1431</v>
      </c>
      <c r="B102" s="2369" t="s">
        <v>1430</v>
      </c>
      <c r="C102" s="2370">
        <f ca="1">IF(D32="楼面单价",ROUND(C19,0),C19)</f>
        <v>619</v>
      </c>
      <c r="D102" s="2371">
        <f ca="1">IF(D32="楼面单价",ROUND(D19,0),D19)</f>
        <v>341</v>
      </c>
      <c r="E102" s="3264"/>
      <c r="F102" s="3265"/>
      <c r="G102" s="1687" t="s">
        <v>1432</v>
      </c>
      <c r="H102" s="2340">
        <f ca="1">I118</f>
        <v>35040</v>
      </c>
      <c r="I102" s="121"/>
    </row>
    <row r="103" spans="1:35" ht="42.75" customHeight="1">
      <c r="A103" s="3296"/>
      <c r="B103" s="2369" t="s">
        <v>1432</v>
      </c>
      <c r="C103" s="2372">
        <f ca="1">C20</f>
        <v>40485</v>
      </c>
      <c r="D103" s="2373">
        <f ca="1">D20</f>
        <v>22334</v>
      </c>
      <c r="E103" s="3257" t="s">
        <v>1433</v>
      </c>
      <c r="F103" s="3258"/>
      <c r="G103" s="1688" t="s">
        <v>1434</v>
      </c>
      <c r="H103" s="2380">
        <f>IF(D36="正常操作",H104+H105+H106,H105+H106)</f>
        <v>0</v>
      </c>
      <c r="I103" s="121"/>
    </row>
    <row r="104" spans="1:35" ht="18.75" customHeight="1">
      <c r="A104" s="3296" t="s">
        <v>1435</v>
      </c>
      <c r="B104" s="2374" t="s">
        <v>1430</v>
      </c>
      <c r="C104" s="2375">
        <f ca="1">H118</f>
        <v>535.72659999999996</v>
      </c>
      <c r="D104" s="2376"/>
      <c r="E104" s="1555" t="s">
        <v>1436</v>
      </c>
      <c r="F104" s="1548"/>
      <c r="G104" s="1688" t="s">
        <v>1434</v>
      </c>
      <c r="H104" s="2381">
        <f>IF(D36="同一抵押权人同一抵押物续贷",C36&amp;"（续贷，未扣减，详见特别提示）",C36)</f>
        <v>0</v>
      </c>
      <c r="I104" s="121"/>
    </row>
    <row r="105" spans="1:35" ht="18.75" customHeight="1" thickBot="1">
      <c r="A105" s="3306"/>
      <c r="B105" s="2377" t="s">
        <v>1432</v>
      </c>
      <c r="C105" s="2378">
        <f ca="1">I118</f>
        <v>35040</v>
      </c>
      <c r="D105" s="2379"/>
      <c r="E105" s="1555" t="s">
        <v>1437</v>
      </c>
      <c r="F105" s="1548"/>
      <c r="G105" s="1688" t="s">
        <v>1434</v>
      </c>
      <c r="H105" s="2382">
        <f>C37</f>
        <v>0</v>
      </c>
      <c r="I105" s="121"/>
    </row>
    <row r="106" spans="1:35" ht="18.75" customHeight="1">
      <c r="A106" s="646" t="s">
        <v>1438</v>
      </c>
      <c r="B106" s="646"/>
      <c r="C106" s="646"/>
      <c r="D106" s="646"/>
      <c r="E106" s="1689" t="s">
        <v>1439</v>
      </c>
      <c r="F106" s="1548"/>
      <c r="G106" s="1688" t="s">
        <v>1434</v>
      </c>
      <c r="H106" s="2382">
        <f>C38</f>
        <v>0</v>
      </c>
      <c r="I106" s="121"/>
    </row>
    <row r="107" spans="1:35" ht="18.75" customHeight="1">
      <c r="A107" s="121"/>
      <c r="B107" s="121"/>
      <c r="C107" s="121"/>
      <c r="D107" s="121"/>
      <c r="E107" s="3297" t="str">
        <f>IF(项目基本情况!E8="已注销","——","3.房地产抵押价值")</f>
        <v>3.房地产抵押价值</v>
      </c>
      <c r="F107" s="3265"/>
      <c r="G107" s="1687" t="s">
        <v>1430</v>
      </c>
      <c r="H107" s="2380">
        <f ca="1">IF(E107="——","——",H101-H103)</f>
        <v>535.72659999999996</v>
      </c>
      <c r="I107" s="121"/>
    </row>
    <row r="108" spans="1:35" ht="18.75" customHeight="1">
      <c r="A108" s="121"/>
      <c r="B108" s="121"/>
      <c r="C108" s="121"/>
      <c r="D108" s="121"/>
      <c r="E108" s="3297"/>
      <c r="F108" s="3265"/>
      <c r="G108" s="1687" t="s">
        <v>1432</v>
      </c>
      <c r="H108" s="2340">
        <f ca="1">IF(H107=H101,H102,ROUND(H107*10000/'数据-汇总表'!E3,0))</f>
        <v>35040</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7" t="s">
        <v>1430</v>
      </c>
      <c r="H109" s="2383" t="str">
        <f>IF(E109="——","——",H101-H105-H106)</f>
        <v>——</v>
      </c>
      <c r="I109" s="121"/>
    </row>
    <row r="110" spans="1:35" ht="18.75" customHeight="1">
      <c r="A110" s="121"/>
      <c r="B110" s="121"/>
      <c r="C110" s="121"/>
      <c r="D110" s="121"/>
      <c r="E110" s="3297"/>
      <c r="F110" s="3265"/>
      <c r="G110" s="1687" t="s">
        <v>1432</v>
      </c>
      <c r="H110" s="2340"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7" t="s">
        <v>1430</v>
      </c>
      <c r="H111" s="2380" t="str">
        <f>IF(E111="——","——",N59)</f>
        <v>——</v>
      </c>
      <c r="I111" s="121"/>
    </row>
    <row r="112" spans="1:35" ht="18.75" customHeight="1" thickBot="1">
      <c r="A112" s="121"/>
      <c r="B112" s="121"/>
      <c r="C112" s="121"/>
      <c r="D112" s="121"/>
      <c r="E112" s="3299"/>
      <c r="F112" s="3300"/>
      <c r="G112" s="1690" t="s">
        <v>1432</v>
      </c>
      <c r="H112" s="2384" t="str">
        <f>IF(E111="——","——",N61)</f>
        <v>——</v>
      </c>
      <c r="I112" s="121"/>
    </row>
    <row r="113" spans="1:27" ht="18.75" customHeight="1">
      <c r="A113" s="121"/>
      <c r="B113" s="121"/>
      <c r="C113" s="121"/>
      <c r="D113" s="121"/>
      <c r="E113" s="3307" t="s">
        <v>1438</v>
      </c>
      <c r="F113" s="3307"/>
      <c r="G113" s="3307"/>
      <c r="H113" s="3307"/>
      <c r="I113" s="121"/>
    </row>
    <row r="114" spans="1:27" ht="3.75" customHeight="1">
      <c r="A114" s="646"/>
      <c r="B114" s="646"/>
      <c r="C114" s="646"/>
      <c r="D114" s="646"/>
      <c r="E114" s="1671"/>
      <c r="F114" s="1671"/>
      <c r="G114" s="1671"/>
      <c r="H114" s="1671"/>
      <c r="I114" s="646"/>
    </row>
    <row r="115" spans="1:27" ht="18.75" customHeight="1">
      <c r="A115" s="3315" t="s">
        <v>1440</v>
      </c>
      <c r="B115" s="3316"/>
      <c r="C115" s="3316"/>
      <c r="D115" s="3316"/>
      <c r="E115" s="3316"/>
      <c r="F115" s="3316"/>
      <c r="G115" s="3316"/>
      <c r="H115" s="3316"/>
      <c r="I115" s="3317"/>
    </row>
    <row r="116" spans="1:27" ht="27" customHeight="1">
      <c r="A116" s="3272" t="s">
        <v>1441</v>
      </c>
      <c r="B116" s="3276" t="s">
        <v>1442</v>
      </c>
      <c r="C116" s="3276" t="s">
        <v>1443</v>
      </c>
      <c r="D116" s="3282" t="s">
        <v>1444</v>
      </c>
      <c r="E116" s="3283"/>
      <c r="F116" s="3314" t="s">
        <v>1445</v>
      </c>
      <c r="G116" s="3314"/>
      <c r="H116" s="3272" t="s">
        <v>1446</v>
      </c>
      <c r="I116" s="3272"/>
    </row>
    <row r="117" spans="1:27" ht="18.75" customHeight="1">
      <c r="A117" s="3272"/>
      <c r="B117" s="3277"/>
      <c r="C117" s="3277"/>
      <c r="D117" s="2150" t="s">
        <v>1447</v>
      </c>
      <c r="E117" s="2150" t="s">
        <v>1448</v>
      </c>
      <c r="F117" s="2150" t="s">
        <v>1447</v>
      </c>
      <c r="G117" s="2150" t="s">
        <v>1449</v>
      </c>
      <c r="H117" s="2150" t="s">
        <v>1447</v>
      </c>
      <c r="I117" s="2150" t="s">
        <v>1449</v>
      </c>
    </row>
    <row r="118" spans="1:27" ht="24.75" customHeight="1">
      <c r="A118" s="2385" t="str">
        <f>项目基本情况!S2</f>
        <v>北京市大兴区兴丰街（二段）36-60号（双号）2幢1至2层42、54、56号房地产</v>
      </c>
      <c r="B118" s="2150">
        <f>M18</f>
        <v>152.88999999999999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535.72659999999996</v>
      </c>
      <c r="I118" s="2150">
        <f ca="1">ROUND(IF(D32="楼面单价",C32,H118*10000/B118),0)</f>
        <v>35040</v>
      </c>
    </row>
    <row r="119" spans="1:27" ht="18.75" customHeight="1">
      <c r="A119" s="3272" t="s">
        <v>1450</v>
      </c>
      <c r="B119" s="3272"/>
      <c r="C119" s="3272"/>
      <c r="D119" s="3278" t="str">
        <f>NUMBERSTRING(INT(D118*10000),2)&amp;"元整"</f>
        <v>零元整</v>
      </c>
      <c r="E119" s="3279"/>
      <c r="F119" s="3278" t="str">
        <f>NUMBERSTRING(INT(F118*10000),2)&amp;"元整"</f>
        <v>零元整</v>
      </c>
      <c r="G119" s="3279"/>
      <c r="H119" s="3278" t="str">
        <f ca="1">NUMBERSTRING(INT(H118*10000),2)&amp;"元整"</f>
        <v>伍佰叁拾伍万柒仟贰佰陆拾陆元整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8" t="s">
        <v>1450</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房地产抵押价值</v>
      </c>
      <c r="B122" s="3284"/>
      <c r="C122" s="3284"/>
      <c r="D122" s="3273">
        <f ca="1">H107</f>
        <v>535.72659999999996</v>
      </c>
      <c r="E122" s="3274"/>
      <c r="F122" s="3274"/>
      <c r="G122" s="3274"/>
      <c r="H122" s="3274"/>
      <c r="I122" s="3275"/>
      <c r="AA122" s="684"/>
    </row>
    <row r="123" spans="1:27" ht="18.75" customHeight="1">
      <c r="A123" s="3272" t="s">
        <v>1450</v>
      </c>
      <c r="B123" s="3272"/>
      <c r="C123" s="3272"/>
      <c r="D123" s="3278" t="str">
        <f ca="1">NUMBERSTRING(INT(D122*10000),2)&amp;"元整"</f>
        <v>伍佰叁拾伍万柒仟贰佰陆拾陆元整</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1450</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1450</v>
      </c>
      <c r="B127" s="3272"/>
      <c r="C127" s="3272"/>
      <c r="D127" s="3278" t="e">
        <f>NUMBERSTRING(INT(D126*10000),2)&amp;"元整"</f>
        <v>#VALUE!</v>
      </c>
      <c r="E127" s="3280"/>
      <c r="F127" s="3280"/>
      <c r="G127" s="3280"/>
      <c r="H127" s="3280"/>
      <c r="I127" s="3279"/>
      <c r="AA127" s="684"/>
    </row>
    <row r="128" spans="1:27" ht="21.75" customHeight="1">
      <c r="A128" s="3281" t="s">
        <v>1451</v>
      </c>
      <c r="B128" s="3281"/>
      <c r="C128" s="3281"/>
      <c r="D128" s="3281"/>
      <c r="E128" s="3281"/>
      <c r="F128" s="3281"/>
      <c r="G128" s="3281"/>
      <c r="H128" s="3281"/>
      <c r="I128" s="328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BWT/Lm4K6M9auZsuMK+WDMFR5uHNK0yDBQgfGU4zH1Cb0WKVDtnZ9eIsKNzR96nfHQDFSLJHKydW/XGKrRf1/w==" saltValue="7L2VosGm8HXGH0unmqSaKQ==" spinCount="100000"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57" priority="3" stopIfTrue="1">
      <formula>$H$88&lt;&gt;"仅含出让金"</formula>
    </cfRule>
  </conditionalFormatting>
  <conditionalFormatting sqref="C91">
    <cfRule type="expression" dxfId="56" priority="2" stopIfTrue="1">
      <formula>$H$91="由企业提供"</formula>
    </cfRule>
  </conditionalFormatting>
  <conditionalFormatting sqref="C5:D7">
    <cfRule type="cellIs" dxfId="55" priority="6" stopIfTrue="1" operator="equal">
      <formula>25</formula>
    </cfRule>
  </conditionalFormatting>
  <conditionalFormatting sqref="C8:D13">
    <cfRule type="cellIs" dxfId="54" priority="5" stopIfTrue="1" operator="equal">
      <formula>15</formula>
    </cfRule>
  </conditionalFormatting>
  <conditionalFormatting sqref="C14:D16">
    <cfRule type="cellIs" dxfId="53" priority="4" stopIfTrue="1" operator="equal">
      <formula>30</formula>
    </cfRule>
  </conditionalFormatting>
  <conditionalFormatting sqref="E36">
    <cfRule type="expression" dxfId="52" priority="1" stopIfTrue="1">
      <formula>$D$36="同一抵押权人同一抵押物续贷"</formula>
    </cfRule>
  </conditionalFormatting>
  <dataValidations count="23">
    <dataValidation type="list" allowBlank="1" showInputMessage="1" showErrorMessage="1" sqref="D92" xr:uid="{5DF2727B-2B0E-46C9-8F4B-2E3B78E14FE3}">
      <formula1>"0,5%,10%"</formula1>
    </dataValidation>
    <dataValidation type="list" allowBlank="1" showInputMessage="1" showErrorMessage="1" sqref="H59" xr:uid="{7F56FB47-7CCF-4192-BC7F-09B5F0B9074B}">
      <formula1>"非个人房产,个人住宅（满五唯一有凭证）,个人其他（有凭证）,个人其他（无凭证）"</formula1>
    </dataValidation>
    <dataValidation type="list" allowBlank="1" showInputMessage="1" showErrorMessage="1" sqref="E103" xr:uid="{053F9F6C-3D33-4866-B4EE-9842BF98E299}">
      <formula1>"2.估价师知悉的法定优先受偿款,2.估价师知悉的除抵押担保权以外的法定优先受偿款"</formula1>
    </dataValidation>
    <dataValidation type="list" allowBlank="1" showInputMessage="1" showErrorMessage="1" sqref="G77" xr:uid="{1FE6B3F8-3A61-4E73-B3C0-A5C8B19AD099}">
      <formula1>"个人住宅,2016年5月1日前购买,2016年5月1日后购买"</formula1>
    </dataValidation>
    <dataValidation type="list" allowBlank="1" showInputMessage="1" showErrorMessage="1" sqref="C1" xr:uid="{A76BEC51-2687-4E44-9377-56905B144685}">
      <formula1>项目类型</formula1>
    </dataValidation>
    <dataValidation type="list" allowBlank="1" showInputMessage="1" showErrorMessage="1" sqref="I1" xr:uid="{EC07B62F-E774-498F-8E2D-DE1C81A9CFB3}">
      <formula1>"项目局部,项目全部,——"</formula1>
    </dataValidation>
    <dataValidation type="list" showInputMessage="1" showErrorMessage="1" sqref="G1" xr:uid="{FD1D098F-154F-45ED-9AE0-FA0D13D4122B}">
      <formula1>"现房,在建,土地,-"</formula1>
    </dataValidation>
    <dataValidation type="list" allowBlank="1" showInputMessage="1" showErrorMessage="1" sqref="C129" xr:uid="{E19D1FFF-A7E4-42D9-AF3B-EFED85BE0249}">
      <formula1>"无,有"</formula1>
    </dataValidation>
    <dataValidation type="list" allowBlank="1" showInputMessage="1" showErrorMessage="1" sqref="F116:G116" xr:uid="{6D15ED44-0653-4C46-9791-8E109735891D}">
      <formula1>"建筑物价值,在建建筑物价值,建筑物/在建建筑物价值"</formula1>
    </dataValidation>
    <dataValidation type="list" allowBlank="1" showInputMessage="1" showErrorMessage="1" sqref="D116:E116" xr:uid="{C9CEF909-D551-4480-A5BE-AA737F19702F}">
      <formula1>"出让国有建设用地使用权价值,划拨国有建设用地使用权价值"</formula1>
    </dataValidation>
    <dataValidation type="list" allowBlank="1" showInputMessage="1" showErrorMessage="1" sqref="C116:C117" xr:uid="{FB513661-BFF7-41D3-A9A8-C5666FE93CE3}">
      <formula1>"土地面积,分摊土地面积,（分摊）土地面积"</formula1>
    </dataValidation>
    <dataValidation type="list" allowBlank="1" showInputMessage="1" showErrorMessage="1" sqref="B116:B117" xr:uid="{D2251AC6-FEC9-4319-B5BD-EF72D41C9B40}">
      <formula1>"建筑面积,规划建筑面积,（规划）建筑面积"</formula1>
    </dataValidation>
    <dataValidation type="list" allowBlank="1" showInputMessage="1" showErrorMessage="1" sqref="D36" xr:uid="{603CFDEA-738F-4584-9EF5-D0E2D3605377}">
      <formula1>"同一抵押权人同一抵押物续贷,注销后放款,正常操作"</formula1>
    </dataValidation>
    <dataValidation type="list" allowBlank="1" showInputMessage="1" showErrorMessage="1" sqref="F75" xr:uid="{E122A2C1-9C73-40EB-A710-233F292530FC}">
      <formula1>"买卖合同,购房发票"</formula1>
    </dataValidation>
    <dataValidation type="list" allowBlank="1" showInputMessage="1" showErrorMessage="1" sqref="H88" xr:uid="{D9B5628D-A228-4CDD-87EC-4D74D2467659}">
      <formula1>"仅含出让金,出让金+开发费"</formula1>
    </dataValidation>
    <dataValidation type="list" allowBlank="1" showInputMessage="1" showErrorMessage="1" sqref="H91" xr:uid="{66DD7B7B-E748-4A19-90C3-F62DC89EC645}">
      <formula1>"企业提供（在右侧录入）,——"</formula1>
    </dataValidation>
    <dataValidation type="list" allowBlank="1" showInputMessage="1" showErrorMessage="1" sqref="C33" xr:uid="{AFADE967-C166-46D8-9CCF-16718A294CBE}">
      <formula1>"成本比率,收益比率,自定义"</formula1>
    </dataValidation>
    <dataValidation type="list" allowBlank="1" showInputMessage="1" showErrorMessage="1" sqref="F45" xr:uid="{770EDDF7-FBD5-46D2-AE04-A1EF2451D86E}">
      <formula1>"100%,70%,56%"</formula1>
    </dataValidation>
    <dataValidation type="list" allowBlank="1" showInputMessage="1" showErrorMessage="1" sqref="D32" xr:uid="{9557248F-3C37-4C76-8A9B-A657D389F2D5}">
      <formula1>"总价,楼面单价"</formula1>
    </dataValidation>
    <dataValidation type="list" allowBlank="1" showInputMessage="1" showErrorMessage="1" sqref="H58" xr:uid="{81D413FB-385B-449B-A9ED-EA08985435F6}">
      <formula1>"转让取得,自行开发建设"</formula1>
    </dataValidation>
    <dataValidation type="list" allowBlank="1" showInputMessage="1" showErrorMessage="1" sqref="H48" xr:uid="{C04557CE-1897-4A48-A883-4B70864E8943}">
      <formula1>"情况1,情况2,情况3,情况4"</formula1>
    </dataValidation>
    <dataValidation type="list" allowBlank="1" showInputMessage="1" showErrorMessage="1" sqref="H55:H56" xr:uid="{09690DC2-0A2B-4CC8-B7CE-6826691AFAA5}">
      <formula1>"个人住宅,正常"</formula1>
    </dataValidation>
    <dataValidation type="list" allowBlank="1" showInputMessage="1" showErrorMessage="1" sqref="C4:D4 D33" xr:uid="{629B9FEB-5330-4B8B-AA50-8426C1A3006F}">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68E67-963C-4E8D-AA41-338CBF66F994}">
  <sheetPr>
    <tabColor rgb="FF92D050"/>
    <pageSetUpPr fitToPage="1"/>
  </sheetPr>
  <dimension ref="A1:AC131"/>
  <sheetViews>
    <sheetView view="pageBreakPreview" topLeftCell="A25" zoomScale="70" zoomScaleNormal="70" zoomScaleSheetLayoutView="70" workbookViewId="0">
      <selection activeCell="I3" sqref="I3"/>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1658</v>
      </c>
      <c r="B1" s="1734" t="s">
        <v>1764</v>
      </c>
      <c r="C1" s="1155" t="s">
        <v>1660</v>
      </c>
      <c r="D1" s="1142" t="s">
        <v>3603</v>
      </c>
      <c r="E1" s="3123" t="s">
        <v>3433</v>
      </c>
      <c r="F1" s="1735" t="s">
        <v>3434</v>
      </c>
      <c r="G1" s="1152" t="s">
        <v>1661</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684</v>
      </c>
      <c r="B2" s="1085">
        <f>IF(E1="项目模式",IF(C2="——",ROUND(C49*D3/10000,0),ROUND(C49*D3/10000,0)-D2),IF(E1="单套模式",IF(C2="——",ROUND(C49*D3/10000,4),ROUND(C49*D3/10000,4)-D2)))</f>
        <v>618.97519999999997</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685</v>
      </c>
      <c r="B3" s="536">
        <f>IF(C2="——",C49,ROUND(B2*10000/D3,0))</f>
        <v>40485</v>
      </c>
      <c r="C3" s="344" t="s">
        <v>1663</v>
      </c>
      <c r="D3" s="343">
        <f>IF(D1="",'数据-汇总表'!E3,SUMIF('数据-汇总表'!$C19:$C33,D1,'数据-汇总表'!$E19:$E33))</f>
        <v>152.88999999999999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1664</v>
      </c>
      <c r="B4" s="346"/>
      <c r="C4" s="3378" t="s">
        <v>1665</v>
      </c>
      <c r="D4" s="3379"/>
      <c r="E4" s="3380" t="s">
        <v>1666</v>
      </c>
      <c r="F4" s="3381"/>
      <c r="G4" s="3378" t="s">
        <v>1667</v>
      </c>
      <c r="H4" s="3379"/>
      <c r="I4" s="3378" t="s">
        <v>1668</v>
      </c>
      <c r="J4" s="3379"/>
      <c r="K4" s="537" t="s">
        <v>1669</v>
      </c>
      <c r="L4" s="2485"/>
      <c r="M4" s="2486"/>
      <c r="N4" s="2486"/>
      <c r="O4" s="2486"/>
      <c r="P4" s="3382" t="s">
        <v>1670</v>
      </c>
      <c r="Q4" s="3383"/>
      <c r="R4" s="3365" t="s">
        <v>1666</v>
      </c>
      <c r="S4" s="3366"/>
      <c r="T4" s="3365" t="s">
        <v>1667</v>
      </c>
      <c r="U4" s="3366"/>
      <c r="V4" s="3362" t="s">
        <v>1668</v>
      </c>
      <c r="W4" s="3362"/>
      <c r="X4" s="1265"/>
      <c r="Y4" s="3365" t="s">
        <v>1670</v>
      </c>
      <c r="Z4" s="3366"/>
      <c r="AA4" s="3359" t="s">
        <v>1666</v>
      </c>
      <c r="AB4" s="3362" t="s">
        <v>1667</v>
      </c>
      <c r="AC4" s="3359" t="s">
        <v>1668</v>
      </c>
    </row>
    <row r="5" spans="1:29">
      <c r="A5" s="348"/>
      <c r="B5" s="349"/>
      <c r="C5" s="3371" t="s">
        <v>1671</v>
      </c>
      <c r="D5" s="3372"/>
      <c r="E5" s="3369" t="s">
        <v>3584</v>
      </c>
      <c r="F5" s="3370"/>
      <c r="G5" s="3390" t="s">
        <v>3586</v>
      </c>
      <c r="H5" s="3372"/>
      <c r="I5" s="3371" t="str">
        <f>案例!N111</f>
        <v>云河墅</v>
      </c>
      <c r="J5" s="3372"/>
      <c r="K5" s="537"/>
      <c r="L5" s="2485"/>
      <c r="M5" s="2486"/>
      <c r="N5" s="2486"/>
      <c r="O5" s="2486"/>
      <c r="P5" s="3384"/>
      <c r="Q5" s="3385"/>
      <c r="R5" s="3367"/>
      <c r="S5" s="3368"/>
      <c r="T5" s="3367"/>
      <c r="U5" s="3368"/>
      <c r="V5" s="3362"/>
      <c r="W5" s="3362"/>
      <c r="X5" s="1265"/>
      <c r="Y5" s="3367"/>
      <c r="Z5" s="3368"/>
      <c r="AA5" s="3360"/>
      <c r="AB5" s="3362"/>
      <c r="AC5" s="3360"/>
    </row>
    <row r="6" spans="1:29" ht="15" thickBot="1">
      <c r="A6" s="350"/>
      <c r="B6" s="351"/>
      <c r="C6" s="3373" t="s">
        <v>1675</v>
      </c>
      <c r="D6" s="3374"/>
      <c r="E6" s="3375" t="s">
        <v>1675</v>
      </c>
      <c r="F6" s="3376"/>
      <c r="G6" s="3373" t="s">
        <v>1675</v>
      </c>
      <c r="H6" s="3374"/>
      <c r="I6" s="3373" t="s">
        <v>1675</v>
      </c>
      <c r="J6" s="3374"/>
      <c r="K6" s="537" t="s">
        <v>1676</v>
      </c>
      <c r="L6" s="2485"/>
      <c r="M6" s="2486"/>
      <c r="N6" s="2486"/>
      <c r="O6" s="2486"/>
      <c r="P6" s="3386"/>
      <c r="Q6" s="3387"/>
      <c r="R6" s="3367"/>
      <c r="S6" s="3368"/>
      <c r="T6" s="3388"/>
      <c r="U6" s="3389"/>
      <c r="V6" s="3362"/>
      <c r="W6" s="3362"/>
      <c r="X6" s="1265"/>
      <c r="Y6" s="3388"/>
      <c r="Z6" s="3389"/>
      <c r="AA6" s="3361"/>
      <c r="AB6" s="3362"/>
      <c r="AC6" s="3361"/>
    </row>
    <row r="7" spans="1:29" s="102" customFormat="1" ht="15" thickBot="1">
      <c r="A7" s="352" t="s">
        <v>1677</v>
      </c>
      <c r="B7" s="353"/>
      <c r="C7" s="354">
        <f>'数据-取费表'!B2</f>
        <v>45635</v>
      </c>
      <c r="D7" s="355">
        <v>100</v>
      </c>
      <c r="E7" s="356">
        <f>C7</f>
        <v>45635</v>
      </c>
      <c r="F7" s="357">
        <f>SUMIF(58:58,YEAR(E7)&amp;"-"&amp;MONTH(E7),59:59)</f>
        <v>100</v>
      </c>
      <c r="G7" s="356">
        <f>C7</f>
        <v>45635</v>
      </c>
      <c r="H7" s="355">
        <f>SUMIF(58:58,YEAR(G7)&amp;"-"&amp;MONTH(G7),59:59)</f>
        <v>100</v>
      </c>
      <c r="I7" s="356">
        <f>C7</f>
        <v>45635</v>
      </c>
      <c r="J7" s="355">
        <f>SUMIF(58:58,YEAR(I7)&amp;"-"&amp;MONTH(I7),59:59)</f>
        <v>100</v>
      </c>
      <c r="K7" s="38"/>
      <c r="L7" s="2487"/>
      <c r="M7" s="2439"/>
      <c r="N7" s="2439"/>
      <c r="O7" s="2439"/>
      <c r="P7" s="3363" t="s">
        <v>1678</v>
      </c>
      <c r="Q7" s="3391"/>
      <c r="R7" s="664" t="s">
        <v>14</v>
      </c>
      <c r="S7" s="665">
        <f t="shared" ref="S7:S15" si="0">F7</f>
        <v>100</v>
      </c>
      <c r="T7" s="664" t="s">
        <v>14</v>
      </c>
      <c r="U7" s="665">
        <f t="shared" ref="U7:U15" si="1">H7</f>
        <v>100</v>
      </c>
      <c r="V7" s="664" t="s">
        <v>14</v>
      </c>
      <c r="W7" s="665">
        <f t="shared" ref="W7:W15" si="2">J7</f>
        <v>100</v>
      </c>
      <c r="X7" s="666"/>
      <c r="Y7" s="3363" t="s">
        <v>1678</v>
      </c>
      <c r="Z7" s="3364"/>
      <c r="AA7" s="50">
        <f>D7/F7</f>
        <v>1</v>
      </c>
      <c r="AB7" s="50">
        <f>D7/H7</f>
        <v>1</v>
      </c>
      <c r="AC7" s="50">
        <f>D7/J7</f>
        <v>1</v>
      </c>
    </row>
    <row r="8" spans="1:29" s="102" customFormat="1" ht="15" thickBot="1">
      <c r="A8" s="352" t="s">
        <v>1679</v>
      </c>
      <c r="B8" s="353"/>
      <c r="C8" s="358" t="s">
        <v>3435</v>
      </c>
      <c r="D8" s="355">
        <v>100</v>
      </c>
      <c r="E8" s="358" t="s">
        <v>3436</v>
      </c>
      <c r="F8" s="357">
        <f>SUMIF(61:61,E8,62:62)-SUMIF(61:61,C8,62:62)+100</f>
        <v>105</v>
      </c>
      <c r="G8" s="358" t="s">
        <v>3436</v>
      </c>
      <c r="H8" s="355">
        <f>SUMIF(61:61,G8,62:62)-SUMIF(61:61,C8,62:62)+100</f>
        <v>105</v>
      </c>
      <c r="I8" s="358" t="s">
        <v>3436</v>
      </c>
      <c r="J8" s="355">
        <f>SUMIF(61:61,I8,62:62)-SUMIF(61:61,C8,62:62)+100</f>
        <v>105</v>
      </c>
      <c r="K8" s="38"/>
      <c r="L8" s="2487"/>
      <c r="M8" s="2439"/>
      <c r="N8" s="2439"/>
      <c r="O8" s="2439"/>
      <c r="P8" s="3363" t="s">
        <v>1681</v>
      </c>
      <c r="Q8" s="3364"/>
      <c r="R8" s="664" t="s">
        <v>14</v>
      </c>
      <c r="S8" s="665">
        <f t="shared" si="0"/>
        <v>105</v>
      </c>
      <c r="T8" s="664" t="s">
        <v>14</v>
      </c>
      <c r="U8" s="665">
        <f t="shared" si="1"/>
        <v>105</v>
      </c>
      <c r="V8" s="664" t="s">
        <v>14</v>
      </c>
      <c r="W8" s="665">
        <f t="shared" si="2"/>
        <v>105</v>
      </c>
      <c r="X8" s="666"/>
      <c r="Y8" s="3363" t="s">
        <v>1681</v>
      </c>
      <c r="Z8" s="3364"/>
      <c r="AA8" s="50">
        <f t="shared" ref="AA8:AA46" si="3">D8/F8</f>
        <v>0.95238095238095233</v>
      </c>
      <c r="AB8" s="50">
        <f t="shared" ref="AB8:AB46" si="4">D8/H8</f>
        <v>0.95238095238095233</v>
      </c>
      <c r="AC8" s="50">
        <f t="shared" ref="AC8:AC46" si="5">D8/J8</f>
        <v>0.95238095238095233</v>
      </c>
    </row>
    <row r="9" spans="1:29" s="102" customFormat="1" ht="15" thickBot="1">
      <c r="A9" s="359" t="s">
        <v>1682</v>
      </c>
      <c r="B9" s="60" t="s">
        <v>1683</v>
      </c>
      <c r="C9" s="3147" t="s">
        <v>3438</v>
      </c>
      <c r="D9" s="59">
        <v>100</v>
      </c>
      <c r="E9" s="361" t="s">
        <v>672</v>
      </c>
      <c r="F9" s="60">
        <f>SUMIF(63:63,E9,64:64)-SUMIF(63:63,C9,64:64)+100</f>
        <v>100</v>
      </c>
      <c r="G9" s="361" t="s">
        <v>672</v>
      </c>
      <c r="H9" s="59">
        <f>SUMIF(63:63,G9,64:64)-SUMIF(63:63,C9,64:64)+100</f>
        <v>100</v>
      </c>
      <c r="I9" s="361" t="s">
        <v>672</v>
      </c>
      <c r="J9" s="59">
        <f>SUMIF(63:63,I9,64:64)-SUMIF(63:63,C9,64:64)+100</f>
        <v>100</v>
      </c>
      <c r="K9" s="38"/>
      <c r="L9" s="2487"/>
      <c r="M9" s="2439"/>
      <c r="N9" s="2439"/>
      <c r="O9" s="2439"/>
      <c r="P9" s="3377" t="s">
        <v>1684</v>
      </c>
      <c r="Q9" s="530" t="str">
        <f t="shared" ref="Q9:Q15" si="6">B9</f>
        <v>用途</v>
      </c>
      <c r="R9" s="664" t="s">
        <v>14</v>
      </c>
      <c r="S9" s="665">
        <f t="shared" si="0"/>
        <v>100</v>
      </c>
      <c r="T9" s="664" t="s">
        <v>14</v>
      </c>
      <c r="U9" s="665">
        <f t="shared" si="1"/>
        <v>100</v>
      </c>
      <c r="V9" s="664" t="s">
        <v>14</v>
      </c>
      <c r="W9" s="665">
        <f t="shared" si="2"/>
        <v>100</v>
      </c>
      <c r="X9" s="666"/>
      <c r="Y9" s="3327" t="s">
        <v>1685</v>
      </c>
      <c r="Z9" s="50" t="str">
        <f t="shared" ref="Z9:Z15" si="7">Q9</f>
        <v>用途</v>
      </c>
      <c r="AA9" s="50">
        <f t="shared" si="3"/>
        <v>1</v>
      </c>
      <c r="AB9" s="50">
        <f t="shared" si="4"/>
        <v>1</v>
      </c>
      <c r="AC9" s="50">
        <f t="shared" si="5"/>
        <v>1</v>
      </c>
    </row>
    <row r="10" spans="1:29" s="366" customFormat="1" ht="29.4" thickTop="1">
      <c r="A10" s="363"/>
      <c r="B10" s="364" t="s">
        <v>1686</v>
      </c>
      <c r="C10" s="3167" t="s">
        <v>3593</v>
      </c>
      <c r="D10" s="119">
        <v>100</v>
      </c>
      <c r="E10" s="3167" t="s">
        <v>3591</v>
      </c>
      <c r="F10" s="364">
        <f>SUMIF(65:65,E10,66:66)-SUMIF(65:65,C10,66:66)+100</f>
        <v>110</v>
      </c>
      <c r="G10" s="3167" t="s">
        <v>3592</v>
      </c>
      <c r="H10" s="119">
        <f>SUMIF(65:65,G10,66:66)-SUMIF(65:65,C10,66:66)+100</f>
        <v>105</v>
      </c>
      <c r="I10" s="3167" t="s">
        <v>3591</v>
      </c>
      <c r="J10" s="119">
        <f>SUMIF(65:65,I10,66:66)-SUMIF(65:65,C10,66:66)+100</f>
        <v>110</v>
      </c>
      <c r="K10" s="38"/>
      <c r="L10" s="2488"/>
      <c r="M10" s="2489"/>
      <c r="N10" s="2489"/>
      <c r="O10" s="2489"/>
      <c r="P10" s="3377"/>
      <c r="Q10" s="530" t="str">
        <f t="shared" si="6"/>
        <v>土地使用年限（年）</v>
      </c>
      <c r="R10" s="664" t="s">
        <v>14</v>
      </c>
      <c r="S10" s="665">
        <f t="shared" si="0"/>
        <v>110</v>
      </c>
      <c r="T10" s="664" t="s">
        <v>14</v>
      </c>
      <c r="U10" s="665">
        <f t="shared" si="1"/>
        <v>105</v>
      </c>
      <c r="V10" s="664" t="s">
        <v>14</v>
      </c>
      <c r="W10" s="665">
        <f t="shared" si="2"/>
        <v>110</v>
      </c>
      <c r="X10" s="666"/>
      <c r="Y10" s="3327"/>
      <c r="Z10" s="50" t="str">
        <f t="shared" si="7"/>
        <v>土地使用年限（年）</v>
      </c>
      <c r="AA10" s="50">
        <f t="shared" si="3"/>
        <v>0.90909090909090906</v>
      </c>
      <c r="AB10" s="50">
        <f t="shared" si="4"/>
        <v>0.95238095238095233</v>
      </c>
      <c r="AC10" s="50">
        <f t="shared" si="5"/>
        <v>0.90909090909090906</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7"/>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392" t="s">
        <v>1689</v>
      </c>
      <c r="Q15" s="1263" t="str">
        <f t="shared" si="6"/>
        <v>商业繁华度</v>
      </c>
      <c r="R15" s="667" t="s">
        <v>14</v>
      </c>
      <c r="S15" s="668">
        <f t="shared" si="0"/>
        <v>100</v>
      </c>
      <c r="T15" s="667" t="s">
        <v>14</v>
      </c>
      <c r="U15" s="668">
        <f t="shared" si="1"/>
        <v>100</v>
      </c>
      <c r="V15" s="667" t="s">
        <v>14</v>
      </c>
      <c r="W15" s="668">
        <f t="shared" si="2"/>
        <v>100</v>
      </c>
      <c r="X15" s="1265"/>
      <c r="Y15" s="3394" t="s">
        <v>1689</v>
      </c>
      <c r="Z15" s="1264" t="str">
        <f t="shared" si="7"/>
        <v>商业繁华度</v>
      </c>
      <c r="AA15" s="1264">
        <f t="shared" si="3"/>
        <v>1</v>
      </c>
      <c r="AB15" s="1264">
        <f t="shared" si="4"/>
        <v>1</v>
      </c>
      <c r="AC15" s="1264">
        <f t="shared" si="5"/>
        <v>1</v>
      </c>
    </row>
    <row r="16" spans="1:29" ht="15">
      <c r="A16" s="367"/>
      <c r="B16" s="385"/>
      <c r="C16" s="386" t="s">
        <v>3445</v>
      </c>
      <c r="D16" s="387"/>
      <c r="E16" s="386" t="s">
        <v>3445</v>
      </c>
      <c r="F16" s="388"/>
      <c r="G16" s="386" t="s">
        <v>3445</v>
      </c>
      <c r="H16" s="389"/>
      <c r="I16" s="386" t="s">
        <v>3445</v>
      </c>
      <c r="J16" s="387"/>
      <c r="K16" s="541"/>
      <c r="L16" s="2491"/>
      <c r="M16" s="2486"/>
      <c r="N16" s="2486"/>
      <c r="O16" s="2486"/>
      <c r="P16" s="3393"/>
      <c r="Q16" s="1263"/>
      <c r="R16" s="667"/>
      <c r="S16" s="668"/>
      <c r="T16" s="667"/>
      <c r="U16" s="668"/>
      <c r="V16" s="667"/>
      <c r="W16" s="668"/>
      <c r="X16" s="1265"/>
      <c r="Y16" s="3395"/>
      <c r="Z16" s="1264"/>
      <c r="AA16" s="1264">
        <v>1</v>
      </c>
      <c r="AB16" s="1264">
        <v>1</v>
      </c>
      <c r="AC16" s="1264">
        <v>1</v>
      </c>
    </row>
    <row r="17" spans="1:29" ht="82.8">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93"/>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395"/>
      <c r="C18" s="1755" t="s">
        <v>3443</v>
      </c>
      <c r="D18" s="389"/>
      <c r="E18" s="1757" t="s">
        <v>3443</v>
      </c>
      <c r="F18" s="392"/>
      <c r="G18" s="1756" t="s">
        <v>3443</v>
      </c>
      <c r="H18" s="387"/>
      <c r="I18" s="1757" t="s">
        <v>3443</v>
      </c>
      <c r="J18" s="387"/>
      <c r="K18" s="541"/>
      <c r="L18" s="2491"/>
      <c r="M18" s="2486"/>
      <c r="N18" s="2486"/>
      <c r="O18" s="2486"/>
      <c r="P18" s="3393"/>
      <c r="Q18" s="1263"/>
      <c r="R18" s="667"/>
      <c r="S18" s="668"/>
      <c r="T18" s="667"/>
      <c r="U18" s="668"/>
      <c r="V18" s="667"/>
      <c r="W18" s="668"/>
      <c r="X18" s="1265"/>
      <c r="Y18" s="3395"/>
      <c r="Z18" s="1264"/>
      <c r="AA18" s="1264">
        <v>1</v>
      </c>
      <c r="AB18" s="1264">
        <v>1</v>
      </c>
      <c r="AC18" s="1264">
        <v>1</v>
      </c>
    </row>
    <row r="19" spans="1:29" ht="41.4">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93"/>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
      <c r="A20" s="367"/>
      <c r="B20" s="395"/>
      <c r="C20" s="386" t="s">
        <v>3443</v>
      </c>
      <c r="D20" s="387"/>
      <c r="E20" s="1752" t="s">
        <v>3443</v>
      </c>
      <c r="F20" s="388"/>
      <c r="G20" s="1751" t="s">
        <v>3443</v>
      </c>
      <c r="H20" s="387"/>
      <c r="I20" s="1752" t="s">
        <v>3443</v>
      </c>
      <c r="J20" s="387"/>
      <c r="K20" s="541"/>
      <c r="L20" s="2491"/>
      <c r="M20" s="2486"/>
      <c r="N20" s="2486"/>
      <c r="O20" s="2486"/>
      <c r="P20" s="3393"/>
      <c r="Q20" s="1263"/>
      <c r="R20" s="667"/>
      <c r="S20" s="668"/>
      <c r="T20" s="667"/>
      <c r="U20" s="668"/>
      <c r="V20" s="667"/>
      <c r="W20" s="668"/>
      <c r="X20" s="1265"/>
      <c r="Y20" s="3395"/>
      <c r="Z20" s="1264"/>
      <c r="AA20" s="1264">
        <v>1</v>
      </c>
      <c r="AB20" s="1264">
        <v>1</v>
      </c>
      <c r="AC20" s="1264">
        <v>1</v>
      </c>
    </row>
    <row r="21" spans="1:29" ht="27.6">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t="s">
        <v>3459</v>
      </c>
      <c r="D22" s="387"/>
      <c r="E22" s="386" t="s">
        <v>3459</v>
      </c>
      <c r="F22" s="388"/>
      <c r="G22" s="386" t="s">
        <v>3459</v>
      </c>
      <c r="H22" s="387"/>
      <c r="I22" s="386" t="s">
        <v>3459</v>
      </c>
      <c r="J22" s="387"/>
      <c r="K22" s="1064"/>
      <c r="L22" s="2491"/>
      <c r="M22" s="2486"/>
      <c r="N22" s="2486"/>
      <c r="O22" s="2486"/>
      <c r="P22" s="3393"/>
      <c r="Q22" s="1263"/>
      <c r="R22" s="667"/>
      <c r="S22" s="668"/>
      <c r="T22" s="667"/>
      <c r="U22" s="668"/>
      <c r="V22" s="667"/>
      <c r="W22" s="668"/>
      <c r="X22" s="1265"/>
      <c r="Y22" s="3395"/>
      <c r="Z22" s="1264"/>
      <c r="AA22" s="1264">
        <v>1</v>
      </c>
      <c r="AB22" s="1264">
        <v>1</v>
      </c>
      <c r="AC22" s="1264">
        <v>1</v>
      </c>
    </row>
    <row r="23" spans="1:29" ht="55.2">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93"/>
      <c r="Q23" s="1263" t="str">
        <f>B23</f>
        <v>自然及人文环境</v>
      </c>
      <c r="R23" s="667" t="s">
        <v>14</v>
      </c>
      <c r="S23" s="668">
        <f>F23</f>
        <v>100</v>
      </c>
      <c r="T23" s="667" t="s">
        <v>14</v>
      </c>
      <c r="U23" s="668">
        <f>H23</f>
        <v>100</v>
      </c>
      <c r="V23" s="667" t="s">
        <v>14</v>
      </c>
      <c r="W23" s="668">
        <f>J23</f>
        <v>100</v>
      </c>
      <c r="X23" s="1265"/>
      <c r="Y23" s="3395"/>
      <c r="Z23" s="1264" t="str">
        <f>Q23</f>
        <v>自然及人文环境</v>
      </c>
      <c r="AA23" s="1264">
        <f t="shared" si="3"/>
        <v>1</v>
      </c>
      <c r="AB23" s="1264">
        <f t="shared" si="4"/>
        <v>1</v>
      </c>
      <c r="AC23" s="1264">
        <f t="shared" si="5"/>
        <v>1</v>
      </c>
    </row>
    <row r="24" spans="1:29" ht="15">
      <c r="A24" s="367"/>
      <c r="B24" s="395"/>
      <c r="C24" s="386" t="s">
        <v>3443</v>
      </c>
      <c r="D24" s="387"/>
      <c r="E24" s="1752" t="s">
        <v>3443</v>
      </c>
      <c r="F24" s="388"/>
      <c r="G24" s="1751" t="s">
        <v>3443</v>
      </c>
      <c r="H24" s="387"/>
      <c r="I24" s="1752" t="s">
        <v>3443</v>
      </c>
      <c r="J24" s="387"/>
      <c r="K24" s="541"/>
      <c r="L24" s="2491"/>
      <c r="M24" s="2486"/>
      <c r="N24" s="2486"/>
      <c r="O24" s="2486"/>
      <c r="P24" s="3393"/>
      <c r="Q24" s="1263"/>
      <c r="R24" s="667"/>
      <c r="S24" s="668"/>
      <c r="T24" s="667"/>
      <c r="U24" s="668"/>
      <c r="V24" s="667"/>
      <c r="W24" s="668"/>
      <c r="X24" s="1265"/>
      <c r="Y24" s="3395"/>
      <c r="Z24" s="1264"/>
      <c r="AA24" s="1264">
        <v>1</v>
      </c>
      <c r="AB24" s="1264">
        <v>1</v>
      </c>
      <c r="AC24" s="1264">
        <v>1</v>
      </c>
    </row>
    <row r="25" spans="1:29" ht="15">
      <c r="A25" s="367"/>
      <c r="B25" s="364" t="s">
        <v>1778</v>
      </c>
      <c r="C25" s="542" t="s">
        <v>3440</v>
      </c>
      <c r="D25" s="374">
        <v>100</v>
      </c>
      <c r="E25" s="542" t="s">
        <v>3440</v>
      </c>
      <c r="F25" s="400">
        <f>SUMIF(86:86,E25,87:87)-SUMIF(86:86,C25,87:87)+100</f>
        <v>100</v>
      </c>
      <c r="G25" s="542" t="s">
        <v>3440</v>
      </c>
      <c r="H25" s="374">
        <f>SUMIF(86:86,G25,87:87)-SUMIF(86:86,C25,87:87)+100</f>
        <v>100</v>
      </c>
      <c r="I25" s="542" t="s">
        <v>3440</v>
      </c>
      <c r="J25" s="374">
        <f>SUMIF(86:86,I25,87:87)-SUMIF(86:86,C25,87:87)+100</f>
        <v>100</v>
      </c>
      <c r="K25" s="538">
        <v>5</v>
      </c>
      <c r="L25" s="2491"/>
      <c r="M25" s="2486"/>
      <c r="N25" s="2486"/>
      <c r="O25" s="2486"/>
      <c r="P25" s="3393"/>
      <c r="Q25" s="1263" t="str">
        <f t="shared" ref="Q25:Q46" si="11">B25</f>
        <v>临街状况</v>
      </c>
      <c r="R25" s="667" t="s">
        <v>14</v>
      </c>
      <c r="S25" s="668">
        <f>F25</f>
        <v>100</v>
      </c>
      <c r="T25" s="667" t="s">
        <v>14</v>
      </c>
      <c r="U25" s="668">
        <f>H25</f>
        <v>100</v>
      </c>
      <c r="V25" s="667" t="s">
        <v>14</v>
      </c>
      <c r="W25" s="668">
        <f>J25</f>
        <v>100</v>
      </c>
      <c r="X25" s="1265"/>
      <c r="Y25" s="3395"/>
      <c r="Z25" s="1264" t="str">
        <f>Q25</f>
        <v>临街状况</v>
      </c>
      <c r="AA25" s="1264">
        <f t="shared" si="3"/>
        <v>1</v>
      </c>
      <c r="AB25" s="1264">
        <f t="shared" si="4"/>
        <v>1</v>
      </c>
      <c r="AC25" s="1264">
        <f t="shared" si="5"/>
        <v>1</v>
      </c>
    </row>
    <row r="26" spans="1:29" ht="15">
      <c r="A26" s="367"/>
      <c r="B26" s="1066" t="s">
        <v>1779</v>
      </c>
      <c r="C26" s="3152" t="s">
        <v>3444</v>
      </c>
      <c r="D26" s="374">
        <v>100</v>
      </c>
      <c r="E26" s="3152" t="s">
        <v>3444</v>
      </c>
      <c r="F26" s="400">
        <f>SUMIF(88:88,E26,89:89)-SUMIF(88:88,C26,89:89)+100</f>
        <v>100</v>
      </c>
      <c r="G26" s="3152" t="s">
        <v>3587</v>
      </c>
      <c r="H26" s="374">
        <f>SUMIF(88:88,G26,89:89)-SUMIF(88:88,C26,89:89)+100</f>
        <v>95</v>
      </c>
      <c r="I26" s="3152" t="s">
        <v>3444</v>
      </c>
      <c r="J26" s="374">
        <f>SUMIF(88:88,I26,89:89)-SUMIF(88:88,C26,89:89)+100</f>
        <v>100</v>
      </c>
      <c r="K26" s="539"/>
      <c r="L26" s="2491"/>
      <c r="M26" s="2486"/>
      <c r="N26" s="2486"/>
      <c r="O26" s="2486"/>
      <c r="P26" s="3393"/>
      <c r="Q26" s="1263" t="str">
        <f t="shared" si="11"/>
        <v>平面位置/可视性</v>
      </c>
      <c r="R26" s="667" t="s">
        <v>14</v>
      </c>
      <c r="S26" s="668">
        <f>F26</f>
        <v>100</v>
      </c>
      <c r="T26" s="667" t="s">
        <v>14</v>
      </c>
      <c r="U26" s="668">
        <f>H26</f>
        <v>95</v>
      </c>
      <c r="V26" s="667" t="s">
        <v>14</v>
      </c>
      <c r="W26" s="668">
        <f>J26</f>
        <v>100</v>
      </c>
      <c r="X26" s="1265"/>
      <c r="Y26" s="3395"/>
      <c r="Z26" s="1264" t="str">
        <f>Q26</f>
        <v>平面位置/可视性</v>
      </c>
      <c r="AA26" s="1264">
        <f t="shared" si="3"/>
        <v>1</v>
      </c>
      <c r="AB26" s="1264">
        <f t="shared" si="4"/>
        <v>1.0526315789473684</v>
      </c>
      <c r="AC26" s="1264">
        <f t="shared" si="5"/>
        <v>1</v>
      </c>
    </row>
    <row r="27" spans="1:29" s="102" customFormat="1" ht="15">
      <c r="A27" s="370"/>
      <c r="B27" s="390" t="s">
        <v>1780</v>
      </c>
      <c r="C27" s="1807" t="s">
        <v>3445</v>
      </c>
      <c r="D27" s="401">
        <v>100</v>
      </c>
      <c r="E27" s="1807" t="s">
        <v>3445</v>
      </c>
      <c r="F27" s="395">
        <f>SUMIF(90:90,E27,91:91)-SUMIF(90:90,C27,91:91)+100</f>
        <v>100</v>
      </c>
      <c r="G27" s="1807" t="s">
        <v>3588</v>
      </c>
      <c r="H27" s="401">
        <f>SUMIF(90:90,G27,91:91)-SUMIF(90:90,C27,91:91)+100</f>
        <v>97</v>
      </c>
      <c r="I27" s="1807" t="s">
        <v>3445</v>
      </c>
      <c r="J27" s="401">
        <f>SUMIF(90:90,I27,91:91)-SUMIF(90:90,C27,91:91)+100</f>
        <v>100</v>
      </c>
      <c r="K27" s="538">
        <v>3</v>
      </c>
      <c r="L27" s="2487"/>
      <c r="M27" s="2439"/>
      <c r="N27" s="2439"/>
      <c r="O27" s="2439"/>
      <c r="P27" s="3393"/>
      <c r="Q27" s="530" t="str">
        <f t="shared" si="11"/>
        <v>人流量</v>
      </c>
      <c r="R27" s="664" t="s">
        <v>14</v>
      </c>
      <c r="S27" s="665">
        <f>F27</f>
        <v>100</v>
      </c>
      <c r="T27" s="664" t="s">
        <v>14</v>
      </c>
      <c r="U27" s="665">
        <f>H27</f>
        <v>97</v>
      </c>
      <c r="V27" s="664" t="s">
        <v>14</v>
      </c>
      <c r="W27" s="665">
        <f>J27</f>
        <v>100</v>
      </c>
      <c r="X27" s="666"/>
      <c r="Y27" s="3395"/>
      <c r="Z27" s="50" t="str">
        <f>Q27</f>
        <v>人流量</v>
      </c>
      <c r="AA27" s="1264">
        <f>D27/F27</f>
        <v>1</v>
      </c>
      <c r="AB27" s="1264">
        <f>D27/H27</f>
        <v>1.0309278350515463</v>
      </c>
      <c r="AC27" s="1264">
        <f>D27/J27</f>
        <v>1</v>
      </c>
    </row>
    <row r="28" spans="1:29" ht="15">
      <c r="A28" s="367"/>
      <c r="B28" s="364" t="s">
        <v>1781</v>
      </c>
      <c r="C28" s="542" t="s">
        <v>3536</v>
      </c>
      <c r="D28" s="374">
        <v>100</v>
      </c>
      <c r="E28" s="542" t="s">
        <v>3536</v>
      </c>
      <c r="F28" s="400">
        <f>SUMIF(92:92,E28,93:93)-SUMIF(92:92,C28,93:93)+100</f>
        <v>100</v>
      </c>
      <c r="G28" s="542" t="s">
        <v>3536</v>
      </c>
      <c r="H28" s="374">
        <f>SUMIF(92:92,G28,93:93)-SUMIF(92:92,C28,93:93)+100</f>
        <v>100</v>
      </c>
      <c r="I28" s="542" t="s">
        <v>3536</v>
      </c>
      <c r="J28" s="374">
        <f>SUMIF(92:92,I28,93:93)-SUMIF(92:92,C28,93:93)+100</f>
        <v>100</v>
      </c>
      <c r="K28" s="539"/>
      <c r="L28" s="2491"/>
      <c r="M28" s="2486"/>
      <c r="N28" s="2486"/>
      <c r="O28" s="2486"/>
      <c r="P28" s="339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5"/>
      <c r="Z28" s="1264" t="str">
        <f t="shared" ref="Z28:Z46" si="15">Q28</f>
        <v>楼层</v>
      </c>
      <c r="AA28" s="1264">
        <f t="shared" si="3"/>
        <v>1</v>
      </c>
      <c r="AB28" s="1264">
        <f t="shared" si="4"/>
        <v>1</v>
      </c>
      <c r="AC28" s="1264">
        <f t="shared" si="5"/>
        <v>1</v>
      </c>
    </row>
    <row r="29" spans="1:29" ht="15">
      <c r="A29" s="367"/>
      <c r="B29" s="3156"/>
      <c r="C29" s="3152"/>
      <c r="D29" s="374">
        <v>100</v>
      </c>
      <c r="E29" s="3152"/>
      <c r="F29" s="400">
        <f>SUMIF(94:94,E29,95:95)-SUMIF(94:94,C29,95:95)+100</f>
        <v>100</v>
      </c>
      <c r="G29" s="3152"/>
      <c r="H29" s="374">
        <f>SUMIF(94:94,G29,95:95)-SUMIF(94:94,C29,95:95)+100</f>
        <v>100</v>
      </c>
      <c r="I29" s="3152"/>
      <c r="J29" s="374">
        <f>SUMIF(94:94,I29,95:95)-SUMIF(94:94,C29,95:95)+100</f>
        <v>100</v>
      </c>
      <c r="K29" s="539"/>
      <c r="L29" s="2491"/>
      <c r="M29" s="2486"/>
      <c r="N29" s="2486"/>
      <c r="O29" s="2486"/>
      <c r="P29" s="3393"/>
      <c r="Q29" s="1263">
        <f t="shared" si="11"/>
        <v>0</v>
      </c>
      <c r="R29" s="667" t="s">
        <v>14</v>
      </c>
      <c r="S29" s="668">
        <f t="shared" si="12"/>
        <v>100</v>
      </c>
      <c r="T29" s="667" t="s">
        <v>14</v>
      </c>
      <c r="U29" s="668">
        <f t="shared" si="13"/>
        <v>100</v>
      </c>
      <c r="V29" s="667" t="s">
        <v>14</v>
      </c>
      <c r="W29" s="668">
        <f t="shared" si="14"/>
        <v>100</v>
      </c>
      <c r="X29" s="1265"/>
      <c r="Y29" s="3395"/>
      <c r="Z29" s="1264">
        <f t="shared" si="15"/>
        <v>0</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3"/>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3154" t="s">
        <v>3598</v>
      </c>
      <c r="O31" s="3154" t="s">
        <v>3599</v>
      </c>
      <c r="P31" s="3393"/>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264">
        <f t="shared" si="5"/>
        <v>1</v>
      </c>
    </row>
    <row r="32" spans="1:29" ht="15">
      <c r="A32" s="379" t="s">
        <v>1692</v>
      </c>
      <c r="B32" s="60" t="s">
        <v>1782</v>
      </c>
      <c r="C32" s="1764" t="s">
        <v>3455</v>
      </c>
      <c r="D32" s="405">
        <v>100</v>
      </c>
      <c r="E32" s="1764" t="s">
        <v>3455</v>
      </c>
      <c r="F32" s="400">
        <f>SUMIF(100:100,E32,101:101)-SUMIF(100:100,C32,101:101)+100</f>
        <v>100</v>
      </c>
      <c r="G32" s="1764" t="s">
        <v>3455</v>
      </c>
      <c r="H32" s="374">
        <f>SUMIF(100:100,G32,101:101)-SUMIF(100:100,C32,101:101)+100</f>
        <v>100</v>
      </c>
      <c r="I32" s="1764" t="s">
        <v>3455</v>
      </c>
      <c r="J32" s="405">
        <f>SUMIF(100:100,I32,101:101)-SUMIF(100:100,C32,101:101)+100</f>
        <v>100</v>
      </c>
      <c r="K32" s="538">
        <v>5</v>
      </c>
      <c r="L32" s="2491"/>
      <c r="M32" s="3154" t="s">
        <v>3554</v>
      </c>
      <c r="N32" s="2486">
        <v>2013</v>
      </c>
      <c r="O32" s="2486">
        <f>ROUND(1-(1-0)*(2024-N32)/60,2)</f>
        <v>0.82</v>
      </c>
      <c r="P32" s="3396" t="s">
        <v>1694</v>
      </c>
      <c r="Q32" s="1263" t="str">
        <f t="shared" si="11"/>
        <v>商业类型</v>
      </c>
      <c r="R32" s="667" t="s">
        <v>14</v>
      </c>
      <c r="S32" s="668">
        <f t="shared" si="12"/>
        <v>100</v>
      </c>
      <c r="T32" s="667" t="s">
        <v>14</v>
      </c>
      <c r="U32" s="668">
        <f t="shared" si="13"/>
        <v>100</v>
      </c>
      <c r="V32" s="667" t="s">
        <v>14</v>
      </c>
      <c r="W32" s="668">
        <f t="shared" si="14"/>
        <v>100</v>
      </c>
      <c r="X32" s="1265"/>
      <c r="Y32" s="3399" t="s">
        <v>1694</v>
      </c>
      <c r="Z32" s="1264" t="str">
        <f t="shared" si="15"/>
        <v>商业类型</v>
      </c>
      <c r="AA32" s="1264">
        <f t="shared" si="3"/>
        <v>1</v>
      </c>
      <c r="AB32" s="1264">
        <f t="shared" si="4"/>
        <v>1</v>
      </c>
      <c r="AC32" s="1264">
        <f t="shared" si="5"/>
        <v>1</v>
      </c>
    </row>
    <row r="33" spans="1:29" s="408" customFormat="1" ht="15">
      <c r="A33" s="406"/>
      <c r="B33" s="364" t="s">
        <v>1695</v>
      </c>
      <c r="C33" s="407">
        <f>'数据-汇总表'!E20</f>
        <v>152.88999999999999</v>
      </c>
      <c r="D33" s="119">
        <v>100</v>
      </c>
      <c r="E33" s="369">
        <v>190.35</v>
      </c>
      <c r="F33" s="364">
        <f>LOOKUP(E33,103:103,104:104)-LOOKUP(C33,103:103,104:104)+100</f>
        <v>100</v>
      </c>
      <c r="G33" s="368">
        <v>58.26</v>
      </c>
      <c r="H33" s="119">
        <f>LOOKUP(G33,103:103,104:104)-LOOKUP(C33,103:103,104:104)+100</f>
        <v>107</v>
      </c>
      <c r="I33" s="368">
        <f>案例!O112</f>
        <v>131.91</v>
      </c>
      <c r="J33" s="119">
        <f>LOOKUP(I33,103:103,104:104)-LOOKUP(C33,103:103,104:104)+100</f>
        <v>102</v>
      </c>
      <c r="K33" s="539"/>
      <c r="L33" s="2490"/>
      <c r="M33" s="3154" t="s">
        <v>3555</v>
      </c>
      <c r="N33" s="2486">
        <v>2016</v>
      </c>
      <c r="O33" s="2486">
        <f>ROUND(1-(1-0)*(2024-N33)/60,2)</f>
        <v>0.87</v>
      </c>
      <c r="P33" s="3397"/>
      <c r="Q33" s="531" t="str">
        <f t="shared" si="11"/>
        <v>项目建筑规模</v>
      </c>
      <c r="R33" s="669" t="s">
        <v>14</v>
      </c>
      <c r="S33" s="670">
        <f t="shared" si="12"/>
        <v>100</v>
      </c>
      <c r="T33" s="669" t="s">
        <v>14</v>
      </c>
      <c r="U33" s="670">
        <f t="shared" si="13"/>
        <v>107</v>
      </c>
      <c r="V33" s="669" t="s">
        <v>14</v>
      </c>
      <c r="W33" s="670">
        <f t="shared" si="14"/>
        <v>102</v>
      </c>
      <c r="X33" s="671"/>
      <c r="Y33" s="3399"/>
      <c r="Z33" s="672" t="str">
        <f t="shared" si="15"/>
        <v>项目建筑规模</v>
      </c>
      <c r="AA33" s="1264">
        <f t="shared" si="3"/>
        <v>1</v>
      </c>
      <c r="AB33" s="1264">
        <f t="shared" si="4"/>
        <v>0.93457943925233644</v>
      </c>
      <c r="AC33" s="1264">
        <f t="shared" si="5"/>
        <v>0.98039215686274506</v>
      </c>
    </row>
    <row r="34" spans="1:29" ht="15">
      <c r="A34" s="409"/>
      <c r="B34" s="364" t="s">
        <v>1696</v>
      </c>
      <c r="C34" s="399" t="s">
        <v>3402</v>
      </c>
      <c r="D34" s="374">
        <v>100</v>
      </c>
      <c r="E34" s="399" t="s">
        <v>3402</v>
      </c>
      <c r="F34" s="400">
        <f>SUMIF(105:105,E34,106:106)-SUMIF(105:105,C34,106:106)+100</f>
        <v>100</v>
      </c>
      <c r="G34" s="399" t="s">
        <v>3402</v>
      </c>
      <c r="H34" s="374">
        <f>SUMIF(105:105,G34,106:106)-SUMIF(105:105,C34,106:106)+100</f>
        <v>100</v>
      </c>
      <c r="I34" s="399" t="s">
        <v>3402</v>
      </c>
      <c r="J34" s="374">
        <f>SUMIF(105:105,I34,106:106)-SUMIF(105:105,C34,106:106)+100</f>
        <v>100</v>
      </c>
      <c r="K34" s="538">
        <v>1</v>
      </c>
      <c r="L34" s="2491"/>
      <c r="M34" s="3154" t="s">
        <v>3556</v>
      </c>
      <c r="N34" s="2486">
        <v>2007</v>
      </c>
      <c r="O34" s="2486">
        <f>ROUND(1-(1-0)*(2024-N34)/60,2)</f>
        <v>0.72</v>
      </c>
      <c r="P34" s="3397"/>
      <c r="Q34" s="1263" t="str">
        <f t="shared" si="11"/>
        <v>建筑结构</v>
      </c>
      <c r="R34" s="667" t="s">
        <v>14</v>
      </c>
      <c r="S34" s="668">
        <f t="shared" si="12"/>
        <v>100</v>
      </c>
      <c r="T34" s="667" t="s">
        <v>14</v>
      </c>
      <c r="U34" s="668">
        <f t="shared" si="13"/>
        <v>100</v>
      </c>
      <c r="V34" s="667" t="s">
        <v>14</v>
      </c>
      <c r="W34" s="668">
        <f t="shared" si="14"/>
        <v>100</v>
      </c>
      <c r="X34" s="1265"/>
      <c r="Y34" s="3399"/>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3154" t="s">
        <v>3584</v>
      </c>
      <c r="N35" s="2486">
        <v>2012</v>
      </c>
      <c r="O35" s="2486">
        <f t="shared" ref="O35:O36" si="16">ROUND(1-(1-0)*(2024-N35)/60,2)</f>
        <v>0.8</v>
      </c>
      <c r="P35" s="3397"/>
      <c r="Q35" s="1263" t="str">
        <f t="shared" si="11"/>
        <v>公共部分装修</v>
      </c>
      <c r="R35" s="667" t="s">
        <v>14</v>
      </c>
      <c r="S35" s="668">
        <f t="shared" si="12"/>
        <v>100</v>
      </c>
      <c r="T35" s="667" t="s">
        <v>14</v>
      </c>
      <c r="U35" s="668">
        <f t="shared" si="13"/>
        <v>100</v>
      </c>
      <c r="V35" s="667" t="s">
        <v>14</v>
      </c>
      <c r="W35" s="668">
        <f t="shared" si="14"/>
        <v>100</v>
      </c>
      <c r="X35" s="1265"/>
      <c r="Y35" s="3399"/>
      <c r="Z35" s="1264" t="str">
        <f t="shared" si="15"/>
        <v>公共部分装修</v>
      </c>
      <c r="AA35" s="1264">
        <f t="shared" si="3"/>
        <v>1</v>
      </c>
      <c r="AB35" s="1264">
        <f t="shared" si="4"/>
        <v>1</v>
      </c>
      <c r="AC35" s="1264">
        <f t="shared" si="5"/>
        <v>1</v>
      </c>
    </row>
    <row r="36" spans="1:29" ht="15">
      <c r="A36" s="409"/>
      <c r="B36" s="364" t="s">
        <v>1784</v>
      </c>
      <c r="C36" s="411">
        <f>'数据-取费表'!N6</f>
        <v>0.74</v>
      </c>
      <c r="D36" s="374">
        <v>100</v>
      </c>
      <c r="E36" s="411">
        <f>O35</f>
        <v>0.8</v>
      </c>
      <c r="F36" s="400">
        <f>LOOKUP(E36,110:110,111:111)-LOOKUP(C36,110:110,111:111)+100</f>
        <v>101</v>
      </c>
      <c r="G36" s="411">
        <f>O36</f>
        <v>0.77</v>
      </c>
      <c r="H36" s="400">
        <f>LOOKUP(G36,110:110,111:111)-LOOKUP(C36,110:110,111:111)+100</f>
        <v>100</v>
      </c>
      <c r="I36" s="411">
        <f>O32</f>
        <v>0.82</v>
      </c>
      <c r="J36" s="374">
        <f>LOOKUP(I36,110:110,111:111)-LOOKUP(C36,110:110,111:111)+100</f>
        <v>101</v>
      </c>
      <c r="K36" s="538">
        <v>1</v>
      </c>
      <c r="L36" s="2491"/>
      <c r="M36" s="3154" t="s">
        <v>3586</v>
      </c>
      <c r="N36" s="2486">
        <v>2010</v>
      </c>
      <c r="O36" s="2486">
        <f t="shared" si="16"/>
        <v>0.77</v>
      </c>
      <c r="P36" s="3397"/>
      <c r="Q36" s="1263" t="str">
        <f t="shared" si="11"/>
        <v>成新度</v>
      </c>
      <c r="R36" s="667" t="s">
        <v>14</v>
      </c>
      <c r="S36" s="668">
        <f t="shared" si="12"/>
        <v>101</v>
      </c>
      <c r="T36" s="667" t="s">
        <v>14</v>
      </c>
      <c r="U36" s="668">
        <f t="shared" si="13"/>
        <v>100</v>
      </c>
      <c r="V36" s="667" t="s">
        <v>14</v>
      </c>
      <c r="W36" s="668">
        <f t="shared" si="14"/>
        <v>101</v>
      </c>
      <c r="X36" s="1265"/>
      <c r="Y36" s="3399"/>
      <c r="Z36" s="1264" t="str">
        <f t="shared" si="15"/>
        <v>成新度</v>
      </c>
      <c r="AA36" s="1264">
        <f t="shared" si="3"/>
        <v>0.99009900990099009</v>
      </c>
      <c r="AB36" s="1264">
        <f t="shared" si="4"/>
        <v>1</v>
      </c>
      <c r="AC36" s="1264">
        <f t="shared" si="5"/>
        <v>0.99009900990099009</v>
      </c>
    </row>
    <row r="37" spans="1:29" s="102" customFormat="1" ht="15">
      <c r="A37" s="410"/>
      <c r="B37" s="364" t="s">
        <v>1785</v>
      </c>
      <c r="C37" s="1760" t="s">
        <v>3461</v>
      </c>
      <c r="D37" s="119">
        <v>100</v>
      </c>
      <c r="E37" s="1760" t="s">
        <v>3459</v>
      </c>
      <c r="F37" s="400">
        <f>SUMIF(112:112,E37,113:113)-SUMIF(112:112,C37,113:113)+100</f>
        <v>101</v>
      </c>
      <c r="G37" s="1760" t="s">
        <v>3461</v>
      </c>
      <c r="H37" s="374">
        <f>SUMIF(112:112,G37,113:113)-SUMIF(112:112,C37,113:113)+100</f>
        <v>100</v>
      </c>
      <c r="I37" s="1760" t="s">
        <v>3461</v>
      </c>
      <c r="J37" s="374">
        <f>SUMIF(112:112,I37,113:113)-SUMIF(112:112,C37,113:113)+100</f>
        <v>100</v>
      </c>
      <c r="K37" s="538">
        <v>1</v>
      </c>
      <c r="L37" s="2487"/>
      <c r="M37" s="2486"/>
      <c r="N37" s="2486"/>
      <c r="O37" s="2439"/>
      <c r="P37" s="3397"/>
      <c r="Q37" s="530" t="str">
        <f t="shared" si="11"/>
        <v>市政基础设施</v>
      </c>
      <c r="R37" s="664" t="s">
        <v>14</v>
      </c>
      <c r="S37" s="665">
        <f t="shared" si="12"/>
        <v>101</v>
      </c>
      <c r="T37" s="664" t="s">
        <v>14</v>
      </c>
      <c r="U37" s="665">
        <f t="shared" si="13"/>
        <v>100</v>
      </c>
      <c r="V37" s="664" t="s">
        <v>14</v>
      </c>
      <c r="W37" s="665">
        <f t="shared" si="14"/>
        <v>100</v>
      </c>
      <c r="X37" s="666"/>
      <c r="Y37" s="3399"/>
      <c r="Z37" s="50" t="str">
        <f t="shared" si="15"/>
        <v>市政基础设施</v>
      </c>
      <c r="AA37" s="50">
        <f t="shared" si="3"/>
        <v>0.99009900990099009</v>
      </c>
      <c r="AB37" s="50">
        <f t="shared" si="4"/>
        <v>1</v>
      </c>
      <c r="AC37" s="50">
        <f t="shared" si="5"/>
        <v>1</v>
      </c>
    </row>
    <row r="38" spans="1:29" ht="15">
      <c r="A38" s="409"/>
      <c r="B38" s="364" t="s">
        <v>1786</v>
      </c>
      <c r="C38" s="1760" t="s">
        <v>3464</v>
      </c>
      <c r="D38" s="374">
        <v>100</v>
      </c>
      <c r="E38" s="1760" t="s">
        <v>3466</v>
      </c>
      <c r="F38" s="400">
        <f>SUMIF(114:114,E38,115:115)-SUMIF(114:114,C38,115:115)+100</f>
        <v>95</v>
      </c>
      <c r="G38" s="1760" t="s">
        <v>3466</v>
      </c>
      <c r="H38" s="374">
        <f>SUMIF(114:114,G38,115:115)-SUMIF(114:114,C38,115:115)+100</f>
        <v>95</v>
      </c>
      <c r="I38" s="1760" t="s">
        <v>3466</v>
      </c>
      <c r="J38" s="374">
        <f>SUMIF(114:114,I38,115:115)-SUMIF(114:114,C38,115:115)+100</f>
        <v>95</v>
      </c>
      <c r="K38" s="538">
        <v>5</v>
      </c>
      <c r="L38" s="2491"/>
      <c r="N38" s="3154" t="s">
        <v>3601</v>
      </c>
      <c r="O38" s="2486"/>
      <c r="P38" s="3397" t="s">
        <v>1694</v>
      </c>
      <c r="Q38" s="1263" t="str">
        <f t="shared" si="11"/>
        <v>业态</v>
      </c>
      <c r="R38" s="667" t="s">
        <v>14</v>
      </c>
      <c r="S38" s="668">
        <f t="shared" si="12"/>
        <v>95</v>
      </c>
      <c r="T38" s="667" t="s">
        <v>14</v>
      </c>
      <c r="U38" s="668">
        <f t="shared" si="13"/>
        <v>95</v>
      </c>
      <c r="V38" s="667" t="s">
        <v>14</v>
      </c>
      <c r="W38" s="668">
        <f t="shared" si="14"/>
        <v>95</v>
      </c>
      <c r="X38" s="1265"/>
      <c r="Y38" s="3399" t="s">
        <v>1694</v>
      </c>
      <c r="Z38" s="1264" t="str">
        <f t="shared" si="15"/>
        <v>业态</v>
      </c>
      <c r="AA38" s="1264">
        <f t="shared" si="3"/>
        <v>1.0526315789473684</v>
      </c>
      <c r="AB38" s="1264">
        <f t="shared" si="4"/>
        <v>1.0526315789473684</v>
      </c>
      <c r="AC38" s="1264">
        <f t="shared" si="5"/>
        <v>1.0526315789473684</v>
      </c>
    </row>
    <row r="39" spans="1:29" ht="15">
      <c r="A39" s="409"/>
      <c r="B39" s="364" t="s">
        <v>1787</v>
      </c>
      <c r="C39" s="1760" t="s">
        <v>3468</v>
      </c>
      <c r="D39" s="374">
        <v>100</v>
      </c>
      <c r="E39" s="1760" t="s">
        <v>3579</v>
      </c>
      <c r="F39" s="400">
        <f>SUMIF(116:116,E39,117:117)-SUMIF(116:116,C39,117:117)+100</f>
        <v>105</v>
      </c>
      <c r="G39" s="1760" t="s">
        <v>3468</v>
      </c>
      <c r="H39" s="374">
        <f>SUMIF(116:116,G39,117:117)-SUMIF(116:116,C39,117:117)+100</f>
        <v>100</v>
      </c>
      <c r="I39" s="1760" t="s">
        <v>3468</v>
      </c>
      <c r="J39" s="374">
        <f>SUMIF(116:116,I39,117:117)-SUMIF(116:116,C39,117:117)+100</f>
        <v>100</v>
      </c>
      <c r="K39" s="538">
        <v>5</v>
      </c>
      <c r="L39" s="3154" t="s">
        <v>3584</v>
      </c>
      <c r="M39" s="2486">
        <f>N35-2+40</f>
        <v>2050</v>
      </c>
      <c r="N39" s="2486">
        <f>M39-2024</f>
        <v>26</v>
      </c>
      <c r="O39" s="2486"/>
      <c r="P39" s="3397"/>
      <c r="Q39" s="1263" t="str">
        <f t="shared" si="11"/>
        <v>层高</v>
      </c>
      <c r="R39" s="667" t="s">
        <v>14</v>
      </c>
      <c r="S39" s="668">
        <f t="shared" si="12"/>
        <v>105</v>
      </c>
      <c r="T39" s="667" t="s">
        <v>14</v>
      </c>
      <c r="U39" s="668">
        <f t="shared" si="13"/>
        <v>100</v>
      </c>
      <c r="V39" s="667" t="s">
        <v>14</v>
      </c>
      <c r="W39" s="668">
        <f t="shared" si="14"/>
        <v>100</v>
      </c>
      <c r="X39" s="1265"/>
      <c r="Y39" s="3399"/>
      <c r="Z39" s="1264" t="str">
        <f t="shared" si="15"/>
        <v>层高</v>
      </c>
      <c r="AA39" s="1264">
        <f t="shared" si="3"/>
        <v>0.95238095238095233</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3154" t="s">
        <v>3586</v>
      </c>
      <c r="M40" s="2486">
        <f>N36-2+40</f>
        <v>2048</v>
      </c>
      <c r="N40" s="2486">
        <f t="shared" ref="N40:N41" si="17">M40-2024</f>
        <v>24</v>
      </c>
      <c r="O40" s="2486"/>
      <c r="P40" s="3397"/>
      <c r="Q40" s="1263" t="str">
        <f t="shared" si="11"/>
        <v>单套建筑面积</v>
      </c>
      <c r="R40" s="667" t="s">
        <v>14</v>
      </c>
      <c r="S40" s="668">
        <f t="shared" si="12"/>
        <v>100</v>
      </c>
      <c r="T40" s="667" t="s">
        <v>14</v>
      </c>
      <c r="U40" s="668">
        <f t="shared" si="13"/>
        <v>100</v>
      </c>
      <c r="V40" s="667" t="s">
        <v>14</v>
      </c>
      <c r="W40" s="668">
        <f t="shared" si="14"/>
        <v>100</v>
      </c>
      <c r="X40" s="1265"/>
      <c r="Y40" s="3399"/>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3154" t="s">
        <v>3602</v>
      </c>
      <c r="M41" s="2486">
        <f>N32-2+40</f>
        <v>2051</v>
      </c>
      <c r="N41" s="2486">
        <f t="shared" si="17"/>
        <v>27</v>
      </c>
      <c r="O41" s="2492"/>
      <c r="P41" s="3397"/>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4">
        <f t="shared" si="3"/>
        <v>1</v>
      </c>
      <c r="AB41" s="1264">
        <f t="shared" si="4"/>
        <v>1</v>
      </c>
      <c r="AC41" s="1264">
        <f t="shared" si="5"/>
        <v>1</v>
      </c>
    </row>
    <row r="42" spans="1:29" ht="15">
      <c r="A42" s="409"/>
      <c r="B42" s="364" t="s">
        <v>1790</v>
      </c>
      <c r="C42" s="1760" t="s">
        <v>3473</v>
      </c>
      <c r="D42" s="374">
        <v>100</v>
      </c>
      <c r="E42" s="1760" t="s">
        <v>3473</v>
      </c>
      <c r="F42" s="400">
        <f>SUMIF(122:122,E42,123:123)-SUMIF(122:122,C42,123:123)+100</f>
        <v>100</v>
      </c>
      <c r="G42" s="1760" t="s">
        <v>3473</v>
      </c>
      <c r="H42" s="374">
        <f>SUMIF(122:122,G42,123:123)-SUMIF(122:122,C42,123:123)+100</f>
        <v>100</v>
      </c>
      <c r="I42" s="1760" t="s">
        <v>3470</v>
      </c>
      <c r="J42" s="374">
        <f>SUMIF(122:122,I42,123:123)-SUMIF(122:122,C42,123:123)+100</f>
        <v>104</v>
      </c>
      <c r="K42" s="538">
        <v>2</v>
      </c>
      <c r="L42" s="2491"/>
      <c r="M42" s="2486"/>
      <c r="N42" s="3164" t="s">
        <v>3609</v>
      </c>
      <c r="O42" s="2486"/>
      <c r="P42" s="3397"/>
      <c r="Q42" s="1263" t="str">
        <f t="shared" si="11"/>
        <v>内部装修</v>
      </c>
      <c r="R42" s="667" t="s">
        <v>14</v>
      </c>
      <c r="S42" s="668">
        <f t="shared" si="12"/>
        <v>100</v>
      </c>
      <c r="T42" s="667" t="s">
        <v>14</v>
      </c>
      <c r="U42" s="668">
        <f t="shared" si="13"/>
        <v>100</v>
      </c>
      <c r="V42" s="667" t="s">
        <v>14</v>
      </c>
      <c r="W42" s="668">
        <f t="shared" si="14"/>
        <v>104</v>
      </c>
      <c r="X42" s="1265"/>
      <c r="Y42" s="3399"/>
      <c r="Z42" s="1264" t="str">
        <f t="shared" si="15"/>
        <v>内部装修</v>
      </c>
      <c r="AA42" s="1264">
        <f t="shared" si="3"/>
        <v>1</v>
      </c>
      <c r="AB42" s="1264">
        <f t="shared" si="4"/>
        <v>1</v>
      </c>
      <c r="AC42" s="1264">
        <f t="shared" si="5"/>
        <v>0.96153846153846156</v>
      </c>
    </row>
    <row r="43" spans="1:29" ht="28.8">
      <c r="A43" s="409"/>
      <c r="B43" s="364" t="s">
        <v>1705</v>
      </c>
      <c r="C43" s="1760" t="s">
        <v>3443</v>
      </c>
      <c r="D43" s="374">
        <v>100</v>
      </c>
      <c r="E43" s="1760" t="s">
        <v>3443</v>
      </c>
      <c r="F43" s="400">
        <f>SUMIF(124:124,E43,125:125)-SUMIF(124:124,C43,125:125)+100</f>
        <v>100</v>
      </c>
      <c r="G43" s="1760" t="s">
        <v>3443</v>
      </c>
      <c r="H43" s="374">
        <f>SUMIF(124:124,G43,125:125)-SUMIF(124:124,C43,125:125)+100</f>
        <v>100</v>
      </c>
      <c r="I43" s="1760" t="s">
        <v>3443</v>
      </c>
      <c r="J43" s="374">
        <f>SUMIF(124:124,I43,125:125)-SUMIF(124:124,C43,125:125)+100</f>
        <v>100</v>
      </c>
      <c r="K43" s="538">
        <v>2</v>
      </c>
      <c r="L43" s="3509" t="s">
        <v>3607</v>
      </c>
      <c r="M43" s="2486">
        <f>案例!N79</f>
        <v>55162</v>
      </c>
      <c r="N43" s="3508">
        <f>ROUND(M43/C93*100,0)</f>
        <v>46747</v>
      </c>
      <c r="O43" s="2486"/>
      <c r="P43" s="3397"/>
      <c r="Q43" s="1263" t="str">
        <f t="shared" si="11"/>
        <v>内部装修维护情况</v>
      </c>
      <c r="R43" s="667" t="s">
        <v>14</v>
      </c>
      <c r="S43" s="668">
        <f t="shared" si="12"/>
        <v>100</v>
      </c>
      <c r="T43" s="667" t="s">
        <v>14</v>
      </c>
      <c r="U43" s="668">
        <f t="shared" si="13"/>
        <v>100</v>
      </c>
      <c r="V43" s="667" t="s">
        <v>14</v>
      </c>
      <c r="W43" s="668">
        <f t="shared" si="14"/>
        <v>100</v>
      </c>
      <c r="X43" s="1265"/>
      <c r="Y43" s="339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3507" t="s">
        <v>3608</v>
      </c>
      <c r="M44" s="2439">
        <v>48061</v>
      </c>
      <c r="N44" s="3508">
        <f>ROUND(M44/C93*100,0)</f>
        <v>40730</v>
      </c>
      <c r="O44" s="2439"/>
      <c r="P44" s="3397"/>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3506"/>
      <c r="M45" s="2486"/>
      <c r="N45" s="2486"/>
      <c r="O45" s="2486"/>
      <c r="P45" s="3397"/>
      <c r="Q45" s="1263">
        <f t="shared" si="11"/>
        <v>111</v>
      </c>
      <c r="R45" s="667" t="s">
        <v>14</v>
      </c>
      <c r="S45" s="668">
        <f t="shared" si="12"/>
        <v>100</v>
      </c>
      <c r="T45" s="667" t="s">
        <v>14</v>
      </c>
      <c r="U45" s="668">
        <f t="shared" si="13"/>
        <v>100</v>
      </c>
      <c r="V45" s="667" t="s">
        <v>14</v>
      </c>
      <c r="W45" s="668">
        <f t="shared" si="14"/>
        <v>100</v>
      </c>
      <c r="X45" s="1265"/>
      <c r="Y45" s="339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264">
        <f t="shared" si="5"/>
        <v>1</v>
      </c>
    </row>
    <row r="47" spans="1:29" ht="14.4">
      <c r="A47" s="416" t="s">
        <v>1706</v>
      </c>
      <c r="B47" s="417"/>
      <c r="C47" s="1081" t="s">
        <v>0</v>
      </c>
      <c r="D47" s="418"/>
      <c r="E47" s="419">
        <f>N43</f>
        <v>46747</v>
      </c>
      <c r="F47" s="420"/>
      <c r="G47" s="421">
        <f>N44</f>
        <v>40730</v>
      </c>
      <c r="H47" s="422"/>
      <c r="I47" s="419">
        <f>案例!O113</f>
        <v>49656</v>
      </c>
      <c r="J47" s="422"/>
      <c r="K47" s="674"/>
      <c r="L47" s="2493"/>
      <c r="M47" s="2486"/>
      <c r="N47" s="2486"/>
      <c r="O47" s="2486"/>
      <c r="P47" s="3401" t="str">
        <f>A47</f>
        <v>成交单价（元/平方米）</v>
      </c>
      <c r="Q47" s="3401"/>
      <c r="R47" s="3362">
        <f>E47</f>
        <v>46747</v>
      </c>
      <c r="S47" s="3362"/>
      <c r="T47" s="3362">
        <f>G47</f>
        <v>40730</v>
      </c>
      <c r="U47" s="3362"/>
      <c r="V47" s="3362">
        <f>I47</f>
        <v>49656</v>
      </c>
      <c r="W47" s="3362"/>
      <c r="X47" s="385"/>
      <c r="Y47" s="673"/>
      <c r="Z47" s="385"/>
      <c r="AA47" s="385"/>
      <c r="AB47" s="385"/>
      <c r="AC47" s="385"/>
    </row>
    <row r="48" spans="1:29" ht="15" thickBot="1">
      <c r="A48" s="423" t="s">
        <v>1707</v>
      </c>
      <c r="B48" s="424"/>
      <c r="C48" s="1082">
        <f>R49</f>
        <v>40485</v>
      </c>
      <c r="D48" s="2141" t="s">
        <v>2136</v>
      </c>
      <c r="E48" s="1083">
        <f>R48</f>
        <v>39776</v>
      </c>
      <c r="F48" s="2142"/>
      <c r="G48" s="1082">
        <f>T48</f>
        <v>39440</v>
      </c>
      <c r="H48" s="2142"/>
      <c r="I48" s="1083">
        <f>V48</f>
        <v>42239</v>
      </c>
      <c r="J48" s="2142"/>
      <c r="K48" s="2144">
        <f>F48+H48+J48</f>
        <v>0</v>
      </c>
      <c r="L48" s="2493"/>
      <c r="M48" s="2486"/>
      <c r="N48" s="2486"/>
      <c r="O48" s="2486"/>
      <c r="P48" s="3401" t="str">
        <f>A48</f>
        <v>比较价值（元/平方米）</v>
      </c>
      <c r="Q48" s="3401"/>
      <c r="R48" s="3362">
        <f>IF(F1="售价",ROUND(PRODUCT(R47,AA7:AA46),0),ROUND(PRODUCT(R47,AA7:AA46),1))</f>
        <v>39776</v>
      </c>
      <c r="S48" s="3362"/>
      <c r="T48" s="3362">
        <f>IF(F1="售价",ROUND(PRODUCT(T47,AB7:AB46),0),ROUND(PRODUCT(T47,AB7:AB46),1))</f>
        <v>39440</v>
      </c>
      <c r="U48" s="3362"/>
      <c r="V48" s="3362">
        <f>IF(F1="售价",ROUND(PRODUCT(V47,AC7:AC46),0),ROUND(PRODUCT(V47,AC7:AC46),1))</f>
        <v>42239</v>
      </c>
      <c r="W48" s="3362"/>
      <c r="X48" s="385"/>
      <c r="Y48" s="385"/>
      <c r="Z48" s="385"/>
      <c r="AA48" s="385"/>
      <c r="AB48" s="385"/>
      <c r="AC48" s="385"/>
    </row>
    <row r="49" spans="1:29" ht="15" thickBot="1">
      <c r="A49" s="427" t="s">
        <v>1708</v>
      </c>
      <c r="B49" s="428"/>
      <c r="C49" s="351">
        <f>R49</f>
        <v>40485</v>
      </c>
      <c r="D49" s="351"/>
      <c r="E49" s="351"/>
      <c r="F49" s="351"/>
      <c r="G49" s="351"/>
      <c r="H49" s="351"/>
      <c r="I49" s="351"/>
      <c r="J49" s="351"/>
      <c r="K49" s="675"/>
      <c r="L49" s="2493"/>
      <c r="M49" s="2486"/>
      <c r="N49" s="2486"/>
      <c r="O49" s="2486"/>
      <c r="P49" s="3402" t="str">
        <f>A49</f>
        <v>估价对象XX用房的比较价值（楼面单价，元/平方米）</v>
      </c>
      <c r="Q49" s="3403"/>
      <c r="R49" s="3404">
        <f>IF(F1="售价",ROUND(IF(D48="简单平均",AVERAGE(R48:V48),R48*F48+T48*H48+V48*J48),0),ROUND(IF(D48="简单平均",AVERAGE(R48:V48),R48*F48+T48*H48+V48*J48),1))</f>
        <v>40485</v>
      </c>
      <c r="S49" s="3404"/>
      <c r="T49" s="3404"/>
      <c r="U49" s="3404"/>
      <c r="V49" s="3404"/>
      <c r="W49" s="3404"/>
      <c r="X49" s="385"/>
      <c r="Y49" s="385"/>
      <c r="Z49" s="385"/>
      <c r="AA49" s="385"/>
      <c r="AB49" s="385"/>
      <c r="AC49" s="385"/>
    </row>
    <row r="50" spans="1:29" ht="14.4">
      <c r="A50" s="2486"/>
      <c r="B50" s="2486"/>
      <c r="C50" s="3154" t="s">
        <v>3611</v>
      </c>
      <c r="D50" s="2486"/>
      <c r="E50" s="2486"/>
      <c r="F50" s="2486"/>
      <c r="G50" s="3510" t="s">
        <v>3612</v>
      </c>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ht="14.4">
      <c r="A51" s="2486"/>
      <c r="B51" s="2486"/>
      <c r="E51" s="2486"/>
      <c r="F51" s="2486"/>
      <c r="G51" s="3154" t="s">
        <v>3610</v>
      </c>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1709</v>
      </c>
      <c r="D52" s="433"/>
      <c r="E52" s="434">
        <f>IF(E47&lt;E48,E48/E47-1,E47/E48-1)</f>
        <v>0.17525643604183427</v>
      </c>
      <c r="F52" s="435" t="str">
        <f>IF(OR(E52&gt;=0.3,E52&lt;=-0.3),"超过30%","")</f>
        <v/>
      </c>
      <c r="G52" s="434">
        <f>IF(G47&lt;G48,G48/G47-1,G47/G48-1)</f>
        <v>3.2707910750507052E-2</v>
      </c>
      <c r="H52" s="435" t="str">
        <f>IF(OR(G52&gt;=0.3,G52&lt;=-0.3),"超过30%","")</f>
        <v/>
      </c>
      <c r="I52" s="434">
        <f>IF(I47&lt;I48,I48/I47-1,I47/I48-1)</f>
        <v>0.1755960131631904</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1710</v>
      </c>
      <c r="D53" s="436"/>
      <c r="E53" s="434">
        <f>IF(E48&lt;G48,G48/E48-1,E48/G48-1)</f>
        <v>8.519269776876337E-3</v>
      </c>
      <c r="F53" s="435" t="str">
        <f>IF(OR(E53&gt;=0.2,E53&lt;=-0.2),"超过20%","")</f>
        <v/>
      </c>
      <c r="G53" s="434">
        <f>IF(G48&lt;I48,I48/G48-1,G48/I48-1)</f>
        <v>7.0968559837728096E-2</v>
      </c>
      <c r="H53" s="435" t="str">
        <f>IF(OR(G53&gt;=0.2,G53&lt;=-0.2),"超过20%","")</f>
        <v/>
      </c>
      <c r="I53" s="434">
        <f>IF(I48&lt;E48,E48/I48-1,I48/E48-1)</f>
        <v>6.1921761866452041E-2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1711</v>
      </c>
      <c r="D54" s="436"/>
      <c r="E54" s="434">
        <f>IF(E47&lt;G47,G47/E47-1,E47/G47-1)</f>
        <v>0.14772894672231773</v>
      </c>
      <c r="F54" s="435" t="str">
        <f>IF(OR(E54&gt;=0.3,E54&lt;=-0.3),"超过30%","")</f>
        <v/>
      </c>
      <c r="G54" s="434">
        <f>IF(G47&lt;I47,I47/G47-1,G47/I47-1)</f>
        <v>0.21915050331451025</v>
      </c>
      <c r="H54" s="435" t="str">
        <f>IF(OR(G54&gt;=0.3,G54&lt;=-0.3),"超过30%","")</f>
        <v/>
      </c>
      <c r="I54" s="434">
        <f>IF(I47&lt;E47,E47/I47-1,I47/E47-1)</f>
        <v>6.2228592209125688E-2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1712</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1677</v>
      </c>
      <c r="B58" s="441"/>
      <c r="C58" s="1103" t="str">
        <f>YEAR(C7)&amp;"-"&amp;MONTH(C7)</f>
        <v>2024-12</v>
      </c>
      <c r="D58" s="1104">
        <f>EDATE(C58,-1)</f>
        <v>45597</v>
      </c>
      <c r="E58" s="1104">
        <f t="shared" ref="E58:N58" si="18">EDATE(D58,-1)</f>
        <v>45566</v>
      </c>
      <c r="F58" s="1104">
        <f t="shared" si="18"/>
        <v>45536</v>
      </c>
      <c r="G58" s="1104">
        <f t="shared" si="18"/>
        <v>45505</v>
      </c>
      <c r="H58" s="1104">
        <f t="shared" si="18"/>
        <v>45474</v>
      </c>
      <c r="I58" s="1104">
        <f t="shared" si="18"/>
        <v>45444</v>
      </c>
      <c r="J58" s="1104">
        <f t="shared" si="18"/>
        <v>45413</v>
      </c>
      <c r="K58" s="1104">
        <f t="shared" si="18"/>
        <v>45383</v>
      </c>
      <c r="L58" s="1104">
        <f t="shared" si="18"/>
        <v>45352</v>
      </c>
      <c r="M58" s="1104">
        <f t="shared" si="18"/>
        <v>45323</v>
      </c>
      <c r="N58" s="1104">
        <f t="shared" si="18"/>
        <v>45292</v>
      </c>
      <c r="O58" s="1104">
        <f>EDATE(N58,-1)</f>
        <v>45261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1714</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1679</v>
      </c>
      <c r="B61" s="444"/>
      <c r="C61" s="456" t="s">
        <v>1716</v>
      </c>
      <c r="D61" s="3146" t="s">
        <v>3437</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1717</v>
      </c>
      <c r="B63" s="460" t="s">
        <v>1683</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1686</v>
      </c>
      <c r="C65" s="3167" t="s">
        <v>3589</v>
      </c>
      <c r="D65" s="3167" t="s">
        <v>3590</v>
      </c>
      <c r="E65" s="3167" t="s">
        <v>3591</v>
      </c>
      <c r="F65" s="3167" t="s">
        <v>3592</v>
      </c>
      <c r="G65" s="3167" t="s">
        <v>3593</v>
      </c>
      <c r="H65" s="3167" t="s">
        <v>3594</v>
      </c>
      <c r="I65" s="3167" t="s">
        <v>3595</v>
      </c>
      <c r="J65" s="3167" t="s">
        <v>3596</v>
      </c>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3168">
        <v>100</v>
      </c>
      <c r="D66" s="3168">
        <f>C66-$N$66</f>
        <v>95</v>
      </c>
      <c r="E66" s="3168">
        <f t="shared" ref="E66:J66" si="19">D66-$N$66</f>
        <v>90</v>
      </c>
      <c r="F66" s="3168">
        <f t="shared" si="19"/>
        <v>85</v>
      </c>
      <c r="G66" s="3168">
        <f t="shared" si="19"/>
        <v>80</v>
      </c>
      <c r="H66" s="3168">
        <f t="shared" si="19"/>
        <v>75</v>
      </c>
      <c r="I66" s="3168">
        <f t="shared" si="19"/>
        <v>70</v>
      </c>
      <c r="J66" s="3168">
        <f t="shared" si="19"/>
        <v>65</v>
      </c>
      <c r="K66" s="467"/>
      <c r="L66" s="467"/>
      <c r="M66" s="468"/>
      <c r="N66" s="2521">
        <v>5</v>
      </c>
      <c r="O66" s="2521"/>
      <c r="P66" s="2512"/>
      <c r="Q66" s="2507"/>
      <c r="R66" s="2486"/>
      <c r="S66" s="2486"/>
      <c r="T66" s="2486"/>
      <c r="U66" s="2486"/>
      <c r="V66" s="2486"/>
      <c r="W66" s="2486"/>
      <c r="X66" s="2486"/>
      <c r="Y66" s="2486"/>
      <c r="Z66" s="2486"/>
      <c r="AA66" s="2486"/>
      <c r="AB66" s="2486"/>
      <c r="AC66" s="2486"/>
    </row>
    <row r="67" spans="1:29" ht="15" thickTop="1">
      <c r="A67" s="367"/>
      <c r="B67" s="477" t="s">
        <v>1687</v>
      </c>
      <c r="C67" s="478" t="str">
        <f>C68&amp;"（含）"&amp;"-"&amp;D68</f>
        <v>0（含）-2</v>
      </c>
      <c r="D67" s="478" t="str">
        <f t="shared" ref="D67:L67" si="20">D68&amp;"（含）"&amp;"-"&amp;E68</f>
        <v>2（含）-</v>
      </c>
      <c r="E67" s="478" t="str">
        <f t="shared" si="20"/>
        <v>（含）-</v>
      </c>
      <c r="F67" s="478" t="str">
        <f t="shared" si="20"/>
        <v>（含）-</v>
      </c>
      <c r="G67" s="478" t="str">
        <f t="shared" si="20"/>
        <v>（含）-</v>
      </c>
      <c r="H67" s="478" t="str">
        <f t="shared" si="20"/>
        <v>（含）-</v>
      </c>
      <c r="I67" s="478" t="str">
        <f t="shared" si="20"/>
        <v>（含）-</v>
      </c>
      <c r="J67" s="478" t="str">
        <f t="shared" si="20"/>
        <v>（含）-</v>
      </c>
      <c r="K67" s="478" t="str">
        <f t="shared" si="20"/>
        <v>（含）-</v>
      </c>
      <c r="L67" s="478" t="str">
        <f t="shared" si="20"/>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1688</v>
      </c>
      <c r="B76" s="460" t="s">
        <v>1718</v>
      </c>
      <c r="C76" s="504" t="s">
        <v>1719</v>
      </c>
      <c r="D76" s="504" t="s">
        <v>1720</v>
      </c>
      <c r="E76" s="504" t="s">
        <v>1721</v>
      </c>
      <c r="F76" s="504" t="s">
        <v>1722</v>
      </c>
      <c r="G76" s="504" t="s">
        <v>1723</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1724</v>
      </c>
      <c r="C78" s="509" t="s">
        <v>1719</v>
      </c>
      <c r="D78" s="509" t="s">
        <v>1720</v>
      </c>
      <c r="E78" s="509" t="s">
        <v>1721</v>
      </c>
      <c r="F78" s="509" t="s">
        <v>1722</v>
      </c>
      <c r="G78" s="509" t="s">
        <v>1723</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1725</v>
      </c>
      <c r="C80" s="509" t="s">
        <v>1719</v>
      </c>
      <c r="D80" s="509" t="s">
        <v>1720</v>
      </c>
      <c r="E80" s="509" t="s">
        <v>1721</v>
      </c>
      <c r="F80" s="509" t="s">
        <v>1722</v>
      </c>
      <c r="G80" s="509" t="s">
        <v>1723</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1777</v>
      </c>
      <c r="C82" s="581" t="s">
        <v>1797</v>
      </c>
      <c r="D82" s="581" t="s">
        <v>1798</v>
      </c>
      <c r="E82" s="581" t="s">
        <v>1799</v>
      </c>
      <c r="F82" s="581" t="s">
        <v>1800</v>
      </c>
      <c r="G82" s="581" t="s">
        <v>1801</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22">D83-$K21</f>
        <v>98</v>
      </c>
      <c r="F83" s="475">
        <f t="shared" si="22"/>
        <v>97</v>
      </c>
      <c r="G83" s="475">
        <f t="shared" si="22"/>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1731</v>
      </c>
      <c r="C84" s="509" t="s">
        <v>1719</v>
      </c>
      <c r="D84" s="509" t="s">
        <v>1720</v>
      </c>
      <c r="E84" s="509" t="s">
        <v>1721</v>
      </c>
      <c r="F84" s="509" t="s">
        <v>1722</v>
      </c>
      <c r="G84" s="509" t="s">
        <v>1723</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1802</v>
      </c>
      <c r="C86" s="3148" t="s">
        <v>3439</v>
      </c>
      <c r="D86" s="3148" t="s">
        <v>3441</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3">C87-$K25</f>
        <v>95</v>
      </c>
      <c r="E87" s="475">
        <f t="shared" si="23"/>
        <v>90</v>
      </c>
      <c r="F87" s="475">
        <f t="shared" si="23"/>
        <v>85</v>
      </c>
      <c r="G87" s="475">
        <f t="shared" si="23"/>
        <v>80</v>
      </c>
      <c r="H87" s="475">
        <f t="shared" si="23"/>
        <v>75</v>
      </c>
      <c r="I87" s="475">
        <f t="shared" si="23"/>
        <v>70</v>
      </c>
      <c r="J87" s="475">
        <f t="shared" si="23"/>
        <v>65</v>
      </c>
      <c r="K87" s="475">
        <f t="shared" si="23"/>
        <v>60</v>
      </c>
      <c r="L87" s="475">
        <f t="shared" si="23"/>
        <v>55</v>
      </c>
      <c r="M87" s="475">
        <f t="shared" si="23"/>
        <v>50</v>
      </c>
      <c r="N87" s="2521"/>
      <c r="O87" s="2521"/>
      <c r="P87" s="2512"/>
      <c r="Q87" s="2507"/>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48" t="s">
        <v>3446</v>
      </c>
      <c r="D88" s="3148" t="s">
        <v>3447</v>
      </c>
      <c r="E88" s="3148" t="s">
        <v>3448</v>
      </c>
      <c r="F88" s="3149" t="s">
        <v>3449</v>
      </c>
      <c r="G88" s="3148" t="s">
        <v>3450</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v>100</v>
      </c>
      <c r="D89" s="467">
        <f>C89-5</f>
        <v>95</v>
      </c>
      <c r="E89" s="467">
        <f t="shared" ref="E89:G89" si="24">D89-5</f>
        <v>90</v>
      </c>
      <c r="F89" s="467">
        <f t="shared" si="24"/>
        <v>85</v>
      </c>
      <c r="G89" s="467">
        <f t="shared" si="24"/>
        <v>80</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 thickTop="1">
      <c r="A90" s="484"/>
      <c r="B90" s="469" t="str">
        <f>B27</f>
        <v>人流量</v>
      </c>
      <c r="C90" s="3148" t="s">
        <v>3451</v>
      </c>
      <c r="D90" s="3148" t="s">
        <v>3452</v>
      </c>
      <c r="E90" s="3148" t="s">
        <v>3448</v>
      </c>
      <c r="F90" s="3148" t="s">
        <v>3453</v>
      </c>
      <c r="G90" s="3148" t="s">
        <v>3454</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97</v>
      </c>
      <c r="E91" s="475">
        <f t="shared" ref="E91:M91" si="25">D91-$K27</f>
        <v>94</v>
      </c>
      <c r="F91" s="475">
        <f t="shared" si="25"/>
        <v>91</v>
      </c>
      <c r="G91" s="475">
        <f t="shared" si="25"/>
        <v>88</v>
      </c>
      <c r="H91" s="475">
        <f t="shared" si="25"/>
        <v>85</v>
      </c>
      <c r="I91" s="475">
        <f t="shared" si="25"/>
        <v>82</v>
      </c>
      <c r="J91" s="475">
        <f t="shared" si="25"/>
        <v>79</v>
      </c>
      <c r="K91" s="475">
        <f t="shared" si="25"/>
        <v>76</v>
      </c>
      <c r="L91" s="475">
        <f t="shared" si="25"/>
        <v>73</v>
      </c>
      <c r="M91" s="475">
        <f t="shared" si="25"/>
        <v>70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3533</v>
      </c>
      <c r="D92" s="485" t="s">
        <v>3534</v>
      </c>
      <c r="E92" s="485" t="s">
        <v>3535</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f>面积信息!Q9</f>
        <v>118</v>
      </c>
      <c r="D93" s="467">
        <f>面积信息!Q10</f>
        <v>82</v>
      </c>
      <c r="E93" s="467">
        <f>面积信息!Q11</f>
        <v>100</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f>B29</f>
        <v>0</v>
      </c>
      <c r="C94" s="3148" t="s">
        <v>3559</v>
      </c>
      <c r="D94" s="3148" t="s">
        <v>3558</v>
      </c>
      <c r="E94" s="3148" t="s">
        <v>3557</v>
      </c>
      <c r="F94" s="3148" t="s">
        <v>3560</v>
      </c>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f>C95-2</f>
        <v>98</v>
      </c>
      <c r="E95" s="467">
        <f t="shared" ref="E95:F95" si="26">D95-2</f>
        <v>96</v>
      </c>
      <c r="F95" s="467">
        <f t="shared" si="26"/>
        <v>94</v>
      </c>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1692</v>
      </c>
      <c r="B100" s="460" t="s">
        <v>1803</v>
      </c>
      <c r="C100" s="3150" t="s">
        <v>3456</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7">C101-$K32</f>
        <v>95</v>
      </c>
      <c r="E101" s="475">
        <f t="shared" si="27"/>
        <v>90</v>
      </c>
      <c r="F101" s="475">
        <f t="shared" si="27"/>
        <v>85</v>
      </c>
      <c r="G101" s="475">
        <f t="shared" si="27"/>
        <v>80</v>
      </c>
      <c r="H101" s="475">
        <f t="shared" si="27"/>
        <v>75</v>
      </c>
      <c r="I101" s="475">
        <f t="shared" si="27"/>
        <v>70</v>
      </c>
      <c r="J101" s="475">
        <f t="shared" si="27"/>
        <v>65</v>
      </c>
      <c r="K101" s="475">
        <f t="shared" si="27"/>
        <v>60</v>
      </c>
      <c r="L101" s="475">
        <f t="shared" si="27"/>
        <v>55</v>
      </c>
      <c r="M101" s="476">
        <f t="shared" si="27"/>
        <v>50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1735</v>
      </c>
      <c r="C102" s="509" t="str">
        <f>C103&amp;"(含)"&amp;"-"&amp;D103</f>
        <v>0(含)-50</v>
      </c>
      <c r="D102" s="509" t="str">
        <f t="shared" ref="D102:L102" si="28">D103&amp;"(含)"&amp;"-"&amp;E103</f>
        <v>50(含)-100</v>
      </c>
      <c r="E102" s="509" t="str">
        <f t="shared" si="28"/>
        <v>100(含)-150</v>
      </c>
      <c r="F102" s="509" t="str">
        <f t="shared" si="28"/>
        <v>150(含)-200</v>
      </c>
      <c r="G102" s="509" t="str">
        <f t="shared" si="28"/>
        <v>200(含)-300</v>
      </c>
      <c r="H102" s="509" t="str">
        <f t="shared" si="28"/>
        <v>300(含)-500</v>
      </c>
      <c r="I102" s="509" t="str">
        <f t="shared" si="28"/>
        <v>500(含)-</v>
      </c>
      <c r="J102" s="509" t="str">
        <f t="shared" si="28"/>
        <v>(含)-</v>
      </c>
      <c r="K102" s="509" t="str">
        <f t="shared" si="28"/>
        <v>(含)-</v>
      </c>
      <c r="L102" s="509" t="str">
        <f t="shared" si="28"/>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150</v>
      </c>
      <c r="G103" s="6">
        <v>200</v>
      </c>
      <c r="H103" s="6">
        <v>300</v>
      </c>
      <c r="I103" s="6">
        <v>500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v>95</v>
      </c>
      <c r="E104" s="467">
        <v>90</v>
      </c>
      <c r="F104" s="467">
        <f t="shared" ref="F104:I104" si="29">E104-2</f>
        <v>88</v>
      </c>
      <c r="G104" s="467">
        <f t="shared" si="29"/>
        <v>86</v>
      </c>
      <c r="H104" s="467">
        <f t="shared" si="29"/>
        <v>84</v>
      </c>
      <c r="I104" s="467">
        <f t="shared" si="29"/>
        <v>82</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1736</v>
      </c>
      <c r="C105" s="3148" t="s">
        <v>3457</v>
      </c>
      <c r="D105" s="3148" t="s">
        <v>3458</v>
      </c>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30">C106-$K34</f>
        <v>99</v>
      </c>
      <c r="E106" s="475">
        <f t="shared" si="30"/>
        <v>98</v>
      </c>
      <c r="F106" s="475">
        <f t="shared" si="30"/>
        <v>97</v>
      </c>
      <c r="G106" s="475">
        <f t="shared" si="30"/>
        <v>96</v>
      </c>
      <c r="H106" s="475">
        <f t="shared" si="30"/>
        <v>95</v>
      </c>
      <c r="I106" s="475">
        <f t="shared" si="30"/>
        <v>94</v>
      </c>
      <c r="J106" s="475">
        <f t="shared" si="30"/>
        <v>93</v>
      </c>
      <c r="K106" s="475">
        <f t="shared" si="30"/>
        <v>92</v>
      </c>
      <c r="L106" s="475">
        <f t="shared" si="30"/>
        <v>91</v>
      </c>
      <c r="M106" s="476">
        <f t="shared" si="30"/>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1738</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31">C108-$K35</f>
        <v>100</v>
      </c>
      <c r="E108" s="475">
        <f t="shared" si="31"/>
        <v>100</v>
      </c>
      <c r="F108" s="475">
        <f t="shared" si="31"/>
        <v>100</v>
      </c>
      <c r="G108" s="475">
        <f t="shared" si="31"/>
        <v>100</v>
      </c>
      <c r="H108" s="475">
        <f t="shared" si="31"/>
        <v>100</v>
      </c>
      <c r="I108" s="475">
        <f t="shared" si="31"/>
        <v>100</v>
      </c>
      <c r="J108" s="475">
        <f t="shared" si="31"/>
        <v>100</v>
      </c>
      <c r="K108" s="475">
        <f t="shared" si="31"/>
        <v>100</v>
      </c>
      <c r="L108" s="475">
        <f t="shared" si="31"/>
        <v>100</v>
      </c>
      <c r="M108" s="476">
        <f t="shared" si="31"/>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32">D111+$K36</f>
        <v>102</v>
      </c>
      <c r="F111" s="475">
        <f t="shared" si="32"/>
        <v>103</v>
      </c>
      <c r="G111" s="475">
        <f t="shared" si="32"/>
        <v>104</v>
      </c>
      <c r="H111" s="475">
        <f t="shared" si="32"/>
        <v>105</v>
      </c>
      <c r="I111" s="475">
        <f t="shared" si="32"/>
        <v>106</v>
      </c>
      <c r="J111" s="475">
        <f t="shared" si="32"/>
        <v>107</v>
      </c>
      <c r="K111" s="475">
        <f t="shared" si="32"/>
        <v>108</v>
      </c>
      <c r="L111" s="475">
        <f t="shared" si="32"/>
        <v>109</v>
      </c>
      <c r="M111" s="475">
        <f t="shared" si="32"/>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1740</v>
      </c>
      <c r="C112" s="3148" t="s">
        <v>3460</v>
      </c>
      <c r="D112" s="3148" t="s">
        <v>3462</v>
      </c>
      <c r="E112" s="3148" t="s">
        <v>3463</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33">D113-$K37</f>
        <v>98</v>
      </c>
      <c r="F113" s="475">
        <f t="shared" si="33"/>
        <v>97</v>
      </c>
      <c r="G113" s="475">
        <f t="shared" si="33"/>
        <v>96</v>
      </c>
      <c r="H113" s="475">
        <f t="shared" si="33"/>
        <v>95</v>
      </c>
      <c r="I113" s="475">
        <f t="shared" si="33"/>
        <v>94</v>
      </c>
      <c r="J113" s="475">
        <f t="shared" si="33"/>
        <v>93</v>
      </c>
      <c r="K113" s="475">
        <f t="shared" si="33"/>
        <v>92</v>
      </c>
      <c r="L113" s="475">
        <f t="shared" si="33"/>
        <v>91</v>
      </c>
      <c r="M113" s="475">
        <f t="shared" si="33"/>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1804</v>
      </c>
      <c r="C114" s="3148" t="s">
        <v>3465</v>
      </c>
      <c r="D114" s="3148" t="s">
        <v>3467</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4">C115-$K38</f>
        <v>95</v>
      </c>
      <c r="E115" s="475">
        <f t="shared" si="34"/>
        <v>90</v>
      </c>
      <c r="F115" s="475">
        <f t="shared" si="34"/>
        <v>85</v>
      </c>
      <c r="G115" s="475">
        <f t="shared" si="34"/>
        <v>80</v>
      </c>
      <c r="H115" s="475">
        <f t="shared" si="34"/>
        <v>75</v>
      </c>
      <c r="I115" s="475">
        <f t="shared" si="34"/>
        <v>70</v>
      </c>
      <c r="J115" s="475">
        <f t="shared" si="34"/>
        <v>65</v>
      </c>
      <c r="K115" s="475">
        <f t="shared" si="34"/>
        <v>60</v>
      </c>
      <c r="L115" s="475">
        <f t="shared" si="34"/>
        <v>55</v>
      </c>
      <c r="M115" s="476">
        <f t="shared" si="34"/>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1805</v>
      </c>
      <c r="C116" s="3148" t="s">
        <v>3585</v>
      </c>
      <c r="D116" s="3148" t="s">
        <v>3469</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1806</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1807</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5">D121-$K41</f>
        <v>100</v>
      </c>
      <c r="F121" s="475">
        <f t="shared" si="35"/>
        <v>100</v>
      </c>
      <c r="G121" s="475">
        <f t="shared" si="35"/>
        <v>100</v>
      </c>
      <c r="H121" s="475">
        <f t="shared" si="35"/>
        <v>100</v>
      </c>
      <c r="I121" s="475">
        <f t="shared" si="35"/>
        <v>100</v>
      </c>
      <c r="J121" s="475">
        <f t="shared" si="35"/>
        <v>100</v>
      </c>
      <c r="K121" s="475">
        <f t="shared" si="35"/>
        <v>100</v>
      </c>
      <c r="L121" s="475">
        <f t="shared" si="35"/>
        <v>100</v>
      </c>
      <c r="M121" s="476">
        <f t="shared" si="35"/>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1742</v>
      </c>
      <c r="C122" s="3148" t="s">
        <v>3471</v>
      </c>
      <c r="D122" s="3148" t="s">
        <v>3472</v>
      </c>
      <c r="E122" s="3148" t="s">
        <v>3474</v>
      </c>
      <c r="F122" s="3151" t="s">
        <v>3475</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6">C123-$K42</f>
        <v>98</v>
      </c>
      <c r="E123" s="475">
        <f t="shared" si="36"/>
        <v>96</v>
      </c>
      <c r="F123" s="475">
        <f t="shared" si="36"/>
        <v>94</v>
      </c>
      <c r="G123" s="475">
        <f t="shared" si="36"/>
        <v>92</v>
      </c>
      <c r="H123" s="475">
        <f t="shared" si="36"/>
        <v>90</v>
      </c>
      <c r="I123" s="475">
        <f t="shared" si="36"/>
        <v>88</v>
      </c>
      <c r="J123" s="475">
        <f t="shared" si="36"/>
        <v>86</v>
      </c>
      <c r="K123" s="475">
        <f t="shared" si="36"/>
        <v>84</v>
      </c>
      <c r="L123" s="475">
        <f t="shared" si="36"/>
        <v>82</v>
      </c>
      <c r="M123" s="476">
        <f t="shared" si="36"/>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1743</v>
      </c>
      <c r="C124" s="509" t="s">
        <v>1719</v>
      </c>
      <c r="D124" s="509" t="s">
        <v>1720</v>
      </c>
      <c r="E124" s="509" t="s">
        <v>1721</v>
      </c>
      <c r="F124" s="509" t="s">
        <v>1722</v>
      </c>
      <c r="G124" s="509" t="s">
        <v>1723</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40" priority="14" stopIfTrue="1">
      <formula>$F$52="超过30%"</formula>
    </cfRule>
  </conditionalFormatting>
  <conditionalFormatting sqref="E53">
    <cfRule type="expression" dxfId="39" priority="13" stopIfTrue="1">
      <formula>$F$53="超过20%"</formula>
    </cfRule>
  </conditionalFormatting>
  <conditionalFormatting sqref="E54">
    <cfRule type="expression" dxfId="38" priority="12" stopIfTrue="1">
      <formula>$F$54="超过30%"</formula>
    </cfRule>
  </conditionalFormatting>
  <conditionalFormatting sqref="F7:F46 H7:H46 J7:J46">
    <cfRule type="cellIs" dxfId="37" priority="1" operator="notEqual">
      <formula>100</formula>
    </cfRule>
  </conditionalFormatting>
  <conditionalFormatting sqref="F48">
    <cfRule type="expression" dxfId="36" priority="4">
      <formula>$D$48="简单平均"</formula>
    </cfRule>
  </conditionalFormatting>
  <conditionalFormatting sqref="F52:F54 H52:H54">
    <cfRule type="containsText" dxfId="35" priority="15" stopIfTrue="1" operator="containsText" text="超过">
      <formula>NOT(ISERROR(SEARCH("超过",F52)))</formula>
    </cfRule>
  </conditionalFormatting>
  <conditionalFormatting sqref="G52">
    <cfRule type="expression" dxfId="34" priority="10" stopIfTrue="1">
      <formula>$H$52="超过30%"</formula>
    </cfRule>
  </conditionalFormatting>
  <conditionalFormatting sqref="G53">
    <cfRule type="expression" dxfId="33" priority="9" stopIfTrue="1">
      <formula>$H$53="超过20%"</formula>
    </cfRule>
  </conditionalFormatting>
  <conditionalFormatting sqref="G54">
    <cfRule type="expression" dxfId="32" priority="11" stopIfTrue="1">
      <formula>$H$54="超过30%"</formula>
    </cfRule>
  </conditionalFormatting>
  <conditionalFormatting sqref="H48">
    <cfRule type="expression" dxfId="31" priority="3">
      <formula>$D$48="简单平均"</formula>
    </cfRule>
  </conditionalFormatting>
  <conditionalFormatting sqref="I52">
    <cfRule type="expression" dxfId="30" priority="7" stopIfTrue="1">
      <formula>$J$52="超过30%"</formula>
    </cfRule>
  </conditionalFormatting>
  <conditionalFormatting sqref="I53">
    <cfRule type="expression" dxfId="29" priority="6" stopIfTrue="1">
      <formula>$J$53="超过20%"</formula>
    </cfRule>
  </conditionalFormatting>
  <conditionalFormatting sqref="I54">
    <cfRule type="expression" dxfId="28" priority="5" stopIfTrue="1">
      <formula>$J$54="超过30%"</formula>
    </cfRule>
  </conditionalFormatting>
  <conditionalFormatting sqref="J48">
    <cfRule type="expression" dxfId="27" priority="2">
      <formula>$D$48="简单平均"</formula>
    </cfRule>
  </conditionalFormatting>
  <conditionalFormatting sqref="J52:J54">
    <cfRule type="containsText" dxfId="26" priority="8" stopIfTrue="1" operator="containsText" text="超过">
      <formula>NOT(ISERROR(SEARCH("超过",J52)))</formula>
    </cfRule>
  </conditionalFormatting>
  <dataValidations count="25">
    <dataValidation type="list" allowBlank="1" showInputMessage="1" showErrorMessage="1" sqref="E1" xr:uid="{74C6BD17-A60E-4FFE-9823-6FE4A239DA96}">
      <formula1>"项目模式,单套模式"</formula1>
    </dataValidation>
    <dataValidation type="list" allowBlank="1" showInputMessage="1" showErrorMessage="1" sqref="D48" xr:uid="{F5ED18FE-6035-4F2C-B78B-5904967310A6}">
      <formula1>"简单平均,加权平均"</formula1>
    </dataValidation>
    <dataValidation type="list" allowBlank="1" showInputMessage="1" showErrorMessage="1" sqref="F2" xr:uid="{9F08BA9E-C53D-489A-B3EE-0AE805EBCF32}">
      <formula1>估价方法</formula1>
    </dataValidation>
    <dataValidation type="list" allowBlank="1" showInputMessage="1" showErrorMessage="1" sqref="C2" xr:uid="{6B817D10-ED86-41EF-93B2-23BABBB3E6E2}">
      <formula1>"需扣减承租人权益,——"</formula1>
    </dataValidation>
    <dataValidation type="list" allowBlank="1" showInputMessage="1" showErrorMessage="1" sqref="F1" xr:uid="{91D93783-C2CB-4BA9-A2BF-9C806BA387C2}">
      <formula1>"售价,租金"</formula1>
    </dataValidation>
    <dataValidation type="list" allowBlank="1" showInputMessage="1" showErrorMessage="1" sqref="C22 E22 G22 I22" xr:uid="{ECF11E54-E4D2-4D00-A601-48D8BE84C223}">
      <formula1>基础设施水平</formula1>
    </dataValidation>
    <dataValidation type="list" allowBlank="1" showInputMessage="1" showErrorMessage="1" sqref="C16 E16 G16 I16" xr:uid="{1BB76ADF-0D88-4C84-8CFE-EC92E8938944}">
      <formula1>商业繁华度</formula1>
    </dataValidation>
    <dataValidation type="list" allowBlank="1" showInputMessage="1" showErrorMessage="1" sqref="C8 E8 G8 I8" xr:uid="{6B9820CD-F7B2-4343-9547-550AED1CC294}">
      <formula1>商业交易情况</formula1>
    </dataValidation>
    <dataValidation type="list" allowBlank="1" showInputMessage="1" showErrorMessage="1" sqref="C39 E39 G39 I39" xr:uid="{34F3522A-F37B-402A-AB58-FD7C641194EA}">
      <formula1>商业层高</formula1>
    </dataValidation>
    <dataValidation type="list" allowBlank="1" showInputMessage="1" showErrorMessage="1" sqref="C38 E38 G38 I38" xr:uid="{B00EE518-F31D-4C4F-A03B-AC555805C02E}">
      <formula1>商业业态</formula1>
    </dataValidation>
    <dataValidation type="list" allowBlank="1" showInputMessage="1" showErrorMessage="1" sqref="E9 G9 I9" xr:uid="{A00D9D00-FCB4-457C-B9C6-C843F96375ED}">
      <formula1>商业用途</formula1>
    </dataValidation>
    <dataValidation type="list" allowBlank="1" showInputMessage="1" showErrorMessage="1" sqref="C42 E42 G42 I42" xr:uid="{C18E274E-5A99-4794-A967-4F32086AC624}">
      <formula1>商业内部装修</formula1>
    </dataValidation>
    <dataValidation type="list" allowBlank="1" showInputMessage="1" showErrorMessage="1" sqref="C41 E41 G41 I41" xr:uid="{DA0BAC75-9F87-4D50-BC90-D8629DFFCEF0}">
      <formula1>商业进深比</formula1>
    </dataValidation>
    <dataValidation type="list" allowBlank="1" showInputMessage="1" showErrorMessage="1" sqref="C37 E37 G37 I37" xr:uid="{39C237BB-185B-4EC7-B8E1-81077A93B6DB}">
      <formula1>商业基础设施水平</formula1>
    </dataValidation>
    <dataValidation type="list" allowBlank="1" showInputMessage="1" showErrorMessage="1" sqref="C35 E35 G35 I35" xr:uid="{98148BD5-11D7-4B8B-BE50-97D2CEDFC046}">
      <formula1>商业公共部分装修</formula1>
    </dataValidation>
    <dataValidation type="list" allowBlank="1" showInputMessage="1" showErrorMessage="1" sqref="C34 E34 G34 I34" xr:uid="{7403CC25-4F2E-43F2-A727-0458A4078272}">
      <formula1>商业建筑结构</formula1>
    </dataValidation>
    <dataValidation type="list" allowBlank="1" showInputMessage="1" showErrorMessage="1" sqref="C32 E32 G32 I32" xr:uid="{A65EC770-24A8-41A7-8148-4A09E0C96FA9}">
      <formula1>商业类型</formula1>
    </dataValidation>
    <dataValidation type="list" allowBlank="1" showInputMessage="1" showErrorMessage="1" sqref="C28 E28 G28 I28" xr:uid="{575C8F1D-0B05-4C55-B8B7-E282AED62DCE}">
      <formula1>商业楼层</formula1>
    </dataValidation>
    <dataValidation type="list" allowBlank="1" showInputMessage="1" showErrorMessage="1" sqref="C27 E27 G27 I27" xr:uid="{AB1F5ABF-F508-4AE2-8E3B-FD40D8DC1B58}">
      <formula1>商业人流量</formula1>
    </dataValidation>
    <dataValidation type="list" allowBlank="1" showInputMessage="1" showErrorMessage="1" sqref="C25 E25 G25 I25" xr:uid="{BB5F6DA4-4C69-4B87-A8D0-2A890D72F9E0}">
      <formula1>商业临街状况</formula1>
    </dataValidation>
    <dataValidation type="list" allowBlank="1" showInputMessage="1" showErrorMessage="1" sqref="E24 G24 I24 C24" xr:uid="{5ED49464-29B0-4D50-9EBA-94976A82D0BB}">
      <formula1>环境</formula1>
    </dataValidation>
    <dataValidation type="list" allowBlank="1" showInputMessage="1" showErrorMessage="1" sqref="E18 G18 I18 C18" xr:uid="{9D43A992-A51A-448A-9669-F9A555692522}">
      <formula1>交通便捷度</formula1>
    </dataValidation>
    <dataValidation type="list" allowBlank="1" showInputMessage="1" showErrorMessage="1" sqref="E20 I20 G20 C20" xr:uid="{7BBD14DE-66AC-4FC7-9892-15C8D608386A}">
      <formula1>公共配套设施</formula1>
    </dataValidation>
    <dataValidation type="list" allowBlank="1" showInputMessage="1" showErrorMessage="1" sqref="C43 E43 G43 I43" xr:uid="{250FC48B-01D7-4F97-ADA2-D83AF820C670}">
      <formula1>内部装修维护情况</formula1>
    </dataValidation>
    <dataValidation type="list" allowBlank="1" showInputMessage="1" showErrorMessage="1" sqref="D1" xr:uid="{D686E1FF-CB7C-453A-A036-47E5759E4EAF}">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509EF-C414-4E45-8A00-7E6A43CE8F27}">
  <sheetPr>
    <tabColor rgb="FF92D050"/>
  </sheetPr>
  <dimension ref="A1:AK83"/>
  <sheetViews>
    <sheetView view="pageBreakPreview" zoomScale="70" zoomScaleNormal="70" zoomScaleSheetLayoutView="70" workbookViewId="0">
      <selection activeCell="K41" sqref="K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876</v>
      </c>
      <c r="B1" s="663"/>
      <c r="C1" s="1287" t="s">
        <v>3603</v>
      </c>
      <c r="D1" s="1271" t="s">
        <v>43</v>
      </c>
      <c r="E1" s="1272" t="s">
        <v>677</v>
      </c>
      <c r="F1" s="999">
        <f ca="1">J53</f>
        <v>18.43</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2">
        <f ca="1">ROUND(D2/10000,4)</f>
        <v>341.46230000000003</v>
      </c>
      <c r="C2" s="1289" t="s">
        <v>804</v>
      </c>
      <c r="D2" s="1375">
        <f ca="1">C40+J29+L46</f>
        <v>3414623</v>
      </c>
      <c r="E2" s="1295" t="s">
        <v>879</v>
      </c>
      <c r="F2" s="1296"/>
      <c r="G2" s="2477"/>
      <c r="H2" s="2467"/>
      <c r="I2" s="2467"/>
      <c r="J2" s="2467"/>
      <c r="K2" s="2468"/>
      <c r="L2" s="2467"/>
      <c r="M2" s="2467"/>
    </row>
    <row r="3" spans="1:37" ht="18" customHeight="1" thickBot="1">
      <c r="A3" s="1297" t="s">
        <v>805</v>
      </c>
      <c r="B3" s="1298">
        <f ca="1">IF(ISERROR(D2/F43),0,ROUND(D2/F43,0))</f>
        <v>22334</v>
      </c>
      <c r="C3" s="1289" t="s">
        <v>806</v>
      </c>
      <c r="D3" s="1289"/>
      <c r="E3" s="1295"/>
      <c r="F3" s="1296"/>
      <c r="G3" s="2477"/>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281608</v>
      </c>
      <c r="D5" s="1273" t="s">
        <v>692</v>
      </c>
      <c r="E5" s="1008"/>
      <c r="F5" s="1009"/>
      <c r="G5" s="1292"/>
      <c r="H5" s="291">
        <v>1</v>
      </c>
      <c r="I5" s="292" t="s">
        <v>691</v>
      </c>
      <c r="J5" s="1007">
        <f ca="1">J6+J10+J12</f>
        <v>0</v>
      </c>
      <c r="K5" s="1273" t="s">
        <v>692</v>
      </c>
      <c r="L5" s="1008"/>
      <c r="M5" s="1009"/>
    </row>
    <row r="6" spans="1:37" ht="18" customHeight="1">
      <c r="A6" s="1006" t="s">
        <v>398</v>
      </c>
      <c r="B6" s="3356" t="s">
        <v>693</v>
      </c>
      <c r="C6" s="1011">
        <f ca="1">ROUND(F6*F8*F7*(1-F9),0)</f>
        <v>281256</v>
      </c>
      <c r="D6" s="147" t="s">
        <v>2104</v>
      </c>
      <c r="E6" s="294" t="s">
        <v>695</v>
      </c>
      <c r="F6" s="295">
        <f ca="1">INDIRECT("'数据-取费表'!u"&amp;$G$1)</f>
        <v>5.6</v>
      </c>
      <c r="G6" s="1292"/>
      <c r="H6" s="1006" t="s">
        <v>398</v>
      </c>
      <c r="I6" s="3356" t="s">
        <v>693</v>
      </c>
      <c r="J6" s="293">
        <f ca="1">ROUND(M6*M8*M7*(1-M9),0)</f>
        <v>0</v>
      </c>
      <c r="K6" s="1284" t="s">
        <v>2105</v>
      </c>
      <c r="L6" s="294" t="s">
        <v>695</v>
      </c>
      <c r="M6" s="295">
        <f ca="1">INDIRECT("'数据-取费表'!z"&amp;$G$1)</f>
        <v>0</v>
      </c>
    </row>
    <row r="7" spans="1:37" ht="18" customHeight="1">
      <c r="A7" s="1010"/>
      <c r="B7" s="3357"/>
      <c r="C7" s="1012"/>
      <c r="D7" s="299"/>
      <c r="E7" s="1013" t="s">
        <v>696</v>
      </c>
      <c r="F7" s="295">
        <f ca="1">IF(INDIRECT("'数据-取费表'!ah"&amp;$G$1)="",INDIRECT("'数据-取费表'!k"&amp;$G$1),INDIRECT("'数据-取费表'!ah"&amp;$G$1))</f>
        <v>152.88999999999999</v>
      </c>
      <c r="G7" s="1292"/>
      <c r="H7" s="296"/>
      <c r="I7" s="3357"/>
      <c r="J7" s="298"/>
      <c r="K7" s="299"/>
      <c r="L7" s="294" t="s">
        <v>696</v>
      </c>
      <c r="M7" s="295">
        <f ca="1">F7</f>
        <v>152.88999999999999</v>
      </c>
    </row>
    <row r="8" spans="1:37" ht="18" customHeight="1">
      <c r="A8" s="296"/>
      <c r="B8" s="3357"/>
      <c r="C8" s="298"/>
      <c r="D8" s="299"/>
      <c r="E8" s="294" t="s">
        <v>697</v>
      </c>
      <c r="F8" s="295">
        <f ca="1">INDIRECT("'数据-取费表'!ai"&amp;$G$1)</f>
        <v>365</v>
      </c>
      <c r="G8" s="1292"/>
      <c r="H8" s="296"/>
      <c r="I8" s="3357"/>
      <c r="J8" s="298"/>
      <c r="K8" s="299"/>
      <c r="L8" s="294" t="s">
        <v>697</v>
      </c>
      <c r="M8" s="295">
        <f ca="1">INDIRECT("'数据-取费表'!ai"&amp;$G$1)</f>
        <v>365</v>
      </c>
    </row>
    <row r="9" spans="1:37" ht="18" customHeight="1">
      <c r="A9" s="296"/>
      <c r="B9" s="3358"/>
      <c r="C9" s="298"/>
      <c r="D9" s="299"/>
      <c r="E9" s="294" t="s">
        <v>698</v>
      </c>
      <c r="F9" s="304">
        <f ca="1">INDIRECT("'数据-取费表'!w"&amp;$G$1)</f>
        <v>0.1</v>
      </c>
      <c r="G9" s="1292"/>
      <c r="H9" s="296"/>
      <c r="I9" s="3358"/>
      <c r="J9" s="298"/>
      <c r="K9" s="299"/>
      <c r="L9" s="305" t="s">
        <v>698</v>
      </c>
      <c r="M9" s="306">
        <f ca="1">INDIRECT("'数据-取费表'!ab"&amp;$G$1)</f>
        <v>0</v>
      </c>
    </row>
    <row r="10" spans="1:37" ht="18" customHeight="1">
      <c r="A10" s="1006" t="s">
        <v>402</v>
      </c>
      <c r="B10" s="1274" t="s">
        <v>699</v>
      </c>
      <c r="C10" s="308">
        <f ca="1">ROUND(IF(F10="押一",C6/12*F11,IF(F10="押二",C6/12*2*F11,IF(F10="押三",C6/12*3*F11,C11*F11))),0)</f>
        <v>352</v>
      </c>
      <c r="D10" s="150" t="s">
        <v>2114</v>
      </c>
      <c r="E10" s="305" t="s">
        <v>700</v>
      </c>
      <c r="F10" s="1053" t="s">
        <v>3518</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515599</v>
      </c>
      <c r="D13" s="1018" t="s">
        <v>704</v>
      </c>
      <c r="E13" s="1018" t="s">
        <v>705</v>
      </c>
      <c r="F13" s="1019">
        <f ca="1">INDIRECT("'数据-取费表'!y"&amp;$G$1)</f>
        <v>0.74</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458670</v>
      </c>
      <c r="D14" s="1257" t="s">
        <v>707</v>
      </c>
      <c r="E14" s="1255"/>
      <c r="F14" s="311"/>
      <c r="G14" s="1292"/>
      <c r="H14" s="928" t="s">
        <v>398</v>
      </c>
      <c r="I14" s="294" t="s">
        <v>708</v>
      </c>
      <c r="J14" s="21">
        <f ca="1">C29</f>
        <v>696756</v>
      </c>
      <c r="K14" s="12"/>
      <c r="L14" s="759"/>
      <c r="M14" s="760"/>
    </row>
    <row r="15" spans="1:37" s="1304" customFormat="1" ht="18" customHeight="1" thickBot="1">
      <c r="A15" s="928" t="s">
        <v>399</v>
      </c>
      <c r="B15" s="294" t="s">
        <v>709</v>
      </c>
      <c r="C15" s="21">
        <f ca="1">ROUND(C14*F15,0)</f>
        <v>13760</v>
      </c>
      <c r="D15" s="312" t="s">
        <v>710</v>
      </c>
      <c r="E15" s="312" t="s">
        <v>711</v>
      </c>
      <c r="F15" s="313">
        <f>'数据-取费表'!B33</f>
        <v>0.03</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6968</v>
      </c>
      <c r="K16" s="1024" t="s">
        <v>714</v>
      </c>
      <c r="L16" s="1025"/>
      <c r="M16" s="1009"/>
    </row>
    <row r="17" spans="1:37" s="1304" customFormat="1" ht="18" customHeight="1">
      <c r="A17" s="928" t="s">
        <v>680</v>
      </c>
      <c r="B17" s="294" t="s">
        <v>715</v>
      </c>
      <c r="C17" s="21">
        <f ca="1">ROUND(F17*(F43+INDIRECT("'数据-取费表'!S"&amp;$G$1)),0)</f>
        <v>30578</v>
      </c>
      <c r="D17" s="294" t="s">
        <v>716</v>
      </c>
      <c r="E17" s="294" t="s">
        <v>717</v>
      </c>
      <c r="F17" s="23">
        <f>'数据-取费表'!B35</f>
        <v>200</v>
      </c>
      <c r="G17" s="1303"/>
      <c r="H17" s="928" t="s">
        <v>398</v>
      </c>
      <c r="I17" s="294" t="s">
        <v>718</v>
      </c>
      <c r="J17" s="2140">
        <f ca="1">ROUND(IF(AND(项目基本情况!B11="自然人",项目基本情况!B10="北京市"),J6*M17/(1+'数据-取费表'!C42),J18+J19+J20),0)</f>
        <v>0</v>
      </c>
      <c r="K17" s="1257" t="s">
        <v>719</v>
      </c>
      <c r="L17" s="1256" t="s">
        <v>720</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9173</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512181</v>
      </c>
      <c r="D19" s="123" t="s">
        <v>725</v>
      </c>
      <c r="E19" s="1269"/>
      <c r="F19" s="23"/>
      <c r="G19" s="1292"/>
      <c r="H19" s="928" t="s">
        <v>399</v>
      </c>
      <c r="I19" s="294" t="s">
        <v>726</v>
      </c>
      <c r="J19" s="21">
        <f ca="1">IF(K19="按租金收入计税",ROUND(J6*M19/(1+'数据-取费表'!C42),0),ROUND(C29*M19*0.7,0))</f>
        <v>0</v>
      </c>
      <c r="K19" s="1278" t="s">
        <v>3334</v>
      </c>
      <c r="L19" s="294" t="s">
        <v>711</v>
      </c>
      <c r="M19" s="314">
        <f>IF(K19="按租金收入计税",'数据-取费表'!B51,'数据-取费表'!B50)</f>
        <v>0.12</v>
      </c>
    </row>
    <row r="20" spans="1:37" s="1304" customFormat="1" ht="18" customHeight="1">
      <c r="A20" s="928" t="s">
        <v>402</v>
      </c>
      <c r="B20" s="294" t="s">
        <v>727</v>
      </c>
      <c r="C20" s="21">
        <f ca="1">ROUND(C19*F20,0)</f>
        <v>10244</v>
      </c>
      <c r="D20" s="315" t="s">
        <v>728</v>
      </c>
      <c r="E20" s="294" t="s">
        <v>711</v>
      </c>
      <c r="F20" s="314">
        <f>'数据-取费表'!B37</f>
        <v>0.02</v>
      </c>
      <c r="G20" s="1303"/>
      <c r="H20" s="928" t="s">
        <v>679</v>
      </c>
      <c r="I20" s="147" t="s">
        <v>729</v>
      </c>
      <c r="J20" s="22">
        <f ca="1">ROUND(M20*M21,0)</f>
        <v>0</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0.02</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6968</v>
      </c>
      <c r="K22" s="1256" t="s">
        <v>738</v>
      </c>
      <c r="L22" s="294" t="s">
        <v>711</v>
      </c>
      <c r="M22" s="320">
        <f ca="1">INDIRECT("'数据-取费表'!Ak"&amp;$G$1)</f>
        <v>0.01</v>
      </c>
    </row>
    <row r="23" spans="1:37" s="1304" customFormat="1" ht="18" customHeight="1">
      <c r="A23" s="928" t="s">
        <v>397</v>
      </c>
      <c r="B23" s="294" t="s">
        <v>739</v>
      </c>
      <c r="C23" s="21">
        <f ca="1">IF('数据-取费表'!B22&lt;=1,ROUND(C19*F24*F23/2,0)+ROUND(C20*F24*F23/2,0),ROUND(C19*(POWER((1+F24),F23/2)-1),0)+ROUND(C20*(POWER((1+F24),F23/2)-1),0))</f>
        <v>16196</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-6968</v>
      </c>
      <c r="K25" s="1032" t="s">
        <v>752</v>
      </c>
      <c r="L25" s="1033"/>
      <c r="M25" s="1034"/>
    </row>
    <row r="26" spans="1:37" ht="18" customHeight="1">
      <c r="A26" s="928" t="s">
        <v>397</v>
      </c>
      <c r="B26" s="294" t="s">
        <v>753</v>
      </c>
      <c r="C26" s="21">
        <f ca="1">ROUND((C19+C20)*F26,0)</f>
        <v>104485</v>
      </c>
      <c r="D26" s="315" t="s">
        <v>754</v>
      </c>
      <c r="E26" s="305" t="s">
        <v>755</v>
      </c>
      <c r="F26" s="304">
        <f ca="1">INDIRECT("'数据-取费表'!q"&amp;$G$1)</f>
        <v>0.2</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4.0000000000000001E-3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5.2400000000000002E-2</v>
      </c>
      <c r="D28" s="315" t="s">
        <v>764</v>
      </c>
      <c r="E28" s="294" t="s">
        <v>711</v>
      </c>
      <c r="F28" s="314">
        <f>'数据-取费表'!B41</f>
        <v>5.5000000000000007E-2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696756</v>
      </c>
      <c r="D29" s="1029"/>
      <c r="E29" s="1027"/>
      <c r="F29" s="1030"/>
      <c r="G29" s="1303"/>
      <c r="H29" s="325" t="s">
        <v>396</v>
      </c>
      <c r="I29" s="326" t="s">
        <v>767</v>
      </c>
      <c r="J29" s="327">
        <f ca="1">ROUND(J26/(1+F40)^F41,0)</f>
        <v>0</v>
      </c>
      <c r="K29" s="328" t="s">
        <v>768</v>
      </c>
      <c r="L29" s="329"/>
      <c r="M29" s="330">
        <f ca="1">INDIRECT("'数据-取费表'!k"&amp;$G$1)</f>
        <v>152.88999999999999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29050</v>
      </c>
      <c r="D30" s="1024" t="s">
        <v>714</v>
      </c>
      <c r="E30" s="1025"/>
      <c r="F30" s="1009"/>
      <c r="G30" s="1292"/>
      <c r="H30" s="2469"/>
      <c r="I30" s="1305"/>
      <c r="J30" s="1306"/>
      <c r="K30" s="121"/>
      <c r="L30" s="2470"/>
      <c r="M30" s="2471"/>
    </row>
    <row r="31" spans="1:37" ht="18" customHeight="1">
      <c r="A31" s="928" t="s">
        <v>398</v>
      </c>
      <c r="B31" s="294" t="s">
        <v>718</v>
      </c>
      <c r="C31" s="2140">
        <f ca="1">ROUND(IF(AND(项目基本情况!B11="自然人",项目基本情况!B10="北京市"),C6*F31/(1+'数据-取费表'!C42),C32+C33+C34),0)</f>
        <v>18750</v>
      </c>
      <c r="D31" s="1257" t="s">
        <v>719</v>
      </c>
      <c r="E31" s="1256" t="s">
        <v>769</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722</v>
      </c>
      <c r="C32" s="21" t="str">
        <f>IF(项目基本情况!B11="自然人","——",ROUND(C6*F32/(1+'数据-取费表'!C42),0))</f>
        <v>——</v>
      </c>
      <c r="D32" s="1256" t="s">
        <v>723</v>
      </c>
      <c r="E32" s="294" t="s">
        <v>711</v>
      </c>
      <c r="F32" s="322">
        <f>'数据-取费表'!B41</f>
        <v>5.5000000000000007E-2</v>
      </c>
      <c r="G32" s="1292"/>
      <c r="H32" s="2469"/>
      <c r="I32" s="1305"/>
      <c r="J32" s="1306"/>
      <c r="K32" s="121"/>
      <c r="L32" s="2470"/>
      <c r="M32" s="2471"/>
    </row>
    <row r="33" spans="1:18" ht="18" customHeight="1">
      <c r="A33" s="928" t="s">
        <v>399</v>
      </c>
      <c r="B33" s="294" t="s">
        <v>726</v>
      </c>
      <c r="C33" s="21" t="str">
        <f ca="1">IF(项目基本情况!B11="自然人","——",IF(D33="按租金收入计税",ROUND(C6*F33/(1+'数据-取费表'!C42),0),IF(D33="按房产原值计税",ROUND(C29*F33*0.7,0),INDIRECT("'数据-取费表'!Aj"&amp;$G$1))))</f>
        <v>——</v>
      </c>
      <c r="D33" s="1278" t="s">
        <v>3334</v>
      </c>
      <c r="E33" s="294" t="s">
        <v>711</v>
      </c>
      <c r="F33" s="314">
        <f>IF(D33="按票据","——",IF(D33="按租金收入计税",'数据-取费表'!B51,'数据-取费表'!B50))</f>
        <v>0.12</v>
      </c>
      <c r="G33" s="1292"/>
      <c r="H33" s="2472"/>
      <c r="I33" s="1305"/>
      <c r="J33" s="1306"/>
      <c r="K33" s="2473"/>
      <c r="L33" s="2472"/>
      <c r="M33" s="2472"/>
    </row>
    <row r="34" spans="1:18" ht="18" customHeight="1">
      <c r="A34" s="1006" t="s">
        <v>679</v>
      </c>
      <c r="B34" s="147" t="s">
        <v>729</v>
      </c>
      <c r="C34" s="22" t="str">
        <f>IF(项目基本情况!B11="自然人","——",ROUND(F34*F35,0))</f>
        <v>——</v>
      </c>
      <c r="D34" s="316" t="s">
        <v>730</v>
      </c>
      <c r="E34" s="294" t="s">
        <v>731</v>
      </c>
      <c r="F34" s="317">
        <f>'数据-取费表'!B52</f>
        <v>1.5</v>
      </c>
      <c r="G34" s="1292"/>
      <c r="H34" s="2469"/>
      <c r="I34" s="1305"/>
      <c r="J34" s="1306"/>
      <c r="K34" s="2474"/>
      <c r="L34" s="2475"/>
      <c r="M34" s="2475"/>
    </row>
    <row r="35" spans="1:18" ht="18" customHeight="1">
      <c r="A35" s="1040"/>
      <c r="B35" s="1038"/>
      <c r="C35" s="26"/>
      <c r="D35" s="319"/>
      <c r="E35" s="294" t="s">
        <v>735</v>
      </c>
      <c r="F35" s="295">
        <f ca="1">INDIRECT("'数据-取费表'!r"&amp;$G$1)</f>
        <v>0</v>
      </c>
      <c r="G35" s="1292"/>
      <c r="H35" s="2469"/>
      <c r="I35" s="1305"/>
      <c r="J35" s="1306"/>
      <c r="K35" s="2473"/>
      <c r="L35" s="2472"/>
      <c r="M35" s="2472"/>
    </row>
    <row r="36" spans="1:18" ht="18" customHeight="1">
      <c r="A36" s="1039" t="s">
        <v>402</v>
      </c>
      <c r="B36" s="294" t="s">
        <v>737</v>
      </c>
      <c r="C36" s="21">
        <f ca="1">ROUND(C29*F36,0)</f>
        <v>6968</v>
      </c>
      <c r="D36" s="1256" t="s">
        <v>770</v>
      </c>
      <c r="E36" s="294" t="s">
        <v>711</v>
      </c>
      <c r="F36" s="320">
        <f ca="1">INDIRECT("'数据-取费表'!Ak"&amp;$G$1)</f>
        <v>0.01</v>
      </c>
      <c r="G36" s="1292"/>
      <c r="H36" s="2472"/>
      <c r="I36" s="1305"/>
      <c r="J36" s="1306"/>
      <c r="K36" s="2330"/>
      <c r="L36" s="2472"/>
      <c r="M36" s="2472"/>
    </row>
    <row r="37" spans="1:18" ht="18" customHeight="1">
      <c r="A37" s="928" t="s">
        <v>437</v>
      </c>
      <c r="B37" s="294" t="s">
        <v>741</v>
      </c>
      <c r="C37" s="21">
        <f ca="1">ROUND(C13*F37,0)</f>
        <v>516</v>
      </c>
      <c r="D37" s="1256" t="s">
        <v>742</v>
      </c>
      <c r="E37" s="294" t="s">
        <v>711</v>
      </c>
      <c r="F37" s="321">
        <f ca="1">INDIRECT("'数据-取费表'!Al"&amp;$G$1)</f>
        <v>1E-3</v>
      </c>
      <c r="G37" s="1292"/>
      <c r="H37" s="2472"/>
      <c r="I37" s="1305"/>
      <c r="J37" s="1306"/>
      <c r="K37" s="2330"/>
      <c r="L37" s="2472"/>
      <c r="M37" s="2472"/>
    </row>
    <row r="38" spans="1:18" ht="18" customHeight="1" thickBot="1">
      <c r="A38" s="1026" t="s">
        <v>682</v>
      </c>
      <c r="B38" s="1027" t="s">
        <v>727</v>
      </c>
      <c r="C38" s="1028">
        <f ca="1">ROUND(C5*F38,0)</f>
        <v>2816</v>
      </c>
      <c r="D38" s="1029" t="s">
        <v>747</v>
      </c>
      <c r="E38" s="1027" t="s">
        <v>711</v>
      </c>
      <c r="F38" s="1023">
        <f ca="1">INDIRECT("'数据-取费表'!Am"&amp;$G$1)</f>
        <v>0.01</v>
      </c>
      <c r="G38" s="1292"/>
      <c r="H38" s="2472"/>
      <c r="I38" s="1305"/>
      <c r="J38" s="1306"/>
      <c r="K38" s="2470"/>
      <c r="L38" s="2472"/>
      <c r="M38" s="2472"/>
    </row>
    <row r="39" spans="1:18" ht="24.6" customHeight="1" thickTop="1">
      <c r="A39" s="1016" t="s">
        <v>394</v>
      </c>
      <c r="B39" s="1031" t="s">
        <v>751</v>
      </c>
      <c r="C39" s="302">
        <f ca="1">C5-C30</f>
        <v>252558</v>
      </c>
      <c r="D39" s="1032" t="s">
        <v>752</v>
      </c>
      <c r="E39" s="1033"/>
      <c r="F39" s="1034"/>
      <c r="G39" s="1292"/>
      <c r="H39" s="2472">
        <f ca="1">C39/C5</f>
        <v>0.89684241924945318</v>
      </c>
      <c r="I39" s="1305"/>
      <c r="J39" s="1306"/>
      <c r="K39" s="2470"/>
      <c r="L39" s="2472"/>
      <c r="M39" s="2472"/>
    </row>
    <row r="40" spans="1:18" ht="18" customHeight="1">
      <c r="A40" s="291" t="s">
        <v>395</v>
      </c>
      <c r="B40" s="292" t="s">
        <v>773</v>
      </c>
      <c r="C40" s="293">
        <f ca="1">ROUND(C39*(1-((1+F42)/(1+F40))^F41)/(F40-F42),0)</f>
        <v>3341124</v>
      </c>
      <c r="D40" s="316" t="s">
        <v>757</v>
      </c>
      <c r="E40" s="294" t="s">
        <v>758</v>
      </c>
      <c r="F40" s="304">
        <f ca="1">INDIRECT("'数据-取费表'!I"&amp;$G$1)</f>
        <v>5.5E-2</v>
      </c>
      <c r="G40" s="1292"/>
      <c r="H40" s="1366"/>
      <c r="I40" s="1305"/>
      <c r="J40" s="1306"/>
      <c r="K40" s="2470"/>
      <c r="L40" s="1366"/>
      <c r="M40" s="1366"/>
    </row>
    <row r="41" spans="1:18" ht="18" customHeight="1">
      <c r="A41" s="296"/>
      <c r="B41" s="297"/>
      <c r="C41" s="298"/>
      <c r="D41" s="323" t="s">
        <v>774</v>
      </c>
      <c r="E41" s="294" t="s">
        <v>762</v>
      </c>
      <c r="F41" s="324">
        <f ca="1">IF(INDIRECT("'数据-取费表'!af"&amp;$G$1)=0,INDIRECT("'数据-取费表'!ae"&amp;$G$1),INDIRECT("'数据-取费表'!af"&amp;$G$1))</f>
        <v>18.43</v>
      </c>
      <c r="G41" s="1292"/>
      <c r="H41" s="121"/>
      <c r="I41" s="1305"/>
      <c r="J41" s="1306"/>
      <c r="K41" s="2330"/>
      <c r="L41" s="121"/>
      <c r="M41" s="121"/>
    </row>
    <row r="42" spans="1:18" ht="18" customHeight="1">
      <c r="A42" s="300"/>
      <c r="B42" s="301"/>
      <c r="C42" s="302"/>
      <c r="D42" s="319"/>
      <c r="E42" s="294" t="s">
        <v>765</v>
      </c>
      <c r="F42" s="304">
        <f ca="1">INDIRECT("'数据-取费表'!v"&amp;$G$1)</f>
        <v>0.02</v>
      </c>
      <c r="G42" s="1292"/>
      <c r="H42" s="121"/>
      <c r="I42" s="1305"/>
      <c r="J42" s="1306"/>
      <c r="K42" s="2330"/>
      <c r="L42" s="121"/>
      <c r="M42" s="121"/>
    </row>
    <row r="43" spans="1:18" ht="18" customHeight="1" thickBot="1">
      <c r="A43" s="325" t="s">
        <v>396</v>
      </c>
      <c r="B43" s="326" t="s">
        <v>775</v>
      </c>
      <c r="C43" s="327">
        <f ca="1">ROUND(C40/F43,0)</f>
        <v>21853</v>
      </c>
      <c r="D43" s="328" t="s">
        <v>776</v>
      </c>
      <c r="E43" s="329" t="s">
        <v>777</v>
      </c>
      <c r="F43" s="330">
        <f ca="1">INDIRECT("'数据-取费表'!k"&amp;$G$1)</f>
        <v>152.88999999999999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-342.64710000000002</v>
      </c>
      <c r="D45" s="3129" t="s">
        <v>3351</v>
      </c>
      <c r="E45" s="1307"/>
      <c r="F45" s="1307"/>
      <c r="O45" s="1310" t="s">
        <v>807</v>
      </c>
      <c r="P45" s="1366"/>
      <c r="Q45" s="1366"/>
      <c r="R45" s="1366"/>
    </row>
    <row r="46" spans="1:18" s="1292" customFormat="1" ht="13.8" thickBot="1">
      <c r="A46" s="1311" t="s">
        <v>808</v>
      </c>
      <c r="C46" s="1312">
        <f ca="1">ROUND(C45,0)</f>
        <v>-343</v>
      </c>
      <c r="D46" s="1313" t="str">
        <f>C2</f>
        <v>万元</v>
      </c>
      <c r="I46" s="1314" t="s">
        <v>809</v>
      </c>
      <c r="J46" s="1315"/>
      <c r="K46" s="1316"/>
      <c r="L46" s="1317">
        <f ca="1">IF(M47="住宅",0,IF(L48&gt;J51,L60,J60))</f>
        <v>73499</v>
      </c>
      <c r="O46" s="1318" t="s">
        <v>810</v>
      </c>
      <c r="P46" s="1319" t="s">
        <v>811</v>
      </c>
      <c r="Q46" s="1320" t="s">
        <v>812</v>
      </c>
      <c r="R46" s="1320" t="s">
        <v>813</v>
      </c>
    </row>
    <row r="47" spans="1:18" s="1292" customFormat="1" ht="13.8" thickBot="1">
      <c r="A47" s="892" t="s">
        <v>686</v>
      </c>
      <c r="B47" s="924" t="s">
        <v>687</v>
      </c>
      <c r="C47" s="924" t="s">
        <v>688</v>
      </c>
      <c r="D47" s="924" t="s">
        <v>689</v>
      </c>
      <c r="E47" s="995" t="s">
        <v>690</v>
      </c>
      <c r="F47" s="996"/>
      <c r="G47" s="681"/>
      <c r="I47" s="1321" t="s">
        <v>814</v>
      </c>
      <c r="J47" s="1322" t="s">
        <v>3402</v>
      </c>
      <c r="K47" s="1323" t="s">
        <v>815</v>
      </c>
      <c r="L47" s="1324">
        <f ca="1">INDIRECT("'数据-取费表'!d"&amp;$G$1)</f>
        <v>40</v>
      </c>
      <c r="M47" s="1288" t="str">
        <f>IF(ISNUMBER(FIND("住宅",C1)),"住宅","非住宅")</f>
        <v>非住宅</v>
      </c>
      <c r="O47" s="1325" t="s">
        <v>403</v>
      </c>
      <c r="P47" s="1326" t="s">
        <v>816</v>
      </c>
      <c r="Q47" s="1327">
        <f ca="1">C40+J29</f>
        <v>3341124</v>
      </c>
      <c r="R47" s="1327" t="s">
        <v>817</v>
      </c>
    </row>
    <row r="48" spans="1:18" s="1292" customFormat="1" ht="40.200000000000003" thickBot="1">
      <c r="A48" s="1047" t="s">
        <v>438</v>
      </c>
      <c r="B48" s="292" t="s">
        <v>691</v>
      </c>
      <c r="C48" s="1268">
        <f ca="1">C49+C53+C55</f>
        <v>0</v>
      </c>
      <c r="D48" s="1049"/>
      <c r="E48" s="1050"/>
      <c r="F48" s="908"/>
      <c r="G48" s="681"/>
      <c r="H48" s="682"/>
      <c r="I48" s="1328" t="s">
        <v>818</v>
      </c>
      <c r="J48" s="1329" t="s">
        <v>3519</v>
      </c>
      <c r="K48" s="1330" t="s">
        <v>819</v>
      </c>
      <c r="L48" s="1331">
        <f ca="1">INDIRECT("'数据-取费表'!f"&amp;$G$1)</f>
        <v>18.43</v>
      </c>
      <c r="O48" s="1325" t="s">
        <v>404</v>
      </c>
      <c r="P48" s="1326" t="s">
        <v>820</v>
      </c>
      <c r="Q48" s="1327">
        <f ca="1">J60</f>
        <v>73499</v>
      </c>
      <c r="R48" s="1327" t="s">
        <v>821</v>
      </c>
    </row>
    <row r="49" spans="1:18" s="1292" customFormat="1" ht="13.8" thickBot="1">
      <c r="A49" s="921" t="s">
        <v>439</v>
      </c>
      <c r="B49" s="1279" t="s">
        <v>778</v>
      </c>
      <c r="C49" s="1051">
        <f ca="1">ROUND(F49*F51*F50*(1-F52),0)</f>
        <v>0</v>
      </c>
      <c r="D49" s="992" t="s">
        <v>694</v>
      </c>
      <c r="E49" s="1280" t="s">
        <v>779</v>
      </c>
      <c r="F49" s="997"/>
      <c r="H49" s="682"/>
      <c r="I49" s="1328" t="s">
        <v>822</v>
      </c>
      <c r="J49" s="1332">
        <f>'数据-取费表'!N18</f>
        <v>2004</v>
      </c>
      <c r="K49" s="1330" t="s">
        <v>823</v>
      </c>
      <c r="L49" s="1333"/>
      <c r="O49" s="1334" t="s">
        <v>405</v>
      </c>
      <c r="P49" s="1326" t="s">
        <v>824</v>
      </c>
      <c r="Q49" s="1327">
        <f ca="1">C29</f>
        <v>696756</v>
      </c>
      <c r="R49" s="1327" t="s">
        <v>817</v>
      </c>
    </row>
    <row r="50" spans="1:18" s="1292" customFormat="1" ht="13.8" thickBot="1">
      <c r="A50" s="922"/>
      <c r="B50" s="925"/>
      <c r="C50" s="926"/>
      <c r="D50" s="899"/>
      <c r="E50" s="993" t="s">
        <v>696</v>
      </c>
      <c r="F50" s="994">
        <f ca="1">F7</f>
        <v>152.88999999999999</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8" thickBot="1">
      <c r="A51" s="923"/>
      <c r="B51" s="925"/>
      <c r="C51" s="926"/>
      <c r="D51" s="899"/>
      <c r="E51" s="927" t="s">
        <v>697</v>
      </c>
      <c r="F51" s="295">
        <f ca="1">F8</f>
        <v>365</v>
      </c>
      <c r="I51" s="1338" t="s">
        <v>828</v>
      </c>
      <c r="J51" s="1331">
        <f>IF(J49="",J50,J49+J50-YEAR('数据-取费表'!B2))</f>
        <v>40</v>
      </c>
      <c r="K51" s="1339" t="s">
        <v>829</v>
      </c>
      <c r="L51" s="1340">
        <f ca="1">ROUND(-PV(INDIRECT("'数据-取费表'!h"&amp;$G$1),J51,(C39-C13*C76),0),0)</f>
        <v>3714360</v>
      </c>
      <c r="M51" s="1341"/>
      <c r="O51" s="1334" t="s">
        <v>407</v>
      </c>
      <c r="P51" s="1326" t="s">
        <v>830</v>
      </c>
      <c r="Q51" s="1337">
        <f>J52</f>
        <v>7.4999999999999997E-2</v>
      </c>
      <c r="R51" s="1327"/>
    </row>
    <row r="52" spans="1:18" s="1292" customFormat="1" ht="13.8" thickBot="1">
      <c r="A52" s="923"/>
      <c r="B52" s="925"/>
      <c r="C52" s="926"/>
      <c r="D52" s="899"/>
      <c r="E52" s="927" t="s">
        <v>698</v>
      </c>
      <c r="F52" s="991"/>
      <c r="I52" s="1342" t="s">
        <v>831</v>
      </c>
      <c r="J52" s="1343">
        <v>7.4999999999999997E-2</v>
      </c>
      <c r="K52" s="1342" t="s">
        <v>832</v>
      </c>
      <c r="L52" s="1343"/>
      <c r="O52" s="1334" t="s">
        <v>408</v>
      </c>
      <c r="P52" s="1326" t="s">
        <v>833</v>
      </c>
      <c r="Q52" s="1327">
        <f ca="1">J53</f>
        <v>18.43</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18.43</v>
      </c>
      <c r="K53" s="3354" t="s">
        <v>836</v>
      </c>
      <c r="L53" s="3355"/>
      <c r="O53" s="1325" t="s">
        <v>409</v>
      </c>
      <c r="P53" s="1326" t="s">
        <v>837</v>
      </c>
      <c r="Q53" s="1327">
        <f ca="1">Q47+Q48</f>
        <v>3414623</v>
      </c>
      <c r="R53" s="1327" t="s">
        <v>410</v>
      </c>
    </row>
    <row r="54" spans="1:18" s="1292" customFormat="1" ht="13.8"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8" thickBot="1">
      <c r="A55" s="1020" t="s">
        <v>437</v>
      </c>
      <c r="B55" s="1277" t="s">
        <v>702</v>
      </c>
      <c r="C55" s="1021"/>
      <c r="D55" s="150"/>
      <c r="E55" s="1282"/>
      <c r="F55" s="1345"/>
      <c r="I55" s="1348" t="s">
        <v>839</v>
      </c>
      <c r="J55" s="1349">
        <f ca="1">ROUND(IF(J47="钢混",J57/J50,1-(1-2%)*(J50-J57)/J50),3)</f>
        <v>0.36</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515599</v>
      </c>
      <c r="D56" s="1352"/>
      <c r="E56" s="1353"/>
      <c r="F56" s="1345"/>
      <c r="I56" s="1354" t="s">
        <v>841</v>
      </c>
      <c r="J56" s="1355" t="s">
        <v>3520</v>
      </c>
      <c r="K56" s="1328" t="s">
        <v>842</v>
      </c>
      <c r="L56" s="1331" t="str">
        <f ca="1">IF(L48&lt;J51,"——",L48-J51)</f>
        <v>——</v>
      </c>
      <c r="O56" s="1325" t="s">
        <v>403</v>
      </c>
      <c r="P56" s="1326" t="s">
        <v>816</v>
      </c>
      <c r="Q56" s="1327">
        <f ca="1">C40+J29</f>
        <v>3341124</v>
      </c>
      <c r="R56" s="1327" t="s">
        <v>817</v>
      </c>
    </row>
    <row r="57" spans="1:18" s="1292" customFormat="1" ht="24.6" thickBot="1">
      <c r="A57" s="1356"/>
      <c r="B57" s="896" t="s">
        <v>766</v>
      </c>
      <c r="C57" s="230">
        <f ca="1">C29</f>
        <v>696756</v>
      </c>
      <c r="D57" s="1357"/>
      <c r="E57" s="1358"/>
      <c r="F57" s="1359"/>
      <c r="I57" s="1360" t="s">
        <v>843</v>
      </c>
      <c r="J57" s="1361">
        <f ca="1">IF(OR(M47="住宅",J51&lt;L48,J56="是"),"——",J51-L48)</f>
        <v>21.57</v>
      </c>
      <c r="K57" s="1328" t="s">
        <v>891</v>
      </c>
      <c r="L57" s="1331" t="str">
        <f ca="1">IF(L48&lt;J51,"——",IF(L55="比较法",L49,IF(L55="基准地价",L50,L51)))</f>
        <v>——</v>
      </c>
      <c r="O57" s="1325" t="s">
        <v>404</v>
      </c>
      <c r="P57" s="1326" t="s">
        <v>845</v>
      </c>
      <c r="Q57" s="1327">
        <f ca="1">L60</f>
        <v>0</v>
      </c>
      <c r="R57" s="1327" t="s">
        <v>846</v>
      </c>
    </row>
    <row r="58" spans="1:18" s="1292" customFormat="1" ht="24.6" thickBot="1">
      <c r="A58" s="307" t="s">
        <v>393</v>
      </c>
      <c r="B58" s="904" t="s">
        <v>713</v>
      </c>
      <c r="C58" s="308">
        <f ca="1">ROUND(C59+C64+C65+C66,0)</f>
        <v>7484</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6" thickBot="1">
      <c r="A59" s="928" t="s">
        <v>398</v>
      </c>
      <c r="B59" s="896" t="s">
        <v>718</v>
      </c>
      <c r="C59" s="2140">
        <f ca="1">ROUND(IF(AND(项目基本情况!B11="自然人",项目基本情况!B10="北京市"),C49*F59/(1+'数据-取费表'!C42),C60+C61+C62),0)</f>
        <v>0</v>
      </c>
      <c r="D59" s="909" t="s">
        <v>719</v>
      </c>
      <c r="E59" s="910" t="s">
        <v>720</v>
      </c>
      <c r="F59" s="2139">
        <f ca="1">IF(项目基本情况!B11="企业","——",IF('数据-取费表'!B10="住宅",IF(F49*F50*F51/12/(1+'数据-取费表'!F30)&gt;100000,4%,2.5%),IF(F49*F50*F51/12/(1+'数据-取费表'!F30)&gt;100000,12%,7%)))</f>
        <v>7.0000000000000007E-2</v>
      </c>
      <c r="I59" s="1360" t="s">
        <v>850</v>
      </c>
      <c r="J59" s="1361">
        <f ca="1">IF(OR(M47="住宅",J51&lt;L48,J56="是"),"——",ROUND(C29*J58,0))</f>
        <v>278702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2" thickBot="1">
      <c r="A60" s="928" t="s">
        <v>397</v>
      </c>
      <c r="B60" s="896" t="s">
        <v>722</v>
      </c>
      <c r="C60" s="21" t="str">
        <f>IF(项目基本情况!B11="自然人","——",ROUND(C48*F60/(1+'数据-取费表'!C42),0))</f>
        <v>——</v>
      </c>
      <c r="D60" s="910" t="s">
        <v>723</v>
      </c>
      <c r="E60" s="896" t="s">
        <v>711</v>
      </c>
      <c r="F60" s="322">
        <f t="shared" ref="F60:F66" si="0">F32</f>
        <v>5.5000000000000007E-2</v>
      </c>
      <c r="I60" s="1363" t="s">
        <v>852</v>
      </c>
      <c r="J60" s="1364">
        <f ca="1">IF(OR(M47="住宅",J51&lt;L48,J56="是"),"0",ROUND(J59/(1+J52)^J53,0))</f>
        <v>73499</v>
      </c>
      <c r="K60" s="1365" t="s">
        <v>853</v>
      </c>
      <c r="L60" s="1364">
        <f ca="1">IF(OR(M47="住宅",L48&lt;J51),0,ROUND(L57*(L58/L59-1),0))</f>
        <v>0</v>
      </c>
      <c r="O60" s="1334" t="s">
        <v>407</v>
      </c>
      <c r="P60" s="1326" t="s">
        <v>854</v>
      </c>
      <c r="Q60" s="1327" t="e">
        <f ca="1">L58</f>
        <v>#DIV/0!</v>
      </c>
      <c r="R60" s="1327" t="s">
        <v>855</v>
      </c>
    </row>
    <row r="61" spans="1:18" s="1292" customFormat="1" ht="13.8" thickBot="1">
      <c r="A61" s="928" t="s">
        <v>780</v>
      </c>
      <c r="B61" s="896" t="s">
        <v>726</v>
      </c>
      <c r="C61" s="21" t="str">
        <f ca="1">IF(项目基本情况!B11="自然人","——",IF(D61="按租金收入计税",ROUND(C49*F61/(1+'数据-取费表'!C42),0),IF(D61="按房产原值计税",ROUND(C57*F61*0.7,0),INDIRECT("'数据-取费表'!Aj"&amp;$G$1))))</f>
        <v>——</v>
      </c>
      <c r="D61" s="1278" t="s">
        <v>3334</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8" thickBot="1">
      <c r="A62" s="928" t="s">
        <v>783</v>
      </c>
      <c r="B62" s="895" t="s">
        <v>729</v>
      </c>
      <c r="C62" s="22" t="str">
        <f>IF(项目基本情况!B11="自然人","——",ROUND(F62*F63,0))</f>
        <v>——</v>
      </c>
      <c r="D62" s="911" t="s">
        <v>730</v>
      </c>
      <c r="E62" s="896" t="s">
        <v>731</v>
      </c>
      <c r="F62" s="317">
        <f t="shared" si="0"/>
        <v>1.5</v>
      </c>
      <c r="I62" s="1367" t="s">
        <v>857</v>
      </c>
      <c r="J62" s="610" t="s">
        <v>858</v>
      </c>
      <c r="K62" s="610" t="s">
        <v>859</v>
      </c>
      <c r="L62" s="610" t="s">
        <v>860</v>
      </c>
      <c r="M62" s="1368" t="s">
        <v>861</v>
      </c>
      <c r="O62" s="1325" t="s">
        <v>409</v>
      </c>
      <c r="P62" s="1326" t="s">
        <v>837</v>
      </c>
      <c r="Q62" s="1327">
        <f ca="1">Q56+Q57</f>
        <v>3341124</v>
      </c>
      <c r="R62" s="1327" t="s">
        <v>410</v>
      </c>
    </row>
    <row r="63" spans="1:18" s="1292" customFormat="1" ht="13.8"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8" thickBot="1">
      <c r="A64" s="928" t="s">
        <v>402</v>
      </c>
      <c r="B64" s="896" t="s">
        <v>737</v>
      </c>
      <c r="C64" s="21">
        <f ca="1">ROUND(C57*F64,0)</f>
        <v>6968</v>
      </c>
      <c r="D64" s="910" t="s">
        <v>770</v>
      </c>
      <c r="E64" s="896" t="s">
        <v>711</v>
      </c>
      <c r="F64" s="320">
        <f t="shared" ca="1" si="0"/>
        <v>0.01</v>
      </c>
      <c r="I64" s="1367" t="s">
        <v>865</v>
      </c>
      <c r="J64" s="610">
        <v>50</v>
      </c>
      <c r="K64" s="610">
        <v>35</v>
      </c>
      <c r="L64" s="610">
        <v>60</v>
      </c>
      <c r="M64" s="1368">
        <v>0</v>
      </c>
      <c r="O64" s="1318" t="s">
        <v>810</v>
      </c>
      <c r="P64" s="1319" t="s">
        <v>811</v>
      </c>
      <c r="Q64" s="1320" t="s">
        <v>812</v>
      </c>
      <c r="R64" s="1320" t="s">
        <v>813</v>
      </c>
    </row>
    <row r="65" spans="1:18" s="1292" customFormat="1" ht="13.8" thickBot="1">
      <c r="A65" s="928" t="s">
        <v>791</v>
      </c>
      <c r="B65" s="896" t="s">
        <v>741</v>
      </c>
      <c r="C65" s="21">
        <f ca="1">ROUND(C56*F65,0)</f>
        <v>516</v>
      </c>
      <c r="D65" s="910" t="s">
        <v>742</v>
      </c>
      <c r="E65" s="896" t="s">
        <v>711</v>
      </c>
      <c r="F65" s="321">
        <f t="shared" ca="1" si="0"/>
        <v>1E-3</v>
      </c>
      <c r="I65" s="1367" t="s">
        <v>866</v>
      </c>
      <c r="J65" s="610">
        <v>40</v>
      </c>
      <c r="K65" s="610">
        <v>30</v>
      </c>
      <c r="L65" s="610">
        <v>50</v>
      </c>
      <c r="M65" s="1369">
        <v>0.02</v>
      </c>
      <c r="O65" s="1325" t="s">
        <v>403</v>
      </c>
      <c r="P65" s="1326" t="s">
        <v>816</v>
      </c>
      <c r="Q65" s="1327">
        <f ca="1">C40+J29</f>
        <v>3341124</v>
      </c>
      <c r="R65" s="1327" t="s">
        <v>817</v>
      </c>
    </row>
    <row r="66" spans="1:18" s="1292" customFormat="1" ht="16.2"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24.6" thickBot="1">
      <c r="A67" s="903" t="s">
        <v>394</v>
      </c>
      <c r="B67" s="913" t="s">
        <v>751</v>
      </c>
      <c r="C67" s="308">
        <f ca="1">C48-C58</f>
        <v>-7484</v>
      </c>
      <c r="D67" s="909" t="s">
        <v>752</v>
      </c>
      <c r="E67" s="914"/>
      <c r="F67" s="915"/>
      <c r="O67" s="1334" t="s">
        <v>405</v>
      </c>
      <c r="P67" s="1326" t="s">
        <v>849</v>
      </c>
      <c r="Q67" s="1370">
        <f ca="1">L51</f>
        <v>3714360</v>
      </c>
      <c r="R67" s="1327" t="s">
        <v>869</v>
      </c>
    </row>
    <row r="68" spans="1:18" s="1292" customFormat="1" ht="16.2" thickBot="1">
      <c r="A68" s="893" t="s">
        <v>395</v>
      </c>
      <c r="B68" s="894" t="s">
        <v>773</v>
      </c>
      <c r="C68" s="293">
        <f ca="1">ROUND(C67*(1-((1+F70)/(1+F68))^F69)/(F68-F70),0)</f>
        <v>-85347</v>
      </c>
      <c r="D68" s="911" t="s">
        <v>757</v>
      </c>
      <c r="E68" s="896" t="s">
        <v>758</v>
      </c>
      <c r="F68" s="304">
        <f ca="1">F40</f>
        <v>5.5E-2</v>
      </c>
      <c r="O68" s="1334" t="s">
        <v>406</v>
      </c>
      <c r="P68" s="1371" t="s">
        <v>870</v>
      </c>
      <c r="Q68" s="1327">
        <f ca="1">ROUND(Q69-Q70*Q71,0)</f>
        <v>216466</v>
      </c>
      <c r="R68" s="1327" t="s">
        <v>414</v>
      </c>
    </row>
    <row r="69" spans="1:18" s="1292" customFormat="1" ht="13.8" thickBot="1">
      <c r="A69" s="897"/>
      <c r="B69" s="898"/>
      <c r="C69" s="298"/>
      <c r="D69" s="916" t="s">
        <v>761</v>
      </c>
      <c r="E69" s="896" t="s">
        <v>762</v>
      </c>
      <c r="F69" s="324">
        <f ca="1">F41</f>
        <v>18.43</v>
      </c>
      <c r="O69" s="1334" t="s">
        <v>411</v>
      </c>
      <c r="P69" s="1371" t="s">
        <v>871</v>
      </c>
      <c r="Q69" s="1327">
        <f ca="1">C39</f>
        <v>252558</v>
      </c>
      <c r="R69" s="1327" t="s">
        <v>817</v>
      </c>
    </row>
    <row r="70" spans="1:18" s="1292" customFormat="1" ht="13.8" thickBot="1">
      <c r="A70" s="900"/>
      <c r="B70" s="901"/>
      <c r="C70" s="302"/>
      <c r="D70" s="912"/>
      <c r="E70" s="896" t="s">
        <v>765</v>
      </c>
      <c r="F70" s="991"/>
      <c r="O70" s="1334" t="s">
        <v>412</v>
      </c>
      <c r="P70" s="1371" t="s">
        <v>872</v>
      </c>
      <c r="Q70" s="1327">
        <f ca="1">C13</f>
        <v>515599</v>
      </c>
      <c r="R70" s="1327" t="s">
        <v>817</v>
      </c>
    </row>
    <row r="71" spans="1:18" s="1292" customFormat="1" ht="13.8" thickBot="1">
      <c r="A71" s="917" t="s">
        <v>396</v>
      </c>
      <c r="B71" s="918" t="s">
        <v>775</v>
      </c>
      <c r="C71" s="327">
        <f ca="1">ROUND(C68/F71,0)</f>
        <v>-558</v>
      </c>
      <c r="D71" s="919" t="s">
        <v>776</v>
      </c>
      <c r="E71" s="920" t="s">
        <v>777</v>
      </c>
      <c r="F71" s="330">
        <f ca="1">F43</f>
        <v>152.88999999999999</v>
      </c>
      <c r="O71" s="1334" t="s">
        <v>413</v>
      </c>
      <c r="P71" s="1371" t="s">
        <v>873</v>
      </c>
      <c r="Q71" s="1337">
        <f ca="1">C76</f>
        <v>7.0000000000000007E-2</v>
      </c>
      <c r="R71" s="1327"/>
    </row>
    <row r="72" spans="1:18" s="1292" customFormat="1" ht="13.8" thickBot="1">
      <c r="B72" s="685"/>
      <c r="C72" s="685"/>
      <c r="O72" s="1334" t="s">
        <v>407</v>
      </c>
      <c r="P72" s="1326" t="s">
        <v>851</v>
      </c>
      <c r="Q72" s="1337">
        <f>L52</f>
        <v>0</v>
      </c>
      <c r="R72" s="1327"/>
    </row>
    <row r="73" spans="1:18" ht="16.2" thickBot="1">
      <c r="A73" s="1292"/>
      <c r="B73" s="685"/>
      <c r="C73" s="685"/>
      <c r="D73" s="1292"/>
      <c r="E73" s="1292"/>
      <c r="F73" s="1292"/>
      <c r="O73" s="1334" t="s">
        <v>408</v>
      </c>
      <c r="P73" s="1326" t="s">
        <v>854</v>
      </c>
      <c r="Q73" s="1327" t="e">
        <f ca="1">L58</f>
        <v>#DIV/0!</v>
      </c>
      <c r="R73" s="1327" t="s">
        <v>855</v>
      </c>
    </row>
    <row r="74" spans="1:18" ht="13.8"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8" thickBot="1">
      <c r="A75" s="1292"/>
      <c r="B75" s="331" t="s">
        <v>794</v>
      </c>
      <c r="C75" s="332">
        <f ca="1">ROUND(C13*C76,0)</f>
        <v>36092</v>
      </c>
      <c r="D75" s="1292"/>
      <c r="E75" s="1292"/>
      <c r="F75" s="1292"/>
      <c r="K75" s="1309"/>
      <c r="L75" s="1292"/>
      <c r="O75" s="1325" t="s">
        <v>409</v>
      </c>
      <c r="P75" s="1326" t="s">
        <v>837</v>
      </c>
      <c r="Q75" s="1327">
        <f ca="1">Q65+Q66</f>
        <v>3341124</v>
      </c>
      <c r="R75" s="1327" t="s">
        <v>410</v>
      </c>
    </row>
    <row r="76" spans="1:18">
      <c r="B76" s="333" t="s">
        <v>795</v>
      </c>
      <c r="C76" s="334">
        <f ca="1">INDIRECT("'数据-取费表'!j"&amp;$G$1)</f>
        <v>7.0000000000000007E-2</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0.85699999999999998</v>
      </c>
    </row>
    <row r="80" spans="1:18">
      <c r="B80" s="331" t="s">
        <v>799</v>
      </c>
      <c r="C80" s="266">
        <f ca="1">ROUND(C75/C39,3)</f>
        <v>0.14299999999999999</v>
      </c>
    </row>
    <row r="81" spans="2:3">
      <c r="B81" s="262" t="s">
        <v>800</v>
      </c>
      <c r="C81" s="230"/>
    </row>
    <row r="82" spans="2:3">
      <c r="B82" s="265" t="s">
        <v>801</v>
      </c>
      <c r="C82" s="267">
        <f ca="1">1-C83</f>
        <v>0.84599999999999997</v>
      </c>
    </row>
    <row r="83" spans="2:3">
      <c r="B83" s="265" t="s">
        <v>802</v>
      </c>
      <c r="C83" s="266">
        <f ca="1">ROUND(C13/C40,3)</f>
        <v>0.154</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51" priority="3">
      <formula>$F$10="自定义"</formula>
    </cfRule>
  </conditionalFormatting>
  <conditionalFormatting sqref="C54">
    <cfRule type="expression" dxfId="50" priority="1">
      <formula>$F$53="自定义"</formula>
    </cfRule>
  </conditionalFormatting>
  <conditionalFormatting sqref="I55 I60">
    <cfRule type="expression" dxfId="49" priority="5">
      <formula>$J$51&gt;$L$48</formula>
    </cfRule>
  </conditionalFormatting>
  <conditionalFormatting sqref="J11">
    <cfRule type="expression" dxfId="48" priority="2">
      <formula>$M$10="自定义"</formula>
    </cfRule>
  </conditionalFormatting>
  <conditionalFormatting sqref="K55 K60">
    <cfRule type="expression" dxfId="47" priority="4">
      <formula>$L$48&gt;$J$51</formula>
    </cfRule>
  </conditionalFormatting>
  <dataValidations count="9">
    <dataValidation type="list" allowBlank="1" showInputMessage="1" showErrorMessage="1" sqref="D1" xr:uid="{4D0D72EF-E26A-4302-A079-1F9A9D0F2A41}">
      <formula1>"在建（套用方法）,土地（套用方法）,——"</formula1>
    </dataValidation>
    <dataValidation type="list" allowBlank="1" showInputMessage="1" showErrorMessage="1" sqref="F10 F53 M10" xr:uid="{61FF6F8B-AB1E-4F60-A363-91B986079774}">
      <formula1>"押一,押二,押三,自定义"</formula1>
    </dataValidation>
    <dataValidation type="list" allowBlank="1" showInputMessage="1" showErrorMessage="1" sqref="K19" xr:uid="{CF54F4D4-DF5D-4621-893B-B288AA3B1641}">
      <formula1>"按租金收入计税,按房产原值计税"</formula1>
    </dataValidation>
    <dataValidation type="list" allowBlank="1" showInputMessage="1" showErrorMessage="1" sqref="D33 D61" xr:uid="{BD2EB7BD-EB2C-402E-8665-3B1797DE884B}">
      <formula1>"按租金收入计税,按房产原值计税,按票据"</formula1>
    </dataValidation>
    <dataValidation type="list" allowBlank="1" showInputMessage="1" showErrorMessage="1" sqref="C1" xr:uid="{A7B2F41E-CB0A-4C02-8B9C-EFA7520EA77C}">
      <formula1>项目类型</formula1>
    </dataValidation>
    <dataValidation type="list" allowBlank="1" showInputMessage="1" showErrorMessage="1" sqref="J47" xr:uid="{0907AAE2-45C5-4021-9A9E-A0265EF382A9}">
      <formula1>"钢,钢混,砖混"</formula1>
    </dataValidation>
    <dataValidation type="list" allowBlank="1" showInputMessage="1" showErrorMessage="1" sqref="J48" xr:uid="{523C0BBB-F1A1-4705-BD65-3AFEFFCD7660}">
      <formula1>"非生产用房,生产用房,受腐蚀的生产用房"</formula1>
    </dataValidation>
    <dataValidation type="list" allowBlank="1" showInputMessage="1" showErrorMessage="1" sqref="J56" xr:uid="{75DC430B-F0CA-432B-ACFE-43135E00E0EB}">
      <formula1>估价范围判定</formula1>
    </dataValidation>
    <dataValidation type="list" allowBlank="1" showInputMessage="1" showErrorMessage="1" sqref="L55" xr:uid="{4FB83C13-9ED4-45BE-8006-BB99ADC7E6D6}">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17BF5-104B-478B-B835-6B545517A70E}">
  <sheetPr>
    <tabColor rgb="FFFF0000"/>
  </sheetPr>
  <dimension ref="A1:AJ512"/>
  <sheetViews>
    <sheetView view="pageBreakPreview" topLeftCell="A103" zoomScaleNormal="100" zoomScaleSheetLayoutView="100" zoomScalePageLayoutView="80" workbookViewId="0">
      <selection activeCell="D4" sqref="D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1260</v>
      </c>
      <c r="B1" s="646"/>
      <c r="C1" s="1620" t="s">
        <v>3613</v>
      </c>
      <c r="D1" s="646"/>
      <c r="E1" s="646"/>
      <c r="F1" s="1621" t="s">
        <v>1261</v>
      </c>
      <c r="G1" s="1453" t="s">
        <v>3397</v>
      </c>
      <c r="H1" s="1621" t="str">
        <f>IF(G1="现房","——","估价对象范围")</f>
        <v>——</v>
      </c>
      <c r="I1" s="1622"/>
    </row>
    <row r="2" spans="1:12" ht="21.75" customHeight="1" thickBot="1">
      <c r="A2" s="3324" t="str">
        <f>项目基本情况!S2</f>
        <v>北京市大兴区兴丰街（二段）36-60号（双号）2幢1至2层42、54、56号房地产</v>
      </c>
      <c r="B2" s="3325"/>
      <c r="C2" s="3325"/>
      <c r="D2" s="3325"/>
      <c r="E2" s="3325"/>
      <c r="F2" s="3325"/>
      <c r="G2" s="3325"/>
      <c r="H2" s="3325"/>
      <c r="I2" s="3326"/>
    </row>
    <row r="3" spans="1:12" ht="13.2">
      <c r="A3" s="3328" t="s">
        <v>1262</v>
      </c>
      <c r="B3" s="3329"/>
      <c r="C3" s="3329"/>
      <c r="D3" s="3329"/>
      <c r="E3" s="3329"/>
      <c r="F3" s="3329"/>
      <c r="G3" s="3329"/>
      <c r="H3" s="3329"/>
      <c r="I3" s="3329"/>
    </row>
    <row r="4" spans="1:12" ht="14.4">
      <c r="A4" s="1624" t="s">
        <v>1263</v>
      </c>
      <c r="B4" s="1625" t="s">
        <v>1264</v>
      </c>
      <c r="C4" s="1626" t="s">
        <v>3614</v>
      </c>
      <c r="D4" s="1626" t="s">
        <v>3569</v>
      </c>
      <c r="E4" s="3333" t="s">
        <v>1265</v>
      </c>
      <c r="F4" s="3334"/>
      <c r="G4" s="3334"/>
      <c r="H4" s="3334"/>
      <c r="I4" s="3335"/>
      <c r="K4" s="138" t="str">
        <f>IF(ISNUMBER(FIND("比较法",'56号结果表'!C4)),"比较法",IF(ISNUMBER(FIND("成本法",'56号结果表'!C4)),"成本法",IF(ISNUMBER(FIND("假设开发法",'56号结果表'!C4)),"假设开发法",IF(ISNUMBER(FIND("收益法",'56号结果表'!C4)),"收益法","基准地价系数修正法"))))</f>
        <v>比较法</v>
      </c>
      <c r="L4" s="138" t="str">
        <f>IF(ISNUMBER(FIND("比较法",'56号结果表'!D4)),"比较法",IF(ISNUMBER(FIND("成本法",'56号结果表'!D4)),"成本法",IF(ISNUMBER(FIND("假设开发法",'56号结果表'!D4)),"假设开发法",IF(ISNUMBER(FIND("收益法",'56号结果表'!D4)),"收益法","基准地价系数修正法"))))</f>
        <v>收益法</v>
      </c>
    </row>
    <row r="5" spans="1:12" ht="13.2">
      <c r="A5" s="3272" t="s">
        <v>1266</v>
      </c>
      <c r="B5" s="3327">
        <v>25</v>
      </c>
      <c r="C5" s="3330"/>
      <c r="D5" s="3318"/>
      <c r="E5" s="123" t="s">
        <v>1267</v>
      </c>
      <c r="F5" s="1627"/>
      <c r="G5" s="1627"/>
      <c r="H5" s="1627"/>
      <c r="I5" s="1281"/>
    </row>
    <row r="6" spans="1:12" ht="13.2">
      <c r="A6" s="3272"/>
      <c r="B6" s="3327"/>
      <c r="C6" s="3332"/>
      <c r="D6" s="3318"/>
      <c r="E6" s="123" t="s">
        <v>1268</v>
      </c>
      <c r="F6" s="1627"/>
      <c r="G6" s="1627"/>
      <c r="H6" s="1627"/>
      <c r="I6" s="1281"/>
    </row>
    <row r="7" spans="1:12" ht="13.2">
      <c r="A7" s="3272"/>
      <c r="B7" s="3327"/>
      <c r="C7" s="3331"/>
      <c r="D7" s="3318"/>
      <c r="E7" s="123" t="s">
        <v>1269</v>
      </c>
      <c r="F7" s="1627"/>
      <c r="G7" s="1627"/>
      <c r="H7" s="1627"/>
      <c r="I7" s="1281"/>
    </row>
    <row r="8" spans="1:12" ht="13.2">
      <c r="A8" s="3272" t="s">
        <v>1270</v>
      </c>
      <c r="B8" s="3327">
        <v>15</v>
      </c>
      <c r="C8" s="3330"/>
      <c r="D8" s="3318"/>
      <c r="E8" s="123" t="s">
        <v>1271</v>
      </c>
      <c r="F8" s="1627"/>
      <c r="G8" s="1627"/>
      <c r="H8" s="1627"/>
      <c r="I8" s="1281"/>
    </row>
    <row r="9" spans="1:12" ht="13.2">
      <c r="A9" s="3272"/>
      <c r="B9" s="3327"/>
      <c r="C9" s="3331"/>
      <c r="D9" s="3318"/>
      <c r="E9" s="123" t="s">
        <v>1272</v>
      </c>
      <c r="F9" s="1627"/>
      <c r="G9" s="1627"/>
      <c r="H9" s="1627"/>
      <c r="I9" s="1281"/>
    </row>
    <row r="10" spans="1:12" ht="13.2">
      <c r="A10" s="3272" t="s">
        <v>1273</v>
      </c>
      <c r="B10" s="3327">
        <v>15</v>
      </c>
      <c r="C10" s="3330"/>
      <c r="D10" s="3318"/>
      <c r="E10" s="123" t="s">
        <v>1274</v>
      </c>
      <c r="F10" s="1627"/>
      <c r="G10" s="1627"/>
      <c r="H10" s="1627"/>
      <c r="I10" s="1281"/>
    </row>
    <row r="11" spans="1:12" ht="13.2">
      <c r="A11" s="3272"/>
      <c r="B11" s="3327"/>
      <c r="C11" s="3331"/>
      <c r="D11" s="3318"/>
      <c r="E11" s="123" t="s">
        <v>1275</v>
      </c>
      <c r="F11" s="1627"/>
      <c r="G11" s="1627"/>
      <c r="H11" s="1627"/>
      <c r="I11" s="1281"/>
    </row>
    <row r="12" spans="1:12" ht="13.2">
      <c r="A12" s="3272" t="s">
        <v>1276</v>
      </c>
      <c r="B12" s="3327">
        <v>15</v>
      </c>
      <c r="C12" s="3330"/>
      <c r="D12" s="3318"/>
      <c r="E12" s="123" t="s">
        <v>1277</v>
      </c>
      <c r="F12" s="1627"/>
      <c r="G12" s="1627"/>
      <c r="H12" s="1627"/>
      <c r="I12" s="1281"/>
    </row>
    <row r="13" spans="1:12" ht="13.2">
      <c r="A13" s="3272"/>
      <c r="B13" s="3327"/>
      <c r="C13" s="3331"/>
      <c r="D13" s="3318"/>
      <c r="E13" s="123" t="s">
        <v>1278</v>
      </c>
      <c r="F13" s="1627"/>
      <c r="G13" s="1627"/>
      <c r="H13" s="1627"/>
      <c r="I13" s="1281"/>
    </row>
    <row r="14" spans="1:12" ht="13.2">
      <c r="A14" s="3272" t="s">
        <v>1279</v>
      </c>
      <c r="B14" s="3327">
        <v>30</v>
      </c>
      <c r="C14" s="3330">
        <v>7</v>
      </c>
      <c r="D14" s="3318">
        <v>3</v>
      </c>
      <c r="E14" s="123" t="s">
        <v>1280</v>
      </c>
      <c r="F14" s="1627"/>
      <c r="G14" s="1627"/>
      <c r="H14" s="1627"/>
      <c r="I14" s="1281"/>
    </row>
    <row r="15" spans="1:12" ht="13.2">
      <c r="A15" s="3272"/>
      <c r="B15" s="3327"/>
      <c r="C15" s="3332"/>
      <c r="D15" s="3318"/>
      <c r="E15" s="123" t="s">
        <v>1281</v>
      </c>
      <c r="F15" s="1627"/>
      <c r="G15" s="1627"/>
      <c r="H15" s="1627"/>
      <c r="I15" s="1281"/>
    </row>
    <row r="16" spans="1:12" ht="13.2">
      <c r="A16" s="3272"/>
      <c r="B16" s="3327"/>
      <c r="C16" s="3331"/>
      <c r="D16" s="3318"/>
      <c r="E16" s="123" t="s">
        <v>1282</v>
      </c>
      <c r="F16" s="1627"/>
      <c r="G16" s="1627"/>
      <c r="H16" s="1627"/>
      <c r="I16" s="1281"/>
    </row>
    <row r="17" spans="1:36" ht="14.4">
      <c r="A17" s="1628" t="s">
        <v>1283</v>
      </c>
      <c r="B17" s="54"/>
      <c r="C17" s="124">
        <f>SUM(C5:C16)</f>
        <v>7</v>
      </c>
      <c r="D17" s="124">
        <f>SUM(D5:D16)</f>
        <v>3</v>
      </c>
      <c r="E17" s="121"/>
      <c r="F17" s="121"/>
      <c r="G17" s="121"/>
      <c r="H17" s="121"/>
      <c r="I17" s="121"/>
      <c r="K17" s="294"/>
      <c r="L17" s="294" t="s">
        <v>1284</v>
      </c>
      <c r="M17" s="294" t="s">
        <v>1285</v>
      </c>
    </row>
    <row r="18" spans="1:36" ht="31.95" customHeight="1" thickBot="1">
      <c r="A18" s="1629" t="s">
        <v>1286</v>
      </c>
      <c r="B18" s="1542"/>
      <c r="C18" s="125">
        <f>ROUND(C17/SUM(C17:D17),2)</f>
        <v>0.7</v>
      </c>
      <c r="D18" s="125">
        <f>1-C18</f>
        <v>0.30000000000000004</v>
      </c>
      <c r="E18" s="3349" t="s">
        <v>2129</v>
      </c>
      <c r="F18" s="3350"/>
      <c r="G18" s="3350"/>
      <c r="H18" s="3350"/>
      <c r="I18" s="3350"/>
      <c r="K18" s="294" t="s">
        <v>1287</v>
      </c>
      <c r="L18" s="294">
        <f>IF(C1="",'数据-汇总表'!E3,SUMIF(项目类型,C1,'数据-汇总表'!E17:E26)+SUMIF(项目类型,C1,'数据-汇总表'!I17:I26))</f>
        <v>172.21</v>
      </c>
      <c r="M18" s="294">
        <f>IF(C1="",'数据-汇总表'!E3,SUMIF(项目类型,C1,'数据-汇总表'!E17:E26))</f>
        <v>172.21</v>
      </c>
    </row>
    <row r="19" spans="1:36" ht="14.4">
      <c r="A19" s="1630" t="s">
        <v>1288</v>
      </c>
      <c r="B19" s="1631" t="s">
        <v>1289</v>
      </c>
      <c r="C19" s="126">
        <f ca="1">SUMIF(INDIRECT("'"&amp;C4&amp;"'"&amp;"!A:A"),'56号结果表'!B19,INDIRECT("'"&amp;C4&amp;"'"&amp;"!B:B"))</f>
        <v>697.19219999999996</v>
      </c>
      <c r="D19" s="127">
        <f ca="1">SUMIF(INDIRECT("'"&amp;D4&amp;"'"&amp;"!A:A"),'56号结果表'!B19,INDIRECT("'"&amp;D4&amp;"'"&amp;"!B:B"))</f>
        <v>384.61189999999999</v>
      </c>
      <c r="E19" s="1630" t="s">
        <v>1290</v>
      </c>
      <c r="F19" s="1631" t="s">
        <v>1289</v>
      </c>
      <c r="G19" s="128">
        <f ca="1">ROUND(C19*$C$18+D19*$D$18,0)</f>
        <v>603</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4.4">
      <c r="A20" s="1633"/>
      <c r="B20" s="43" t="s">
        <v>1293</v>
      </c>
      <c r="C20" s="129">
        <f ca="1">SUMIF(INDIRECT("'"&amp;C4&amp;"'"&amp;"!A:A"),'56号结果表'!B20,INDIRECT("'"&amp;C4&amp;"'"&amp;"!B:B"))</f>
        <v>40485</v>
      </c>
      <c r="D20" s="130">
        <f ca="1">SUMIF(INDIRECT("'"&amp;D4&amp;"'"&amp;"!A:A"),'56号结果表'!B20,INDIRECT("'"&amp;D4&amp;"'"&amp;"!B:B"))</f>
        <v>22334</v>
      </c>
      <c r="E20" s="1633"/>
      <c r="F20" s="43" t="s">
        <v>1293</v>
      </c>
      <c r="G20" s="131">
        <f ca="1">ROUND(C20*$C$18+D20*$D$18,0)</f>
        <v>35040</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0.81271614320825747</v>
      </c>
      <c r="E22" s="121"/>
      <c r="F22" s="121"/>
      <c r="G22" s="121"/>
      <c r="H22" s="121"/>
      <c r="I22" s="121"/>
    </row>
    <row r="23" spans="1:36" ht="13.8" thickBot="1">
      <c r="A23" s="646"/>
      <c r="B23" s="646"/>
      <c r="C23" s="646"/>
      <c r="D23" s="646"/>
      <c r="E23" s="121"/>
      <c r="F23" s="121"/>
      <c r="G23" s="121"/>
      <c r="H23" s="121"/>
      <c r="I23" s="121"/>
    </row>
    <row r="24" spans="1:36" ht="14.4">
      <c r="A24" s="3342" t="s">
        <v>1297</v>
      </c>
      <c r="B24" s="1631" t="s">
        <v>1289</v>
      </c>
      <c r="C24" s="128">
        <f>IF(B30=0,0,D30)</f>
        <v>0</v>
      </c>
      <c r="D24" s="1637"/>
      <c r="E24" s="121"/>
      <c r="F24" s="121"/>
      <c r="G24" s="121"/>
      <c r="H24" s="121"/>
      <c r="I24" s="121"/>
    </row>
    <row r="25" spans="1:36" ht="14.4">
      <c r="A25" s="3343"/>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 customHeight="1" thickTop="1" thickBot="1">
      <c r="A31" s="2128"/>
      <c r="B31" s="2129"/>
      <c r="C31" s="2129"/>
      <c r="D31" s="2129"/>
      <c r="E31" s="2129"/>
      <c r="F31" s="2129"/>
      <c r="G31" s="2129"/>
      <c r="H31" s="2129"/>
      <c r="I31" s="2130" t="s">
        <v>2131</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1303</v>
      </c>
      <c r="B32" s="1535"/>
      <c r="C32" s="136">
        <f ca="1">IF(D32="总价",G19-C24,G20-C25)</f>
        <v>35040</v>
      </c>
      <c r="D32" s="1641" t="s">
        <v>3572</v>
      </c>
      <c r="E32" s="121"/>
      <c r="F32" s="121"/>
      <c r="G32" s="121"/>
      <c r="H32" s="121"/>
      <c r="I32" s="121"/>
    </row>
    <row r="33" spans="1:15" ht="14.4">
      <c r="A33" s="740" t="s">
        <v>1304</v>
      </c>
      <c r="B33" s="123"/>
      <c r="C33" s="1642" t="s">
        <v>3573</v>
      </c>
      <c r="D33" s="1643"/>
      <c r="E33" s="1644" t="s">
        <v>1305</v>
      </c>
      <c r="F33" s="1645" t="str">
        <f>IF(D32="楼面单价","取值（单价）","取值（总价）")</f>
        <v>取值（单价）</v>
      </c>
      <c r="G33" s="121"/>
      <c r="H33" s="121"/>
      <c r="I33" s="121"/>
    </row>
    <row r="34" spans="1:15" ht="14.4">
      <c r="A34" s="1646"/>
      <c r="B34" s="1647" t="s">
        <v>1306</v>
      </c>
      <c r="C34" s="140">
        <f>IF(C33="自定义",F34,C32-C35)</f>
        <v>0</v>
      </c>
      <c r="D34" s="808">
        <f ca="1">IF(C33="自定义",ROUND(C34/C32,3),IF(C33="收益比率",SUMIF(INDIRECT("'"&amp;D33&amp;"'"&amp;"!b:b"),"土地收益比率",INDIRECT("'"&amp;D33&amp;"'"&amp;"!c:c")),SUMIF(INDIRECT("'"&amp;D33&amp;"'"&amp;"!b:b"),"土地成本比率",INDIRECT("'"&amp;D33&amp;"'"&amp;"!c:c"))))</f>
        <v>0</v>
      </c>
      <c r="E34" s="1648" t="s">
        <v>1307</v>
      </c>
      <c r="F34" s="1243"/>
      <c r="G34" s="121"/>
      <c r="H34" s="121"/>
      <c r="I34" s="121"/>
    </row>
    <row r="35" spans="1:15" ht="15" thickBot="1">
      <c r="A35" s="1649"/>
      <c r="B35" s="1650" t="s">
        <v>1308</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1309</v>
      </c>
      <c r="F35" s="146"/>
      <c r="G35" s="121"/>
      <c r="H35" s="121"/>
      <c r="I35" s="121"/>
    </row>
    <row r="36" spans="1:15" ht="15" thickBot="1">
      <c r="A36" s="3319" t="s">
        <v>1310</v>
      </c>
      <c r="B36" s="1652" t="s">
        <v>1311</v>
      </c>
      <c r="C36" s="137"/>
      <c r="D36" s="1653"/>
      <c r="E36" s="1567"/>
      <c r="F36" s="1654"/>
      <c r="G36" s="121"/>
      <c r="H36" s="121"/>
      <c r="I36" s="121"/>
    </row>
    <row r="37" spans="1:15" ht="15" thickBot="1">
      <c r="A37" s="3320"/>
      <c r="B37" s="1555" t="s">
        <v>1312</v>
      </c>
      <c r="C37" s="139"/>
      <c r="D37" s="1071"/>
      <c r="E37" s="1071"/>
      <c r="F37" s="1654"/>
      <c r="G37" s="121"/>
      <c r="H37" s="121"/>
      <c r="I37" s="121"/>
    </row>
    <row r="38" spans="1:15" ht="15" thickBot="1">
      <c r="A38" s="3321"/>
      <c r="B38" s="1655" t="s">
        <v>1313</v>
      </c>
      <c r="C38" s="641"/>
      <c r="D38" s="1656" t="s">
        <v>1314</v>
      </c>
      <c r="E38" s="1071"/>
      <c r="F38" s="1654"/>
      <c r="G38" s="121"/>
      <c r="H38" s="121"/>
      <c r="I38" s="121"/>
    </row>
    <row r="39" spans="1:15" ht="14.4">
      <c r="A39" s="1633" t="s">
        <v>1315</v>
      </c>
      <c r="B39" s="1657" t="s">
        <v>1299</v>
      </c>
      <c r="C39" s="1658" t="s">
        <v>1300</v>
      </c>
      <c r="D39" s="1658" t="s">
        <v>1318</v>
      </c>
      <c r="E39" s="1659" t="s">
        <v>1301</v>
      </c>
      <c r="F39" s="1654"/>
      <c r="G39" s="121"/>
      <c r="H39" s="121"/>
      <c r="I39" s="121"/>
    </row>
    <row r="40" spans="1:15" ht="13.8">
      <c r="A40" s="1660" t="s">
        <v>1320</v>
      </c>
      <c r="B40" s="141"/>
      <c r="C40" s="142"/>
      <c r="D40" s="142"/>
      <c r="E40" s="143"/>
      <c r="F40" s="1654"/>
      <c r="G40" s="121"/>
      <c r="H40" s="121"/>
      <c r="I40" s="121"/>
    </row>
    <row r="41" spans="1:15" ht="13.8">
      <c r="A41" s="1660" t="s">
        <v>1321</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1322</v>
      </c>
      <c r="B44" s="1664"/>
      <c r="C44" s="1664"/>
      <c r="D44" s="1665"/>
      <c r="E44" s="1665"/>
      <c r="F44" s="1666"/>
      <c r="G44" s="1666"/>
      <c r="H44" s="1666"/>
      <c r="I44" s="1666"/>
      <c r="J44" s="1667" t="s">
        <v>1323</v>
      </c>
      <c r="K44" s="4"/>
      <c r="L44" s="4"/>
      <c r="M44" s="4"/>
      <c r="N44" s="4"/>
      <c r="O44" s="4"/>
    </row>
    <row r="45" spans="1:15" ht="14.25" customHeight="1" thickBot="1">
      <c r="A45" s="3339" t="s">
        <v>1324</v>
      </c>
      <c r="B45" s="3340"/>
      <c r="C45" s="3341"/>
      <c r="D45" s="147">
        <f ca="1">ROUND(H101*F45,0)</f>
        <v>603</v>
      </c>
      <c r="E45" s="148" t="s">
        <v>1325</v>
      </c>
      <c r="F45" s="149">
        <v>1</v>
      </c>
      <c r="G45" s="150" t="s">
        <v>1326</v>
      </c>
      <c r="H45" s="121"/>
      <c r="I45" s="121"/>
      <c r="J45" s="3259" t="s">
        <v>1327</v>
      </c>
      <c r="K45" s="3259"/>
      <c r="L45" s="3259"/>
      <c r="M45" s="3259"/>
      <c r="N45" s="3259"/>
      <c r="O45" s="3259"/>
    </row>
    <row r="46" spans="1:15" ht="14.25" customHeight="1">
      <c r="A46" s="3336" t="s">
        <v>1328</v>
      </c>
      <c r="B46" s="3337"/>
      <c r="C46" s="3337"/>
      <c r="D46" s="3337"/>
      <c r="E46" s="3337"/>
      <c r="F46" s="3337"/>
      <c r="G46" s="3338"/>
      <c r="H46" s="1668"/>
      <c r="I46" s="151"/>
      <c r="J46" s="2309">
        <v>1</v>
      </c>
      <c r="K46" s="3260" t="s">
        <v>1329</v>
      </c>
      <c r="L46" s="3260"/>
      <c r="M46" s="3261"/>
      <c r="N46" s="3261"/>
      <c r="O46" s="3261"/>
    </row>
    <row r="47" spans="1:15" ht="12" customHeight="1">
      <c r="A47" s="152" t="s">
        <v>1330</v>
      </c>
      <c r="B47" s="153"/>
      <c r="C47" s="154"/>
      <c r="D47" s="1024" t="s">
        <v>1331</v>
      </c>
      <c r="E47" s="294" t="s">
        <v>1332</v>
      </c>
      <c r="F47" s="155" t="s">
        <v>1333</v>
      </c>
      <c r="G47" s="2332" t="s">
        <v>1334</v>
      </c>
      <c r="H47" s="2333"/>
      <c r="I47" s="151"/>
      <c r="J47" s="2309">
        <v>2</v>
      </c>
      <c r="K47" s="3260" t="s">
        <v>1335</v>
      </c>
      <c r="L47" s="3260"/>
      <c r="M47" s="3262">
        <f>'数据-取费表'!B2</f>
        <v>45635</v>
      </c>
      <c r="N47" s="3262"/>
      <c r="O47" s="3262"/>
    </row>
    <row r="48" spans="1:15" ht="26.4">
      <c r="A48" s="3322" t="s">
        <v>1336</v>
      </c>
      <c r="B48" s="3323"/>
      <c r="C48" s="3323"/>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1337</v>
      </c>
      <c r="H48" s="2336"/>
      <c r="I48" s="1668"/>
      <c r="J48" s="2309">
        <v>3</v>
      </c>
      <c r="K48" s="3260" t="s">
        <v>1338</v>
      </c>
      <c r="L48" s="3260"/>
      <c r="M48" s="3263">
        <f ca="1">H101</f>
        <v>603.42380000000003</v>
      </c>
      <c r="N48" s="3263"/>
      <c r="O48" s="3263"/>
    </row>
    <row r="49" spans="1:35" ht="25.5" customHeight="1">
      <c r="A49" s="2152" t="s">
        <v>1339</v>
      </c>
      <c r="B49" s="3308" t="s">
        <v>1340</v>
      </c>
      <c r="C49" s="3308"/>
      <c r="D49" s="1478">
        <v>0</v>
      </c>
      <c r="E49" s="316" t="s">
        <v>1341</v>
      </c>
      <c r="F49" s="2232" t="s">
        <v>28</v>
      </c>
      <c r="G49" s="3291"/>
      <c r="H49" s="2134" t="s">
        <v>2132</v>
      </c>
      <c r="I49" s="2135"/>
      <c r="J49" s="2309">
        <v>4</v>
      </c>
      <c r="K49" s="3260" t="str">
        <f>IF(项目基本情况!E8="房地产抵押价值","房地产抵押价值","抵押担保权已注销时的房地产抵押价值")</f>
        <v>房地产抵押价值</v>
      </c>
      <c r="L49" s="3260"/>
      <c r="M49" s="3263">
        <f ca="1">IF(项目基本情况!E8="房地产抵押价值",H107,H109)</f>
        <v>603.42380000000003</v>
      </c>
      <c r="N49" s="3263"/>
      <c r="O49" s="3263"/>
    </row>
    <row r="50" spans="1:35" ht="25.5" customHeight="1">
      <c r="A50" s="2337"/>
      <c r="B50" s="3308" t="s">
        <v>1342</v>
      </c>
      <c r="C50" s="3308"/>
      <c r="D50" s="2189"/>
      <c r="E50" s="323"/>
      <c r="F50" s="2232"/>
      <c r="G50" s="3292"/>
      <c r="H50" s="2136" t="s">
        <v>2133</v>
      </c>
      <c r="I50" s="2135"/>
      <c r="J50" s="3259" t="s">
        <v>1343</v>
      </c>
      <c r="K50" s="3259"/>
      <c r="L50" s="3259"/>
      <c r="M50" s="3259"/>
      <c r="N50" s="3259"/>
      <c r="O50" s="3259"/>
    </row>
    <row r="51" spans="1:35" ht="20.399999999999999" customHeight="1">
      <c r="A51" s="2338"/>
      <c r="B51" s="3308" t="s">
        <v>1344</v>
      </c>
      <c r="C51" s="3308"/>
      <c r="D51" s="1024"/>
      <c r="E51" s="319"/>
      <c r="F51" s="2232"/>
      <c r="G51" s="3293"/>
      <c r="H51" s="2136" t="s">
        <v>2134</v>
      </c>
      <c r="I51" s="2135"/>
      <c r="J51" s="2310" t="s">
        <v>1345</v>
      </c>
      <c r="K51" s="3260" t="s">
        <v>1346</v>
      </c>
      <c r="L51" s="3260"/>
      <c r="M51" s="2310" t="s">
        <v>1347</v>
      </c>
      <c r="N51" s="2310" t="s">
        <v>1348</v>
      </c>
      <c r="O51" s="2310" t="s">
        <v>1349</v>
      </c>
    </row>
    <row r="52" spans="1:35" ht="24" customHeight="1">
      <c r="A52" s="2153" t="s">
        <v>1350</v>
      </c>
      <c r="B52" s="3308" t="s">
        <v>1351</v>
      </c>
      <c r="C52" s="3308"/>
      <c r="D52" s="1024">
        <f ca="1">ROUND(D45*'数据-取费表'!B41/(1+'数据-取费表'!C42),0)</f>
        <v>32</v>
      </c>
      <c r="E52" s="1256" t="s">
        <v>1352</v>
      </c>
      <c r="F52" s="2339">
        <f>'数据-取费表'!B41</f>
        <v>5.5000000000000007E-2</v>
      </c>
      <c r="G52" s="2340"/>
      <c r="H52" s="2330"/>
      <c r="I52" s="1669"/>
      <c r="J52" s="2309">
        <v>1</v>
      </c>
      <c r="K52" s="3285" t="s">
        <v>1353</v>
      </c>
      <c r="L52" s="3285"/>
      <c r="M52" s="2311" t="b">
        <f>D48</f>
        <v>0</v>
      </c>
      <c r="N52" s="2309" t="str">
        <f>E48</f>
        <v>销售额×税（费）率</v>
      </c>
      <c r="O52" s="2312">
        <f>F48</f>
        <v>5.5000000000000007E-2</v>
      </c>
    </row>
    <row r="53" spans="1:35" ht="12" customHeight="1">
      <c r="A53" s="2153" t="s">
        <v>1354</v>
      </c>
      <c r="B53" s="3309" t="s">
        <v>2289</v>
      </c>
      <c r="C53" s="3310"/>
      <c r="D53" s="1024">
        <f ca="1">ROUND(D45*'数据-取费表'!B41/(1+'数据-取费表'!C42),0)</f>
        <v>32</v>
      </c>
      <c r="E53" s="1256" t="s">
        <v>1352</v>
      </c>
      <c r="F53" s="2339">
        <f>'数据-取费表'!B41</f>
        <v>5.5000000000000007E-2</v>
      </c>
      <c r="G53" s="2340"/>
      <c r="H53" s="2330"/>
      <c r="I53" s="1669"/>
      <c r="J53" s="2309">
        <v>2</v>
      </c>
      <c r="K53" s="3285" t="s">
        <v>1355</v>
      </c>
      <c r="L53" s="3285"/>
      <c r="M53" s="2311">
        <f t="shared" ref="M53:O54" ca="1" si="0">D55</f>
        <v>0</v>
      </c>
      <c r="N53" s="2309" t="str">
        <f t="shared" si="0"/>
        <v>销售额×税（费）率</v>
      </c>
      <c r="O53" s="2312" t="str">
        <f t="shared" si="0"/>
        <v>免征</v>
      </c>
    </row>
    <row r="54" spans="1:35" ht="12" customHeight="1">
      <c r="A54" s="2153" t="s">
        <v>1356</v>
      </c>
      <c r="B54" s="3309" t="s">
        <v>2290</v>
      </c>
      <c r="C54" s="3310"/>
      <c r="D54" s="1024">
        <f ca="1">C68</f>
        <v>32</v>
      </c>
      <c r="E54" s="319" t="s">
        <v>1357</v>
      </c>
      <c r="F54" s="2339">
        <f>'数据-取费表'!B41</f>
        <v>5.5000000000000007E-2</v>
      </c>
      <c r="G54" s="2340"/>
      <c r="H54" s="2341"/>
      <c r="I54" s="1669"/>
      <c r="J54" s="2309">
        <v>3</v>
      </c>
      <c r="K54" s="3285" t="s">
        <v>1358</v>
      </c>
      <c r="L54" s="3285"/>
      <c r="M54" s="2311">
        <f t="shared" ca="1" si="0"/>
        <v>342</v>
      </c>
      <c r="N54" s="2309" t="str">
        <f t="shared" si="0"/>
        <v>增值额×税（费）率</v>
      </c>
      <c r="O54" s="2313" t="str">
        <f t="shared" si="0"/>
        <v>免征</v>
      </c>
    </row>
    <row r="55" spans="1:35" ht="24" customHeight="1">
      <c r="A55" s="3345" t="s">
        <v>1359</v>
      </c>
      <c r="B55" s="3323"/>
      <c r="C55" s="3323"/>
      <c r="D55" s="12">
        <f ca="1">IF(H55="个人住宅",0,ROUND(D45*I55,0))</f>
        <v>0</v>
      </c>
      <c r="E55" s="1256" t="s">
        <v>1360</v>
      </c>
      <c r="F55" s="2339" t="str">
        <f>IF(H55="正常",I55,"免征")</f>
        <v>免征</v>
      </c>
      <c r="G55" s="2340"/>
      <c r="H55" s="2336"/>
      <c r="I55" s="157">
        <f>'数据-取费表'!B49</f>
        <v>5.0000000000000001E-4</v>
      </c>
      <c r="J55" s="2309">
        <f>IF(H59="非个人房产","",4)</f>
        <v>4</v>
      </c>
      <c r="K55" s="3285" t="str">
        <f>IF(H59="非个人房产","——","个人所得税")</f>
        <v>个人所得税</v>
      </c>
      <c r="L55" s="3285"/>
      <c r="M55" s="2314">
        <f ca="1">D59</f>
        <v>6</v>
      </c>
      <c r="N55" s="1883" t="str">
        <f>E59</f>
        <v>差额计税</v>
      </c>
      <c r="O55" s="2315">
        <f>F59</f>
        <v>0.01</v>
      </c>
    </row>
    <row r="56" spans="1:35" ht="25.2">
      <c r="A56" s="3345" t="s">
        <v>1361</v>
      </c>
      <c r="B56" s="3323"/>
      <c r="C56" s="3323"/>
      <c r="D56" s="12">
        <f ca="1">IF(H56="个人住宅",D57,D58)</f>
        <v>342</v>
      </c>
      <c r="E56" s="1256" t="s">
        <v>1362</v>
      </c>
      <c r="F56" s="2339" t="str">
        <f>IF(H56="正常",F58,"免征")</f>
        <v>免征</v>
      </c>
      <c r="G56" s="2342" t="s">
        <v>1363</v>
      </c>
      <c r="H56" s="2343"/>
      <c r="I56" s="1670"/>
      <c r="J56" s="2309" t="str">
        <f>IF(项目基本情况!K6="上海银行",IF(J55="",4,J55+1),"")</f>
        <v/>
      </c>
      <c r="K56" s="3266" t="str">
        <f>IF(项目基本情况!K6="上海银行","其他处置费用","")</f>
        <v/>
      </c>
      <c r="L56" s="3267"/>
      <c r="M56" s="2311" t="str">
        <f>IF(项目基本情况!K6="上海银行",M69,"")</f>
        <v/>
      </c>
      <c r="N56" s="3266" t="str">
        <f>IF(项目基本情况!K6="上海银行","包含处置中涉及的律师、诉讼、拍卖、评估等费用","")</f>
        <v/>
      </c>
      <c r="O56" s="3269"/>
    </row>
    <row r="57" spans="1:35" ht="13.2">
      <c r="A57" s="2153" t="s">
        <v>1339</v>
      </c>
      <c r="B57" s="3309" t="s">
        <v>1364</v>
      </c>
      <c r="C57" s="3310"/>
      <c r="D57" s="1478">
        <v>0</v>
      </c>
      <c r="E57" s="316" t="s">
        <v>1341</v>
      </c>
      <c r="F57" s="294"/>
      <c r="G57" s="2340"/>
      <c r="H57" s="2344"/>
      <c r="I57" s="1670"/>
      <c r="J57" s="3285">
        <f>IF(AND(J55="",J56=""),4,IF(项目基本情况!K6="上海银行",'56号结果表'!J56+1,'56号结果表'!J55+1))</f>
        <v>5</v>
      </c>
      <c r="K57" s="3285" t="s">
        <v>1365</v>
      </c>
      <c r="L57" s="2316" t="s">
        <v>1366</v>
      </c>
      <c r="M57" s="2317"/>
      <c r="N57" s="2318">
        <f ca="1">SUMIF(M52:M56,"&lt;9e307")</f>
        <v>348</v>
      </c>
      <c r="O57" s="2319"/>
      <c r="P57" s="2463">
        <f ca="1">N57/M49</f>
        <v>0.5767091056070377</v>
      </c>
    </row>
    <row r="58" spans="1:35" ht="25.2">
      <c r="A58" s="2153" t="s">
        <v>1350</v>
      </c>
      <c r="B58" s="3309" t="s">
        <v>1367</v>
      </c>
      <c r="C58" s="3308"/>
      <c r="D58" s="12">
        <f ca="1">IF(H58="转让取得",C81,C97)</f>
        <v>342</v>
      </c>
      <c r="E58" s="1256" t="s">
        <v>1362</v>
      </c>
      <c r="F58" s="294" t="s">
        <v>28</v>
      </c>
      <c r="G58" s="2340"/>
      <c r="H58" s="2343"/>
      <c r="I58" s="1670"/>
      <c r="J58" s="3285"/>
      <c r="K58" s="3285"/>
      <c r="L58" s="2316" t="s">
        <v>1368</v>
      </c>
      <c r="M58" s="2320"/>
      <c r="N58" s="2321" t="str">
        <f ca="1">NUMBERSTRING(INT(N57*10000),2)&amp;"元整"</f>
        <v>叁佰肆拾捌万元整</v>
      </c>
      <c r="O58" s="2322"/>
    </row>
    <row r="59" spans="1:35" ht="24.6" thickBot="1">
      <c r="A59" s="3289" t="s">
        <v>1369</v>
      </c>
      <c r="B59" s="3290"/>
      <c r="C59" s="3290"/>
      <c r="D59" s="2345">
        <f ca="1">IF(H59="非个人房产","——",IF(H59="个人住宅（满五唯一有凭证）",0,IF(H59="个人其他（无凭证）",ROUND(D45*F59,0),ROUND(C67*F59,0))))</f>
        <v>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1363</v>
      </c>
      <c r="H59" s="2138"/>
      <c r="I59" s="2137" t="s">
        <v>2135</v>
      </c>
      <c r="J59" s="3287">
        <f>J57+1</f>
        <v>6</v>
      </c>
      <c r="K59" s="3285" t="s">
        <v>1370</v>
      </c>
      <c r="L59" s="2309" t="s">
        <v>1366</v>
      </c>
      <c r="M59" s="2323"/>
      <c r="N59" s="2324">
        <f ca="1">M49-N57</f>
        <v>255.42380000000003</v>
      </c>
      <c r="O59" s="2325"/>
    </row>
    <row r="60" spans="1:35" ht="12" customHeight="1">
      <c r="A60" s="1671"/>
      <c r="B60" s="646"/>
      <c r="C60" s="646"/>
      <c r="D60" s="646"/>
      <c r="E60" s="1466"/>
      <c r="F60" s="1670"/>
      <c r="G60" s="1670"/>
      <c r="H60" s="151"/>
      <c r="I60" s="121"/>
      <c r="J60" s="3288"/>
      <c r="K60" s="3285"/>
      <c r="L60" s="2316" t="s">
        <v>1368</v>
      </c>
      <c r="M60" s="2320"/>
      <c r="N60" s="2321" t="str">
        <f ca="1">NUMBERSTRING(INT(N59*10000),2)&amp;"元整"</f>
        <v>贰佰伍拾伍万肆仟贰佰叁拾捌元整</v>
      </c>
      <c r="O60" s="2322"/>
    </row>
    <row r="61" spans="1:35" ht="13.8" thickBot="1">
      <c r="A61" s="3344" t="s">
        <v>1371</v>
      </c>
      <c r="B61" s="3344"/>
      <c r="C61" s="3344"/>
      <c r="D61" s="3344"/>
      <c r="E61" s="3344"/>
      <c r="F61" s="1670"/>
      <c r="G61" s="1670"/>
      <c r="H61" s="151"/>
      <c r="I61" s="121"/>
      <c r="J61" s="2309">
        <f>J59+1</f>
        <v>7</v>
      </c>
      <c r="K61" s="3285" t="s">
        <v>1372</v>
      </c>
      <c r="L61" s="3285"/>
      <c r="M61" s="2326"/>
      <c r="N61" s="2327">
        <f ca="1">ROUND(N59*10000/'数据-汇总表'!E3,0)</f>
        <v>5327</v>
      </c>
      <c r="O61" s="2328"/>
    </row>
    <row r="62" spans="1:35" ht="13.2">
      <c r="A62" s="3304" t="s">
        <v>1373</v>
      </c>
      <c r="B62" s="3305"/>
      <c r="C62" s="1865"/>
      <c r="D62" s="1865" t="s">
        <v>1374</v>
      </c>
      <c r="E62" s="158" t="s">
        <v>1375</v>
      </c>
      <c r="F62" s="1670"/>
      <c r="G62" s="1670"/>
      <c r="H62" s="151"/>
      <c r="I62" s="121"/>
    </row>
    <row r="63" spans="1:35" ht="13.2">
      <c r="A63" s="165" t="s">
        <v>330</v>
      </c>
      <c r="B63" s="159" t="s">
        <v>1376</v>
      </c>
      <c r="C63" s="2349">
        <f ca="1">ROUND((C64+C65)/(1+'数据-取费表'!C42),0)</f>
        <v>574</v>
      </c>
      <c r="D63" s="159"/>
      <c r="E63" s="160"/>
      <c r="F63" s="1670"/>
      <c r="G63" s="1670"/>
      <c r="H63" s="151"/>
      <c r="I63" s="121"/>
      <c r="J63" s="3268" t="s">
        <v>1377</v>
      </c>
      <c r="K63" s="1245" t="s">
        <v>1378</v>
      </c>
      <c r="L63" s="1245">
        <f ca="1">IF(M49&gt;10000,M49*0.5%,IF(AND(M49&gt;1000,M49&lt;=10000),M49*1%,IF(AND(M49&gt;100,M49&lt;=1000),M49*3%,IF(AND(M49&gt;10,M49&lt;=100),M49*5%,M49*8%))))</f>
        <v>18.102713999999999</v>
      </c>
      <c r="M63" s="294">
        <f ca="1">ROUND(L63,1)</f>
        <v>18.100000000000001</v>
      </c>
      <c r="N63" s="2329"/>
      <c r="Z63" s="1623"/>
      <c r="AI63" s="1561"/>
    </row>
    <row r="64" spans="1:35" ht="14.25" customHeight="1">
      <c r="A64" s="161" t="s">
        <v>325</v>
      </c>
      <c r="B64" s="162" t="s">
        <v>1379</v>
      </c>
      <c r="C64" s="2350">
        <f ca="1">D45</f>
        <v>603</v>
      </c>
      <c r="D64" s="162" t="s">
        <v>26</v>
      </c>
      <c r="E64" s="164"/>
      <c r="F64" s="1670"/>
      <c r="G64" s="1670"/>
      <c r="H64" s="151"/>
      <c r="I64" s="121"/>
      <c r="J64" s="3268"/>
      <c r="K64" s="1245" t="s">
        <v>1380</v>
      </c>
      <c r="L64" s="1245">
        <f ca="1">IF(M49&gt;2000,M49*0.5%,IF(AND(M49&gt;1000,M49&lt;=2000),M49*0.6%,IF(AND(M49&gt;500,M49&lt;=1000),M49*0.7%,IF(AND(M49&gt;200,M49&lt;=500),M49*0.8%,IF(AND(M49&gt;100,M49&lt;=200),M49*0.9%,IF(AND(M49&gt;50,M49&lt;=100),M49*1%,IF(AND(M49&gt;20,M49&lt;=50),M49*1.5%,IF(AND(M49&gt;10,M49&lt;=20),M49*2%,IF(AND(M49&gt;1,M49&lt;=10),M49*2.5%)))))))))</f>
        <v>4.2239665999999998</v>
      </c>
      <c r="M64" s="294">
        <f t="shared" ref="M64:M65" ca="1" si="1">ROUND(L64,1)</f>
        <v>4.2</v>
      </c>
      <c r="N64" s="2330" t="s">
        <v>1381</v>
      </c>
      <c r="Z64" s="1623"/>
      <c r="AI64" s="1561"/>
    </row>
    <row r="65" spans="1:35" ht="14.25" customHeight="1">
      <c r="A65" s="161" t="s">
        <v>326</v>
      </c>
      <c r="B65" s="162" t="s">
        <v>1382</v>
      </c>
      <c r="C65" s="2351"/>
      <c r="D65" s="162"/>
      <c r="E65" s="164"/>
      <c r="F65" s="1670"/>
      <c r="G65" s="1670"/>
      <c r="H65" s="151"/>
      <c r="I65" s="121"/>
      <c r="J65" s="3268"/>
      <c r="K65" s="1245" t="s">
        <v>1383</v>
      </c>
      <c r="L65" s="1245">
        <f ca="1">IF(M49&gt;1000,M49*0.1%,IF(AND(M49&gt;500,M49&lt;=1000),M49*0.5%,IF(AND(M49&gt;50,M49&lt;=500),M49*1%,IF(AND(M49&gt;1,M49&lt;=50),M49*1.5%))))</f>
        <v>3.0171190000000001</v>
      </c>
      <c r="M65" s="294">
        <f t="shared" ca="1" si="1"/>
        <v>3</v>
      </c>
      <c r="N65" s="2330" t="s">
        <v>1381</v>
      </c>
      <c r="Z65" s="1623"/>
      <c r="AI65" s="1561"/>
    </row>
    <row r="66" spans="1:35" ht="14.25" customHeight="1">
      <c r="A66" s="165" t="s">
        <v>327</v>
      </c>
      <c r="B66" s="166" t="s">
        <v>1384</v>
      </c>
      <c r="C66" s="2352"/>
      <c r="D66" s="166" t="s">
        <v>26</v>
      </c>
      <c r="E66" s="1251" t="s">
        <v>670</v>
      </c>
      <c r="F66" s="1670"/>
      <c r="G66" s="1670"/>
      <c r="H66" s="151"/>
      <c r="I66" s="121"/>
      <c r="J66" s="3268"/>
      <c r="K66" s="1245" t="s">
        <v>1385</v>
      </c>
      <c r="L66" s="1245">
        <f ca="1">M49*0.5%</f>
        <v>3.0171190000000001</v>
      </c>
      <c r="M66" s="294">
        <f ca="1">IF(L66&gt;0.5,0.5,ROUND(L66,0))</f>
        <v>0.5</v>
      </c>
      <c r="N66" s="2330" t="s">
        <v>1386</v>
      </c>
      <c r="Z66" s="1623"/>
      <c r="AI66" s="1561"/>
    </row>
    <row r="67" spans="1:35" ht="14.25" customHeight="1">
      <c r="A67" s="165" t="s">
        <v>328</v>
      </c>
      <c r="B67" s="166" t="s">
        <v>1387</v>
      </c>
      <c r="C67" s="2353">
        <f ca="1">C63-C66</f>
        <v>574</v>
      </c>
      <c r="D67" s="162" t="s">
        <v>26</v>
      </c>
      <c r="E67" s="164"/>
      <c r="F67" s="1670"/>
      <c r="G67" s="1670"/>
      <c r="H67" s="151"/>
      <c r="I67" s="121"/>
      <c r="J67" s="3268"/>
      <c r="K67" s="1245" t="s">
        <v>1388</v>
      </c>
      <c r="L67" s="1245">
        <f ca="1">IF(M49&gt;=10000,(8.25+(M49-10000)*0.01%),IF(AND(M49&gt;=8000,M49&lt;10000),(7.85+(M49-8000)*0.02%),IF(AND(M49&gt;=5000,M49&lt;8000),(6.65+(M49-5000)*0.04%),IF(AND(M49&gt;=2000,M49&lt;5000),(4.25+(PM49-2000)*0.08%),IF(AND(M49&gt;=1000,M49&lt;2000),(2.75+(M49-1000)*0.15%),IF(AND(M49&gt;=100,M49&lt;1000),(0.5+(M49-100)*0.25%),IF(AND(M49&gt;0,M49&lt;100),M49*0.5%)))))))</f>
        <v>1.7585595000000001</v>
      </c>
      <c r="M67" s="294">
        <f ca="1">ROUND(L67*0.9,1)</f>
        <v>1.6</v>
      </c>
      <c r="N67" s="2329"/>
      <c r="Z67" s="1623"/>
      <c r="AI67" s="1561"/>
    </row>
    <row r="68" spans="1:35" ht="14.25" customHeight="1" thickBot="1">
      <c r="A68" s="168" t="s">
        <v>329</v>
      </c>
      <c r="B68" s="169" t="s">
        <v>1389</v>
      </c>
      <c r="C68" s="2354">
        <f ca="1">IF(C67&lt;=0,0,ROUND(C67*D68,0))</f>
        <v>32</v>
      </c>
      <c r="D68" s="2355">
        <f>'数据-取费表'!B41</f>
        <v>5.5000000000000007E-2</v>
      </c>
      <c r="E68" s="170"/>
      <c r="F68" s="1670"/>
      <c r="G68" s="1670"/>
      <c r="H68" s="151"/>
      <c r="I68" s="121"/>
      <c r="J68" s="3268"/>
      <c r="K68" s="1245" t="s">
        <v>1390</v>
      </c>
      <c r="L68" s="1245">
        <f ca="1">IF(M49&gt;10000,M49*0.5%,IF(AND(M49&gt;5000,M49&lt;=10000),M49*1%,IF(AND(M49&gt;1000,M49&lt;=5000),M49*2%,IF(AND(M49&gt;200,M49&lt;=1000),M49*3%,M49*5%))))</f>
        <v>18.102713999999999</v>
      </c>
      <c r="M68" s="294">
        <f ca="1">ROUND(L68,1)</f>
        <v>18.100000000000001</v>
      </c>
      <c r="N68" s="2329"/>
      <c r="Z68" s="1623"/>
      <c r="AI68" s="1561"/>
    </row>
    <row r="69" spans="1:35" ht="16.5" customHeight="1">
      <c r="A69" s="1672"/>
      <c r="B69" s="1673"/>
      <c r="C69" s="1674"/>
      <c r="D69" s="1675"/>
      <c r="E69" s="1676"/>
      <c r="F69" s="1466"/>
      <c r="G69" s="1466"/>
      <c r="H69" s="1467"/>
      <c r="I69" s="646"/>
      <c r="J69" s="3268"/>
      <c r="K69" s="1245" t="s">
        <v>1391</v>
      </c>
      <c r="L69" s="1245"/>
      <c r="M69" s="294">
        <f ca="1">ROUND(SUM(M63:M68),0)</f>
        <v>46</v>
      </c>
      <c r="N69" s="2331">
        <f ca="1">M69/M49</f>
        <v>7.6231663384838319E-2</v>
      </c>
      <c r="Z69" s="1623"/>
      <c r="AI69" s="1561"/>
    </row>
    <row r="70" spans="1:35" s="642" customFormat="1" ht="14.4" thickBot="1">
      <c r="A70" s="3312" t="s">
        <v>1392</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4" t="s">
        <v>1373</v>
      </c>
      <c r="B71" s="3305"/>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1393</v>
      </c>
      <c r="C72" s="2353">
        <f ca="1">ROUND(D45/(1+'数据-取费表'!C42),0)</f>
        <v>574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1394</v>
      </c>
      <c r="C73" s="2353">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1396</v>
      </c>
      <c r="C75" s="2356"/>
      <c r="D75" s="162" t="s">
        <v>26</v>
      </c>
      <c r="E75" s="176" t="s">
        <v>1397</v>
      </c>
      <c r="F75" s="2357"/>
      <c r="G75" s="176" t="s">
        <v>1398</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59">
        <v>0.05</v>
      </c>
      <c r="E76" s="3309" t="s">
        <v>1400</v>
      </c>
      <c r="F76" s="3308"/>
      <c r="G76" s="3308"/>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0">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1">
        <f ca="1">ROUND(D45*D78/(1+'数据-取费表'!C42),0)</f>
        <v>3</v>
      </c>
      <c r="D78" s="2362">
        <f>'数据-取费表'!B43</f>
        <v>5.000000000000001E-3</v>
      </c>
      <c r="E78" s="3301" t="s">
        <v>1404</v>
      </c>
      <c r="F78" s="3302"/>
      <c r="G78" s="3302"/>
      <c r="H78" s="330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1405</v>
      </c>
      <c r="C79" s="2353">
        <f ca="1">C72-C73</f>
        <v>571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3">
        <f ca="1">IF(C79&lt;=0,0,C79/C73)</f>
        <v>190.33333333333334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1407</v>
      </c>
      <c r="C81" s="2364">
        <f ca="1">ROUND(IF(C79&lt;=0,0,IF(C80&gt;=200%,C79*60%-C73*35%,IF(C80&gt;=100%,C79*50%-C73*15%,IF(C80&gt;=50%,C79*40%-C73*5%,IF(C80&lt;50%,C79*30%,0))))),0)</f>
        <v>342</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2" t="s">
        <v>1408</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4" t="s">
        <v>1373</v>
      </c>
      <c r="B84" s="3305"/>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1393</v>
      </c>
      <c r="C85" s="2353">
        <f ca="1">ROUND(D45/(1+'数据-取费表'!C42),0)</f>
        <v>574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1394</v>
      </c>
      <c r="C86" s="2353">
        <f ca="1">IF(H88="仅含出让金",C87+C90+C91+C92+C93+C94,C87+C91+C92+C93+C94)</f>
        <v>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1409</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1410</v>
      </c>
      <c r="C88" s="2367"/>
      <c r="D88" s="2362"/>
      <c r="E88" s="185" t="s">
        <v>1411</v>
      </c>
      <c r="F88" s="2148"/>
      <c r="G88" s="186" t="s">
        <v>1412</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1401</v>
      </c>
      <c r="C89" s="2361">
        <f>ROUND(C88*D89,0)</f>
        <v>0</v>
      </c>
      <c r="D89" s="2362">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1414</v>
      </c>
      <c r="C90" s="2367"/>
      <c r="D90" s="2362"/>
      <c r="E90" s="185" t="str">
        <f>IF(H88="-","土地取得成本中已包含该笔费用"," ")</f>
        <v xml:space="preserve"> </v>
      </c>
      <c r="F90" s="2148"/>
      <c r="G90" s="3270" t="s">
        <v>2127</v>
      </c>
      <c r="H90" s="3271"/>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1">
        <f>IF(H91="——",成本法!C33,I91)</f>
        <v>0</v>
      </c>
      <c r="D91" s="2362"/>
      <c r="E91" s="3301" t="s">
        <v>1417</v>
      </c>
      <c r="F91" s="3302"/>
      <c r="G91" s="330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1">
        <f>ROUND((C87+C90+C91)*D92,0)</f>
        <v>0</v>
      </c>
      <c r="D92" s="2368"/>
      <c r="E92" s="3301" t="s">
        <v>1420</v>
      </c>
      <c r="F92" s="3302"/>
      <c r="G92" s="3302"/>
      <c r="H92" s="3303"/>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1">
        <f ca="1">ROUND(D45*D93/(1+'数据-取费表'!C42),0)</f>
        <v>3</v>
      </c>
      <c r="D93" s="2362">
        <f>'数据-取费表'!B43</f>
        <v>5.000000000000001E-3</v>
      </c>
      <c r="E93" s="3301" t="s">
        <v>1404</v>
      </c>
      <c r="F93" s="3302"/>
      <c r="G93" s="3302"/>
      <c r="H93" s="330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7">
        <f>ROUND((C87+C90+C91)*D94,0)</f>
        <v>0</v>
      </c>
      <c r="D94" s="2362">
        <v>0.2</v>
      </c>
      <c r="E94" s="3346" t="s">
        <v>1424</v>
      </c>
      <c r="F94" s="3347"/>
      <c r="G94" s="3347"/>
      <c r="H94" s="334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1405</v>
      </c>
      <c r="C95" s="2353">
        <f ca="1">ROUND(C85-C86,0)</f>
        <v>571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3">
        <f ca="1">IF(C95&lt;=0,0,C95/C86)</f>
        <v>190.33333333333334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1407</v>
      </c>
      <c r="C97" s="2364">
        <f ca="1">ROUND(IF(C95&lt;=0,0,IF(C96&gt;=200%,C95*60%-C86*35%,IF(C96&gt;=100%,C95*50%-C86*15%,IF(C96&gt;=50%,C95*40%-C86*5%,IF(C96&lt;50%,C95*30%,0))))),0)</f>
        <v>342</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251" t="s">
        <v>1426</v>
      </c>
      <c r="B100" s="3252"/>
      <c r="C100" s="3252"/>
      <c r="D100" s="3286"/>
      <c r="E100" s="3252" t="s">
        <v>1427</v>
      </c>
      <c r="F100" s="3252"/>
      <c r="G100" s="3252"/>
      <c r="H100" s="3286"/>
      <c r="I100" s="121"/>
    </row>
    <row r="101" spans="1:35" ht="18.75" customHeight="1">
      <c r="A101" s="3294" t="s">
        <v>1428</v>
      </c>
      <c r="B101" s="3295"/>
      <c r="C101" s="2370" t="str">
        <f>C4</f>
        <v>56号比较法-商业</v>
      </c>
      <c r="D101" s="2371" t="str">
        <f>D4</f>
        <v>56号收益法 (元)</v>
      </c>
      <c r="E101" s="3264" t="s">
        <v>1429</v>
      </c>
      <c r="F101" s="3265"/>
      <c r="G101" s="1687" t="s">
        <v>1430</v>
      </c>
      <c r="H101" s="2380">
        <f ca="1">H118</f>
        <v>603.42380000000003</v>
      </c>
      <c r="I101" s="121"/>
    </row>
    <row r="102" spans="1:35" ht="18.75" customHeight="1">
      <c r="A102" s="3296" t="s">
        <v>1431</v>
      </c>
      <c r="B102" s="2369" t="s">
        <v>1430</v>
      </c>
      <c r="C102" s="2370">
        <f ca="1">IF(D32="楼面单价",ROUND(C19,0),C19)</f>
        <v>697</v>
      </c>
      <c r="D102" s="2371">
        <f ca="1">IF(D32="楼面单价",ROUND(D19,0),D19)</f>
        <v>385</v>
      </c>
      <c r="E102" s="3264"/>
      <c r="F102" s="3265"/>
      <c r="G102" s="1687" t="s">
        <v>1432</v>
      </c>
      <c r="H102" s="2340">
        <f ca="1">I118</f>
        <v>35040</v>
      </c>
      <c r="I102" s="121"/>
    </row>
    <row r="103" spans="1:35" ht="42.75" customHeight="1">
      <c r="A103" s="3296"/>
      <c r="B103" s="2369" t="s">
        <v>1432</v>
      </c>
      <c r="C103" s="2372">
        <f ca="1">C20</f>
        <v>40485</v>
      </c>
      <c r="D103" s="2373">
        <f ca="1">D20</f>
        <v>22334</v>
      </c>
      <c r="E103" s="3257" t="s">
        <v>1433</v>
      </c>
      <c r="F103" s="3258"/>
      <c r="G103" s="1688" t="s">
        <v>1434</v>
      </c>
      <c r="H103" s="2380">
        <f>IF(D36="正常操作",H104+H105+H106,H105+H106)</f>
        <v>0</v>
      </c>
      <c r="I103" s="121"/>
    </row>
    <row r="104" spans="1:35" ht="18.75" customHeight="1">
      <c r="A104" s="3296" t="s">
        <v>1435</v>
      </c>
      <c r="B104" s="2374" t="s">
        <v>1430</v>
      </c>
      <c r="C104" s="2375">
        <f ca="1">H118</f>
        <v>603.42380000000003</v>
      </c>
      <c r="D104" s="2376"/>
      <c r="E104" s="1555" t="s">
        <v>1436</v>
      </c>
      <c r="F104" s="1548"/>
      <c r="G104" s="1688" t="s">
        <v>1434</v>
      </c>
      <c r="H104" s="2381">
        <f>IF(D36="同一抵押权人同一抵押物续贷",C36&amp;"（续贷，未扣减，详见特别提示）",C36)</f>
        <v>0</v>
      </c>
      <c r="I104" s="121"/>
    </row>
    <row r="105" spans="1:35" ht="18.75" customHeight="1" thickBot="1">
      <c r="A105" s="3306"/>
      <c r="B105" s="2377" t="s">
        <v>1432</v>
      </c>
      <c r="C105" s="2378">
        <f ca="1">I118</f>
        <v>35040</v>
      </c>
      <c r="D105" s="2379"/>
      <c r="E105" s="1555" t="s">
        <v>1437</v>
      </c>
      <c r="F105" s="1548"/>
      <c r="G105" s="1688" t="s">
        <v>1434</v>
      </c>
      <c r="H105" s="2382">
        <f>C37</f>
        <v>0</v>
      </c>
      <c r="I105" s="121"/>
    </row>
    <row r="106" spans="1:35" ht="18.75" customHeight="1">
      <c r="A106" s="646" t="s">
        <v>1438</v>
      </c>
      <c r="B106" s="646"/>
      <c r="C106" s="646"/>
      <c r="D106" s="646"/>
      <c r="E106" s="1689" t="s">
        <v>1439</v>
      </c>
      <c r="F106" s="1548"/>
      <c r="G106" s="1688" t="s">
        <v>1434</v>
      </c>
      <c r="H106" s="2382">
        <f>C38</f>
        <v>0</v>
      </c>
      <c r="I106" s="121"/>
    </row>
    <row r="107" spans="1:35" ht="18.75" customHeight="1">
      <c r="A107" s="121"/>
      <c r="B107" s="121"/>
      <c r="C107" s="121"/>
      <c r="D107" s="121"/>
      <c r="E107" s="3297" t="str">
        <f>IF(项目基本情况!E8="已注销","——","3.房地产抵押价值")</f>
        <v>3.房地产抵押价值</v>
      </c>
      <c r="F107" s="3265"/>
      <c r="G107" s="1687" t="s">
        <v>1430</v>
      </c>
      <c r="H107" s="2380">
        <f ca="1">IF(E107="——","——",H101-H103)</f>
        <v>603.42380000000003</v>
      </c>
      <c r="I107" s="121"/>
    </row>
    <row r="108" spans="1:35" ht="18.75" customHeight="1">
      <c r="A108" s="121"/>
      <c r="B108" s="121"/>
      <c r="C108" s="121"/>
      <c r="D108" s="121"/>
      <c r="E108" s="3297"/>
      <c r="F108" s="3265"/>
      <c r="G108" s="1687" t="s">
        <v>1432</v>
      </c>
      <c r="H108" s="2340">
        <f ca="1">IF(H107=H101,H102,ROUND(H107*10000/'数据-汇总表'!E3,0))</f>
        <v>35040</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65"/>
      <c r="G109" s="1687" t="s">
        <v>1430</v>
      </c>
      <c r="H109" s="2383" t="str">
        <f>IF(E109="——","——",H101-H105-H106)</f>
        <v>——</v>
      </c>
      <c r="I109" s="121"/>
    </row>
    <row r="110" spans="1:35" ht="18.75" customHeight="1">
      <c r="A110" s="121"/>
      <c r="B110" s="121"/>
      <c r="C110" s="121"/>
      <c r="D110" s="121"/>
      <c r="E110" s="3297"/>
      <c r="F110" s="3265"/>
      <c r="G110" s="1687" t="s">
        <v>1432</v>
      </c>
      <c r="H110" s="2340" t="str">
        <f>IF(H109="——","——",ROUND(H109*10000/'数据-汇总表'!E3,0))</f>
        <v>——</v>
      </c>
      <c r="I110" s="121"/>
    </row>
    <row r="111" spans="1:35" ht="18.75" customHeight="1">
      <c r="A111" s="121"/>
      <c r="B111" s="121"/>
      <c r="C111" s="121"/>
      <c r="D111" s="121"/>
      <c r="E111" s="3298" t="str">
        <f>IF(项目基本情况!E9="抵押净值",IF(OR(项目基本情况!E8="已注销",项目基本情况!E8="房地产抵押价值"),"4.抵押净值","5.抵押净值"),"——")</f>
        <v>——</v>
      </c>
      <c r="F111" s="3284"/>
      <c r="G111" s="1687" t="s">
        <v>1430</v>
      </c>
      <c r="H111" s="2380" t="str">
        <f>IF(E111="——","——",N59)</f>
        <v>——</v>
      </c>
      <c r="I111" s="121"/>
    </row>
    <row r="112" spans="1:35" ht="18.75" customHeight="1" thickBot="1">
      <c r="A112" s="121"/>
      <c r="B112" s="121"/>
      <c r="C112" s="121"/>
      <c r="D112" s="121"/>
      <c r="E112" s="3299"/>
      <c r="F112" s="3300"/>
      <c r="G112" s="1690" t="s">
        <v>1432</v>
      </c>
      <c r="H112" s="2384" t="str">
        <f>IF(E111="——","——",N61)</f>
        <v>——</v>
      </c>
      <c r="I112" s="121"/>
    </row>
    <row r="113" spans="1:27" ht="18.75" customHeight="1">
      <c r="A113" s="121"/>
      <c r="B113" s="121"/>
      <c r="C113" s="121"/>
      <c r="D113" s="121"/>
      <c r="E113" s="3307" t="s">
        <v>1438</v>
      </c>
      <c r="F113" s="3307"/>
      <c r="G113" s="3307"/>
      <c r="H113" s="3307"/>
      <c r="I113" s="121"/>
    </row>
    <row r="114" spans="1:27" ht="3.75" customHeight="1">
      <c r="A114" s="646"/>
      <c r="B114" s="646"/>
      <c r="C114" s="646"/>
      <c r="D114" s="646"/>
      <c r="E114" s="1671"/>
      <c r="F114" s="1671"/>
      <c r="G114" s="1671"/>
      <c r="H114" s="1671"/>
      <c r="I114" s="646"/>
    </row>
    <row r="115" spans="1:27" ht="18.75" customHeight="1">
      <c r="A115" s="3315" t="s">
        <v>1440</v>
      </c>
      <c r="B115" s="3316"/>
      <c r="C115" s="3316"/>
      <c r="D115" s="3316"/>
      <c r="E115" s="3316"/>
      <c r="F115" s="3316"/>
      <c r="G115" s="3316"/>
      <c r="H115" s="3316"/>
      <c r="I115" s="3317"/>
    </row>
    <row r="116" spans="1:27" ht="27" customHeight="1">
      <c r="A116" s="3272" t="s">
        <v>1441</v>
      </c>
      <c r="B116" s="3276" t="s">
        <v>1442</v>
      </c>
      <c r="C116" s="3276" t="s">
        <v>1443</v>
      </c>
      <c r="D116" s="3282" t="s">
        <v>1444</v>
      </c>
      <c r="E116" s="3283"/>
      <c r="F116" s="3314" t="s">
        <v>1445</v>
      </c>
      <c r="G116" s="3314"/>
      <c r="H116" s="3272" t="s">
        <v>1446</v>
      </c>
      <c r="I116" s="3272"/>
    </row>
    <row r="117" spans="1:27" ht="18.75" customHeight="1">
      <c r="A117" s="3272"/>
      <c r="B117" s="3277"/>
      <c r="C117" s="3277"/>
      <c r="D117" s="2150" t="s">
        <v>1447</v>
      </c>
      <c r="E117" s="2150" t="s">
        <v>1448</v>
      </c>
      <c r="F117" s="2150" t="s">
        <v>1447</v>
      </c>
      <c r="G117" s="2150" t="s">
        <v>1449</v>
      </c>
      <c r="H117" s="2150" t="s">
        <v>1447</v>
      </c>
      <c r="I117" s="2150" t="s">
        <v>1449</v>
      </c>
    </row>
    <row r="118" spans="1:27" ht="24.75" customHeight="1">
      <c r="A118" s="2385" t="str">
        <f>项目基本情况!S2</f>
        <v>北京市大兴区兴丰街（二段）36-60号（双号）2幢1至2层42、54、56号房地产</v>
      </c>
      <c r="B118" s="2150">
        <f>M18</f>
        <v>172.21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603.42380000000003</v>
      </c>
      <c r="I118" s="2150">
        <f ca="1">ROUND(IF(D32="楼面单价",C32,H118*10000/B118),0)</f>
        <v>35040</v>
      </c>
    </row>
    <row r="119" spans="1:27" ht="18.75" customHeight="1">
      <c r="A119" s="3272" t="s">
        <v>1450</v>
      </c>
      <c r="B119" s="3272"/>
      <c r="C119" s="3272"/>
      <c r="D119" s="3278" t="str">
        <f>NUMBERSTRING(INT(D118*10000),2)&amp;"元整"</f>
        <v>零元整</v>
      </c>
      <c r="E119" s="3279"/>
      <c r="F119" s="3278" t="str">
        <f>NUMBERSTRING(INT(F118*10000),2)&amp;"元整"</f>
        <v>零元整</v>
      </c>
      <c r="G119" s="3279"/>
      <c r="H119" s="3278" t="str">
        <f ca="1">NUMBERSTRING(INT(H118*10000),2)&amp;"元整"</f>
        <v>陆佰零叁万肆仟贰佰叁拾捌元整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8" t="s">
        <v>1450</v>
      </c>
      <c r="B121" s="3280"/>
      <c r="C121" s="3279"/>
      <c r="D121" s="3278" t="str">
        <f>IF(D120=0,"零元整",NUMBERSTRING(INT(D120*10000),2)&amp;"元整")</f>
        <v>零元整</v>
      </c>
      <c r="E121" s="3280"/>
      <c r="F121" s="3280"/>
      <c r="G121" s="3280"/>
      <c r="H121" s="3280"/>
      <c r="I121" s="3279"/>
      <c r="AA121" s="684"/>
    </row>
    <row r="122" spans="1:27" ht="18.75" customHeight="1">
      <c r="A122" s="3284" t="str">
        <f>IF(项目基本情况!B9="房地产市场价值","",MID(E107,3,LEN(E107)-2))</f>
        <v>房地产抵押价值</v>
      </c>
      <c r="B122" s="3284"/>
      <c r="C122" s="3284"/>
      <c r="D122" s="3273">
        <f ca="1">H107</f>
        <v>603.42380000000003</v>
      </c>
      <c r="E122" s="3274"/>
      <c r="F122" s="3274"/>
      <c r="G122" s="3274"/>
      <c r="H122" s="3274"/>
      <c r="I122" s="3275"/>
      <c r="AA122" s="684"/>
    </row>
    <row r="123" spans="1:27" ht="18.75" customHeight="1">
      <c r="A123" s="3272" t="s">
        <v>1450</v>
      </c>
      <c r="B123" s="3272"/>
      <c r="C123" s="3272"/>
      <c r="D123" s="3278" t="str">
        <f ca="1">NUMBERSTRING(INT(D122*10000),2)&amp;"元整"</f>
        <v>陆佰零叁万肆仟贰佰叁拾捌元整</v>
      </c>
      <c r="E123" s="3280"/>
      <c r="F123" s="3280"/>
      <c r="G123" s="3280"/>
      <c r="H123" s="3280"/>
      <c r="I123" s="3279"/>
      <c r="AA123" s="684"/>
    </row>
    <row r="124" spans="1:27" ht="18.75" customHeight="1">
      <c r="A124" s="3284" t="str">
        <f>IF(项目基本情况!B9="房地产市场价值","",MID(E109,3,LEN(E109)-2))</f>
        <v/>
      </c>
      <c r="B124" s="3284"/>
      <c r="C124" s="3284"/>
      <c r="D124" s="3273" t="str">
        <f>H109</f>
        <v>——</v>
      </c>
      <c r="E124" s="3274"/>
      <c r="F124" s="3274"/>
      <c r="G124" s="3274"/>
      <c r="H124" s="3274"/>
      <c r="I124" s="3275"/>
      <c r="AA124" s="684"/>
    </row>
    <row r="125" spans="1:27" ht="18.75" customHeight="1">
      <c r="A125" s="3272" t="s">
        <v>1450</v>
      </c>
      <c r="B125" s="3272"/>
      <c r="C125" s="3272"/>
      <c r="D125" s="3278" t="e">
        <f>NUMBERSTRING(INT(D124*10000),2)&amp;"元整"</f>
        <v>#VALUE!</v>
      </c>
      <c r="E125" s="3280"/>
      <c r="F125" s="3280"/>
      <c r="G125" s="3280"/>
      <c r="H125" s="3280"/>
      <c r="I125" s="3279"/>
      <c r="AA125" s="684"/>
    </row>
    <row r="126" spans="1:27" ht="18.75" customHeight="1">
      <c r="A126" s="3284" t="str">
        <f>IF(项目基本情况!B9="房地产市场价值","",MID(E111,3,LEN(E111)-2))</f>
        <v/>
      </c>
      <c r="B126" s="3284"/>
      <c r="C126" s="3284"/>
      <c r="D126" s="3273" t="str">
        <f>H111</f>
        <v>——</v>
      </c>
      <c r="E126" s="3274"/>
      <c r="F126" s="3274"/>
      <c r="G126" s="3274"/>
      <c r="H126" s="3274"/>
      <c r="I126" s="3275"/>
      <c r="AA126" s="684"/>
    </row>
    <row r="127" spans="1:27" ht="18.75" customHeight="1">
      <c r="A127" s="3272" t="s">
        <v>1450</v>
      </c>
      <c r="B127" s="3272"/>
      <c r="C127" s="3272"/>
      <c r="D127" s="3278" t="e">
        <f>NUMBERSTRING(INT(D126*10000),2)&amp;"元整"</f>
        <v>#VALUE!</v>
      </c>
      <c r="E127" s="3280"/>
      <c r="F127" s="3280"/>
      <c r="G127" s="3280"/>
      <c r="H127" s="3280"/>
      <c r="I127" s="3279"/>
      <c r="AA127" s="684"/>
    </row>
    <row r="128" spans="1:27" ht="21.75" customHeight="1">
      <c r="A128" s="3281" t="s">
        <v>1451</v>
      </c>
      <c r="B128" s="3281"/>
      <c r="C128" s="3281"/>
      <c r="D128" s="3281"/>
      <c r="E128" s="3281"/>
      <c r="F128" s="3281"/>
      <c r="G128" s="3281"/>
      <c r="H128" s="3281"/>
      <c r="I128" s="3281"/>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BWT/Lm4K6M9auZsuMK+WDMFR5uHNK0yDBQgfGU4zH1Cb0WKVDtnZ9eIsKNzR96nfHQDFSLJHKydW/XGKrRf1/w==" saltValue="7L2VosGm8HXGH0unmqSaKQ==" spinCount="100000"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4:D4 D33" xr:uid="{3B5F2A51-25A0-4159-8961-BE790C460916}">
      <formula1>估价方法</formula1>
    </dataValidation>
    <dataValidation type="list" allowBlank="1" showInputMessage="1" showErrorMessage="1" sqref="H55:H56" xr:uid="{AEF92979-6819-43F7-A0B7-B6B39AEDC456}">
      <formula1>"个人住宅,正常"</formula1>
    </dataValidation>
    <dataValidation type="list" allowBlank="1" showInputMessage="1" showErrorMessage="1" sqref="H48" xr:uid="{826F2DC0-DBDE-4262-BF68-AF0B40616941}">
      <formula1>"情况1,情况2,情况3,情况4"</formula1>
    </dataValidation>
    <dataValidation type="list" allowBlank="1" showInputMessage="1" showErrorMessage="1" sqref="H58" xr:uid="{7738E894-A3F7-414E-B5B7-464CB8B8904A}">
      <formula1>"转让取得,自行开发建设"</formula1>
    </dataValidation>
    <dataValidation type="list" allowBlank="1" showInputMessage="1" showErrorMessage="1" sqref="D32" xr:uid="{BC2E3A3D-E45F-4BDC-9FAE-CD50469EF355}">
      <formula1>"总价,楼面单价"</formula1>
    </dataValidation>
    <dataValidation type="list" allowBlank="1" showInputMessage="1" showErrorMessage="1" sqref="F45" xr:uid="{2126807D-769F-4051-A6BF-DBE7A2664C0A}">
      <formula1>"100%,70%,56%"</formula1>
    </dataValidation>
    <dataValidation type="list" allowBlank="1" showInputMessage="1" showErrorMessage="1" sqref="C33" xr:uid="{E3FBCC18-C91E-46C9-B691-B97E9DDFC689}">
      <formula1>"成本比率,收益比率,自定义"</formula1>
    </dataValidation>
    <dataValidation type="list" allowBlank="1" showInputMessage="1" showErrorMessage="1" sqref="H91" xr:uid="{6742D768-6179-4923-AB14-3F4181CCDE86}">
      <formula1>"企业提供（在右侧录入）,——"</formula1>
    </dataValidation>
    <dataValidation type="list" allowBlank="1" showInputMessage="1" showErrorMessage="1" sqref="H88" xr:uid="{0309F49D-14A7-497B-B841-EFE1F4F57320}">
      <formula1>"仅含出让金,出让金+开发费"</formula1>
    </dataValidation>
    <dataValidation type="list" allowBlank="1" showInputMessage="1" showErrorMessage="1" sqref="F75" xr:uid="{FCC2572E-63CB-4512-A86A-8AD8A1BBCA8B}">
      <formula1>"买卖合同,购房发票"</formula1>
    </dataValidation>
    <dataValidation type="list" allowBlank="1" showInputMessage="1" showErrorMessage="1" sqref="D36" xr:uid="{3211E16E-6A13-4949-A7EB-59F2C456EBE4}">
      <formula1>"同一抵押权人同一抵押物续贷,注销后放款,正常操作"</formula1>
    </dataValidation>
    <dataValidation type="list" allowBlank="1" showInputMessage="1" showErrorMessage="1" sqref="B116:B117" xr:uid="{06B5B435-3ECE-4F10-8908-291F4B6740CC}">
      <formula1>"建筑面积,规划建筑面积,（规划）建筑面积"</formula1>
    </dataValidation>
    <dataValidation type="list" allowBlank="1" showInputMessage="1" showErrorMessage="1" sqref="C116:C117" xr:uid="{DB28737B-FBA7-43DF-B306-A8DF09FB268E}">
      <formula1>"土地面积,分摊土地面积,（分摊）土地面积"</formula1>
    </dataValidation>
    <dataValidation type="list" allowBlank="1" showInputMessage="1" showErrorMessage="1" sqref="D116:E116" xr:uid="{9E456C1D-9CE3-4B76-9A37-31025393CC22}">
      <formula1>"出让国有建设用地使用权价值,划拨国有建设用地使用权价值"</formula1>
    </dataValidation>
    <dataValidation type="list" allowBlank="1" showInputMessage="1" showErrorMessage="1" sqref="F116:G116" xr:uid="{900A47E2-888E-4D00-A125-67178C85377F}">
      <formula1>"建筑物价值,在建建筑物价值,建筑物/在建建筑物价值"</formula1>
    </dataValidation>
    <dataValidation type="list" allowBlank="1" showInputMessage="1" showErrorMessage="1" sqref="C129" xr:uid="{BBF7CEAC-79E1-4EAC-B2F9-CBAB2844EA3B}">
      <formula1>"无,有"</formula1>
    </dataValidation>
    <dataValidation type="list" showInputMessage="1" showErrorMessage="1" sqref="G1" xr:uid="{E1582274-A18D-4CAB-B5DA-021E2BF24309}">
      <formula1>"现房,在建,土地,-"</formula1>
    </dataValidation>
    <dataValidation type="list" allowBlank="1" showInputMessage="1" showErrorMessage="1" sqref="I1" xr:uid="{9A6D1B93-7259-46E6-B86C-48348A013251}">
      <formula1>"项目局部,项目全部,——"</formula1>
    </dataValidation>
    <dataValidation type="list" allowBlank="1" showInputMessage="1" showErrorMessage="1" sqref="C1" xr:uid="{D14A9EFD-B2CF-4FBB-A2C5-AD1744B105CB}">
      <formula1>项目类型</formula1>
    </dataValidation>
    <dataValidation type="list" allowBlank="1" showInputMessage="1" showErrorMessage="1" sqref="G77" xr:uid="{05AFB436-F76F-4B83-AC41-B654526BDD6E}">
      <formula1>"个人住宅,2016年5月1日前购买,2016年5月1日后购买"</formula1>
    </dataValidation>
    <dataValidation type="list" allowBlank="1" showInputMessage="1" showErrorMessage="1" sqref="E103" xr:uid="{6F907841-E93B-4EE3-846B-81E40DDB462C}">
      <formula1>"2.估价师知悉的法定优先受偿款,2.估价师知悉的除抵押担保权以外的法定优先受偿款"</formula1>
    </dataValidation>
    <dataValidation type="list" allowBlank="1" showInputMessage="1" showErrorMessage="1" sqref="H59" xr:uid="{62DDF52E-F6B3-4216-80F6-AE88637E0F90}">
      <formula1>"非个人房产,个人住宅（满五唯一有凭证）,个人其他（有凭证）,个人其他（无凭证）"</formula1>
    </dataValidation>
    <dataValidation type="list" allowBlank="1" showInputMessage="1" showErrorMessage="1" sqref="D92" xr:uid="{6F18E713-CD94-4464-AEE5-594253772C3D}">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8BBE7-A78E-4CE9-80A0-808626E9FC99}">
  <sheetPr>
    <tabColor rgb="FF92D050"/>
    <pageSetUpPr fitToPage="1"/>
  </sheetPr>
  <dimension ref="A1:AC131"/>
  <sheetViews>
    <sheetView view="pageBreakPreview" zoomScale="70" zoomScaleNormal="70" zoomScaleSheetLayoutView="70" workbookViewId="0">
      <selection activeCell="C34" sqref="C3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1658</v>
      </c>
      <c r="B1" s="1734" t="s">
        <v>1764</v>
      </c>
      <c r="C1" s="1155" t="s">
        <v>1660</v>
      </c>
      <c r="D1" s="1142" t="s">
        <v>3613</v>
      </c>
      <c r="E1" s="3123" t="s">
        <v>3433</v>
      </c>
      <c r="F1" s="1735" t="s">
        <v>3434</v>
      </c>
      <c r="G1" s="1152" t="s">
        <v>1661</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684</v>
      </c>
      <c r="B2" s="1085">
        <f>IF(E1="项目模式",IF(C2="——",ROUND(C49*D3/10000,0),ROUND(C49*D3/10000,0)-D2),IF(E1="单套模式",IF(C2="——",ROUND(C49*D3/10000,4),ROUND(C49*D3/10000,4)-D2)))</f>
        <v>697.19219999999996</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685</v>
      </c>
      <c r="B3" s="536">
        <f>IF(C2="——",C49,ROUND(B2*10000/D3,0))</f>
        <v>40485</v>
      </c>
      <c r="C3" s="344" t="s">
        <v>1663</v>
      </c>
      <c r="D3" s="343">
        <f>IF(D1="",'数据-汇总表'!E3,SUMIF('数据-汇总表'!$C19:$C33,D1,'数据-汇总表'!$E19:$E33))</f>
        <v>172.21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1664</v>
      </c>
      <c r="B4" s="346"/>
      <c r="C4" s="3378" t="s">
        <v>1665</v>
      </c>
      <c r="D4" s="3379"/>
      <c r="E4" s="3380" t="s">
        <v>1666</v>
      </c>
      <c r="F4" s="3381"/>
      <c r="G4" s="3378" t="s">
        <v>1667</v>
      </c>
      <c r="H4" s="3379"/>
      <c r="I4" s="3378" t="s">
        <v>1668</v>
      </c>
      <c r="J4" s="3379"/>
      <c r="K4" s="537" t="s">
        <v>1669</v>
      </c>
      <c r="L4" s="2485"/>
      <c r="M4" s="2486"/>
      <c r="N4" s="2486"/>
      <c r="O4" s="2486"/>
      <c r="P4" s="3382" t="s">
        <v>1670</v>
      </c>
      <c r="Q4" s="3383"/>
      <c r="R4" s="3365" t="s">
        <v>1666</v>
      </c>
      <c r="S4" s="3366"/>
      <c r="T4" s="3365" t="s">
        <v>1667</v>
      </c>
      <c r="U4" s="3366"/>
      <c r="V4" s="3362" t="s">
        <v>1668</v>
      </c>
      <c r="W4" s="3362"/>
      <c r="X4" s="1265"/>
      <c r="Y4" s="3365" t="s">
        <v>1670</v>
      </c>
      <c r="Z4" s="3366"/>
      <c r="AA4" s="3359" t="s">
        <v>1666</v>
      </c>
      <c r="AB4" s="3362" t="s">
        <v>1667</v>
      </c>
      <c r="AC4" s="3359" t="s">
        <v>1668</v>
      </c>
    </row>
    <row r="5" spans="1:29">
      <c r="A5" s="348"/>
      <c r="B5" s="349"/>
      <c r="C5" s="3371" t="s">
        <v>1671</v>
      </c>
      <c r="D5" s="3372"/>
      <c r="E5" s="3369" t="s">
        <v>3584</v>
      </c>
      <c r="F5" s="3370"/>
      <c r="G5" s="3390" t="s">
        <v>3586</v>
      </c>
      <c r="H5" s="3372"/>
      <c r="I5" s="3371" t="str">
        <f>案例!N111</f>
        <v>云河墅</v>
      </c>
      <c r="J5" s="3372"/>
      <c r="K5" s="537"/>
      <c r="L5" s="2485"/>
      <c r="M5" s="2486"/>
      <c r="N5" s="2486"/>
      <c r="O5" s="2486"/>
      <c r="P5" s="3384"/>
      <c r="Q5" s="3385"/>
      <c r="R5" s="3367"/>
      <c r="S5" s="3368"/>
      <c r="T5" s="3367"/>
      <c r="U5" s="3368"/>
      <c r="V5" s="3362"/>
      <c r="W5" s="3362"/>
      <c r="X5" s="1265"/>
      <c r="Y5" s="3367"/>
      <c r="Z5" s="3368"/>
      <c r="AA5" s="3360"/>
      <c r="AB5" s="3362"/>
      <c r="AC5" s="3360"/>
    </row>
    <row r="6" spans="1:29" ht="15" thickBot="1">
      <c r="A6" s="350"/>
      <c r="B6" s="351"/>
      <c r="C6" s="3373" t="s">
        <v>1675</v>
      </c>
      <c r="D6" s="3374"/>
      <c r="E6" s="3375" t="s">
        <v>1675</v>
      </c>
      <c r="F6" s="3376"/>
      <c r="G6" s="3373" t="s">
        <v>1675</v>
      </c>
      <c r="H6" s="3374"/>
      <c r="I6" s="3373" t="s">
        <v>1675</v>
      </c>
      <c r="J6" s="3374"/>
      <c r="K6" s="537" t="s">
        <v>1676</v>
      </c>
      <c r="L6" s="2485"/>
      <c r="M6" s="2486"/>
      <c r="N6" s="2486"/>
      <c r="O6" s="2486"/>
      <c r="P6" s="3386"/>
      <c r="Q6" s="3387"/>
      <c r="R6" s="3367"/>
      <c r="S6" s="3368"/>
      <c r="T6" s="3388"/>
      <c r="U6" s="3389"/>
      <c r="V6" s="3362"/>
      <c r="W6" s="3362"/>
      <c r="X6" s="1265"/>
      <c r="Y6" s="3388"/>
      <c r="Z6" s="3389"/>
      <c r="AA6" s="3361"/>
      <c r="AB6" s="3362"/>
      <c r="AC6" s="3361"/>
    </row>
    <row r="7" spans="1:29" s="102" customFormat="1" ht="15" thickBot="1">
      <c r="A7" s="352" t="s">
        <v>1677</v>
      </c>
      <c r="B7" s="353"/>
      <c r="C7" s="354">
        <f>'数据-取费表'!B2</f>
        <v>45635</v>
      </c>
      <c r="D7" s="355">
        <v>100</v>
      </c>
      <c r="E7" s="356">
        <f>C7</f>
        <v>45635</v>
      </c>
      <c r="F7" s="357">
        <f>SUMIF(58:58,YEAR(E7)&amp;"-"&amp;MONTH(E7),59:59)</f>
        <v>100</v>
      </c>
      <c r="G7" s="356">
        <f>C7</f>
        <v>45635</v>
      </c>
      <c r="H7" s="355">
        <f>SUMIF(58:58,YEAR(G7)&amp;"-"&amp;MONTH(G7),59:59)</f>
        <v>100</v>
      </c>
      <c r="I7" s="356">
        <f>C7</f>
        <v>45635</v>
      </c>
      <c r="J7" s="355">
        <f>SUMIF(58:58,YEAR(I7)&amp;"-"&amp;MONTH(I7),59:59)</f>
        <v>100</v>
      </c>
      <c r="K7" s="38"/>
      <c r="L7" s="2487"/>
      <c r="M7" s="2439"/>
      <c r="N7" s="2439"/>
      <c r="O7" s="2439"/>
      <c r="P7" s="3363" t="s">
        <v>1678</v>
      </c>
      <c r="Q7" s="3391"/>
      <c r="R7" s="664" t="s">
        <v>14</v>
      </c>
      <c r="S7" s="665">
        <f t="shared" ref="S7:S15" si="0">F7</f>
        <v>100</v>
      </c>
      <c r="T7" s="664" t="s">
        <v>14</v>
      </c>
      <c r="U7" s="665">
        <f t="shared" ref="U7:U15" si="1">H7</f>
        <v>100</v>
      </c>
      <c r="V7" s="664" t="s">
        <v>14</v>
      </c>
      <c r="W7" s="665">
        <f t="shared" ref="W7:W15" si="2">J7</f>
        <v>100</v>
      </c>
      <c r="X7" s="666"/>
      <c r="Y7" s="3363" t="s">
        <v>1678</v>
      </c>
      <c r="Z7" s="3364"/>
      <c r="AA7" s="50">
        <f>D7/F7</f>
        <v>1</v>
      </c>
      <c r="AB7" s="50">
        <f>D7/H7</f>
        <v>1</v>
      </c>
      <c r="AC7" s="50">
        <f>D7/J7</f>
        <v>1</v>
      </c>
    </row>
    <row r="8" spans="1:29" s="102" customFormat="1" ht="15" thickBot="1">
      <c r="A8" s="352" t="s">
        <v>1679</v>
      </c>
      <c r="B8" s="353"/>
      <c r="C8" s="358" t="s">
        <v>3435</v>
      </c>
      <c r="D8" s="355">
        <v>100</v>
      </c>
      <c r="E8" s="358" t="s">
        <v>3436</v>
      </c>
      <c r="F8" s="357">
        <f>SUMIF(61:61,E8,62:62)-SUMIF(61:61,C8,62:62)+100</f>
        <v>105</v>
      </c>
      <c r="G8" s="358" t="s">
        <v>3436</v>
      </c>
      <c r="H8" s="355">
        <f>SUMIF(61:61,G8,62:62)-SUMIF(61:61,C8,62:62)+100</f>
        <v>105</v>
      </c>
      <c r="I8" s="358" t="s">
        <v>3436</v>
      </c>
      <c r="J8" s="355">
        <f>SUMIF(61:61,I8,62:62)-SUMIF(61:61,C8,62:62)+100</f>
        <v>105</v>
      </c>
      <c r="K8" s="38"/>
      <c r="L8" s="2487"/>
      <c r="M8" s="2439"/>
      <c r="N8" s="2439"/>
      <c r="O8" s="2439"/>
      <c r="P8" s="3363" t="s">
        <v>1681</v>
      </c>
      <c r="Q8" s="3364"/>
      <c r="R8" s="664" t="s">
        <v>14</v>
      </c>
      <c r="S8" s="665">
        <f t="shared" si="0"/>
        <v>105</v>
      </c>
      <c r="T8" s="664" t="s">
        <v>14</v>
      </c>
      <c r="U8" s="665">
        <f t="shared" si="1"/>
        <v>105</v>
      </c>
      <c r="V8" s="664" t="s">
        <v>14</v>
      </c>
      <c r="W8" s="665">
        <f t="shared" si="2"/>
        <v>105</v>
      </c>
      <c r="X8" s="666"/>
      <c r="Y8" s="3363" t="s">
        <v>1681</v>
      </c>
      <c r="Z8" s="3364"/>
      <c r="AA8" s="50">
        <f t="shared" ref="AA8:AA46" si="3">D8/F8</f>
        <v>0.95238095238095233</v>
      </c>
      <c r="AB8" s="50">
        <f t="shared" ref="AB8:AB46" si="4">D8/H8</f>
        <v>0.95238095238095233</v>
      </c>
      <c r="AC8" s="50">
        <f t="shared" ref="AC8:AC46" si="5">D8/J8</f>
        <v>0.95238095238095233</v>
      </c>
    </row>
    <row r="9" spans="1:29" s="102" customFormat="1" ht="15" thickBot="1">
      <c r="A9" s="359" t="s">
        <v>1682</v>
      </c>
      <c r="B9" s="60" t="s">
        <v>1683</v>
      </c>
      <c r="C9" s="3147" t="s">
        <v>3438</v>
      </c>
      <c r="D9" s="59">
        <v>100</v>
      </c>
      <c r="E9" s="361" t="s">
        <v>672</v>
      </c>
      <c r="F9" s="60">
        <f>SUMIF(63:63,E9,64:64)-SUMIF(63:63,C9,64:64)+100</f>
        <v>100</v>
      </c>
      <c r="G9" s="361" t="s">
        <v>672</v>
      </c>
      <c r="H9" s="59">
        <f>SUMIF(63:63,G9,64:64)-SUMIF(63:63,C9,64:64)+100</f>
        <v>100</v>
      </c>
      <c r="I9" s="361" t="s">
        <v>672</v>
      </c>
      <c r="J9" s="59">
        <f>SUMIF(63:63,I9,64:64)-SUMIF(63:63,C9,64:64)+100</f>
        <v>100</v>
      </c>
      <c r="K9" s="38"/>
      <c r="L9" s="2487"/>
      <c r="M9" s="2439"/>
      <c r="N9" s="2439"/>
      <c r="O9" s="2439"/>
      <c r="P9" s="3377" t="s">
        <v>1684</v>
      </c>
      <c r="Q9" s="530" t="str">
        <f t="shared" ref="Q9:Q15" si="6">B9</f>
        <v>用途</v>
      </c>
      <c r="R9" s="664" t="s">
        <v>14</v>
      </c>
      <c r="S9" s="665">
        <f t="shared" si="0"/>
        <v>100</v>
      </c>
      <c r="T9" s="664" t="s">
        <v>14</v>
      </c>
      <c r="U9" s="665">
        <f t="shared" si="1"/>
        <v>100</v>
      </c>
      <c r="V9" s="664" t="s">
        <v>14</v>
      </c>
      <c r="W9" s="665">
        <f t="shared" si="2"/>
        <v>100</v>
      </c>
      <c r="X9" s="666"/>
      <c r="Y9" s="3327" t="s">
        <v>1685</v>
      </c>
      <c r="Z9" s="50" t="str">
        <f t="shared" ref="Z9:Z15" si="7">Q9</f>
        <v>用途</v>
      </c>
      <c r="AA9" s="50">
        <f t="shared" si="3"/>
        <v>1</v>
      </c>
      <c r="AB9" s="50">
        <f t="shared" si="4"/>
        <v>1</v>
      </c>
      <c r="AC9" s="50">
        <f t="shared" si="5"/>
        <v>1</v>
      </c>
    </row>
    <row r="10" spans="1:29" s="366" customFormat="1" ht="29.4" thickTop="1">
      <c r="A10" s="363"/>
      <c r="B10" s="364" t="s">
        <v>1686</v>
      </c>
      <c r="C10" s="3167" t="s">
        <v>3593</v>
      </c>
      <c r="D10" s="119">
        <v>100</v>
      </c>
      <c r="E10" s="3167" t="s">
        <v>3591</v>
      </c>
      <c r="F10" s="364">
        <f>SUMIF(65:65,E10,66:66)-SUMIF(65:65,C10,66:66)+100</f>
        <v>110</v>
      </c>
      <c r="G10" s="3167" t="s">
        <v>3592</v>
      </c>
      <c r="H10" s="119">
        <f>SUMIF(65:65,G10,66:66)-SUMIF(65:65,C10,66:66)+100</f>
        <v>105</v>
      </c>
      <c r="I10" s="3167" t="s">
        <v>3591</v>
      </c>
      <c r="J10" s="119">
        <f>SUMIF(65:65,I10,66:66)-SUMIF(65:65,C10,66:66)+100</f>
        <v>110</v>
      </c>
      <c r="K10" s="38"/>
      <c r="L10" s="2488"/>
      <c r="M10" s="2489"/>
      <c r="N10" s="2489"/>
      <c r="O10" s="2489"/>
      <c r="P10" s="3377"/>
      <c r="Q10" s="530" t="str">
        <f t="shared" si="6"/>
        <v>土地使用年限（年）</v>
      </c>
      <c r="R10" s="664" t="s">
        <v>14</v>
      </c>
      <c r="S10" s="665">
        <f t="shared" si="0"/>
        <v>110</v>
      </c>
      <c r="T10" s="664" t="s">
        <v>14</v>
      </c>
      <c r="U10" s="665">
        <f t="shared" si="1"/>
        <v>105</v>
      </c>
      <c r="V10" s="664" t="s">
        <v>14</v>
      </c>
      <c r="W10" s="665">
        <f t="shared" si="2"/>
        <v>110</v>
      </c>
      <c r="X10" s="666"/>
      <c r="Y10" s="3327"/>
      <c r="Z10" s="50" t="str">
        <f t="shared" si="7"/>
        <v>土地使用年限（年）</v>
      </c>
      <c r="AA10" s="50">
        <f t="shared" si="3"/>
        <v>0.90909090909090906</v>
      </c>
      <c r="AB10" s="50">
        <f t="shared" si="4"/>
        <v>0.95238095238095233</v>
      </c>
      <c r="AC10" s="50">
        <f t="shared" si="5"/>
        <v>0.90909090909090906</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7"/>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392" t="s">
        <v>1689</v>
      </c>
      <c r="Q15" s="1263" t="str">
        <f t="shared" si="6"/>
        <v>商业繁华度</v>
      </c>
      <c r="R15" s="667" t="s">
        <v>14</v>
      </c>
      <c r="S15" s="668">
        <f t="shared" si="0"/>
        <v>100</v>
      </c>
      <c r="T15" s="667" t="s">
        <v>14</v>
      </c>
      <c r="U15" s="668">
        <f t="shared" si="1"/>
        <v>100</v>
      </c>
      <c r="V15" s="667" t="s">
        <v>14</v>
      </c>
      <c r="W15" s="668">
        <f t="shared" si="2"/>
        <v>100</v>
      </c>
      <c r="X15" s="1265"/>
      <c r="Y15" s="3394" t="s">
        <v>1689</v>
      </c>
      <c r="Z15" s="1264" t="str">
        <f t="shared" si="7"/>
        <v>商业繁华度</v>
      </c>
      <c r="AA15" s="1264">
        <f t="shared" si="3"/>
        <v>1</v>
      </c>
      <c r="AB15" s="1264">
        <f t="shared" si="4"/>
        <v>1</v>
      </c>
      <c r="AC15" s="1264">
        <f t="shared" si="5"/>
        <v>1</v>
      </c>
    </row>
    <row r="16" spans="1:29" ht="15">
      <c r="A16" s="367"/>
      <c r="B16" s="385"/>
      <c r="C16" s="386" t="s">
        <v>3445</v>
      </c>
      <c r="D16" s="387"/>
      <c r="E16" s="386" t="s">
        <v>3445</v>
      </c>
      <c r="F16" s="388"/>
      <c r="G16" s="386" t="s">
        <v>3445</v>
      </c>
      <c r="H16" s="389"/>
      <c r="I16" s="386" t="s">
        <v>3445</v>
      </c>
      <c r="J16" s="387"/>
      <c r="K16" s="541"/>
      <c r="L16" s="2491"/>
      <c r="M16" s="2486"/>
      <c r="N16" s="2486"/>
      <c r="O16" s="2486"/>
      <c r="P16" s="3393"/>
      <c r="Q16" s="1263"/>
      <c r="R16" s="667"/>
      <c r="S16" s="668"/>
      <c r="T16" s="667"/>
      <c r="U16" s="668"/>
      <c r="V16" s="667"/>
      <c r="W16" s="668"/>
      <c r="X16" s="1265"/>
      <c r="Y16" s="3395"/>
      <c r="Z16" s="1264"/>
      <c r="AA16" s="1264">
        <v>1</v>
      </c>
      <c r="AB16" s="1264">
        <v>1</v>
      </c>
      <c r="AC16" s="1264">
        <v>1</v>
      </c>
    </row>
    <row r="17" spans="1:29" ht="82.8">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93"/>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395"/>
      <c r="C18" s="1755" t="s">
        <v>3443</v>
      </c>
      <c r="D18" s="389"/>
      <c r="E18" s="1757" t="s">
        <v>3443</v>
      </c>
      <c r="F18" s="392"/>
      <c r="G18" s="1756" t="s">
        <v>3443</v>
      </c>
      <c r="H18" s="387"/>
      <c r="I18" s="1757" t="s">
        <v>3443</v>
      </c>
      <c r="J18" s="387"/>
      <c r="K18" s="541"/>
      <c r="L18" s="2491"/>
      <c r="M18" s="2486"/>
      <c r="N18" s="2486"/>
      <c r="O18" s="2486"/>
      <c r="P18" s="3393"/>
      <c r="Q18" s="1263"/>
      <c r="R18" s="667"/>
      <c r="S18" s="668"/>
      <c r="T18" s="667"/>
      <c r="U18" s="668"/>
      <c r="V18" s="667"/>
      <c r="W18" s="668"/>
      <c r="X18" s="1265"/>
      <c r="Y18" s="3395"/>
      <c r="Z18" s="1264"/>
      <c r="AA18" s="1264">
        <v>1</v>
      </c>
      <c r="AB18" s="1264">
        <v>1</v>
      </c>
      <c r="AC18" s="1264">
        <v>1</v>
      </c>
    </row>
    <row r="19" spans="1:29" ht="41.4">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93"/>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
      <c r="A20" s="367"/>
      <c r="B20" s="395"/>
      <c r="C20" s="386" t="s">
        <v>3443</v>
      </c>
      <c r="D20" s="387"/>
      <c r="E20" s="1752" t="s">
        <v>3443</v>
      </c>
      <c r="F20" s="388"/>
      <c r="G20" s="1751" t="s">
        <v>3443</v>
      </c>
      <c r="H20" s="387"/>
      <c r="I20" s="1752" t="s">
        <v>3443</v>
      </c>
      <c r="J20" s="387"/>
      <c r="K20" s="541"/>
      <c r="L20" s="2491"/>
      <c r="M20" s="2486"/>
      <c r="N20" s="2486"/>
      <c r="O20" s="2486"/>
      <c r="P20" s="3393"/>
      <c r="Q20" s="1263"/>
      <c r="R20" s="667"/>
      <c r="S20" s="668"/>
      <c r="T20" s="667"/>
      <c r="U20" s="668"/>
      <c r="V20" s="667"/>
      <c r="W20" s="668"/>
      <c r="X20" s="1265"/>
      <c r="Y20" s="3395"/>
      <c r="Z20" s="1264"/>
      <c r="AA20" s="1264">
        <v>1</v>
      </c>
      <c r="AB20" s="1264">
        <v>1</v>
      </c>
      <c r="AC20" s="1264">
        <v>1</v>
      </c>
    </row>
    <row r="21" spans="1:29" ht="27.6">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t="s">
        <v>3459</v>
      </c>
      <c r="D22" s="387"/>
      <c r="E22" s="386" t="s">
        <v>3459</v>
      </c>
      <c r="F22" s="388"/>
      <c r="G22" s="386" t="s">
        <v>3459</v>
      </c>
      <c r="H22" s="387"/>
      <c r="I22" s="386" t="s">
        <v>3459</v>
      </c>
      <c r="J22" s="387"/>
      <c r="K22" s="1064"/>
      <c r="L22" s="2491"/>
      <c r="M22" s="2486"/>
      <c r="N22" s="2486"/>
      <c r="O22" s="2486"/>
      <c r="P22" s="3393"/>
      <c r="Q22" s="1263"/>
      <c r="R22" s="667"/>
      <c r="S22" s="668"/>
      <c r="T22" s="667"/>
      <c r="U22" s="668"/>
      <c r="V22" s="667"/>
      <c r="W22" s="668"/>
      <c r="X22" s="1265"/>
      <c r="Y22" s="3395"/>
      <c r="Z22" s="1264"/>
      <c r="AA22" s="1264">
        <v>1</v>
      </c>
      <c r="AB22" s="1264">
        <v>1</v>
      </c>
      <c r="AC22" s="1264">
        <v>1</v>
      </c>
    </row>
    <row r="23" spans="1:29" ht="55.2">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93"/>
      <c r="Q23" s="1263" t="str">
        <f>B23</f>
        <v>自然及人文环境</v>
      </c>
      <c r="R23" s="667" t="s">
        <v>14</v>
      </c>
      <c r="S23" s="668">
        <f>F23</f>
        <v>100</v>
      </c>
      <c r="T23" s="667" t="s">
        <v>14</v>
      </c>
      <c r="U23" s="668">
        <f>H23</f>
        <v>100</v>
      </c>
      <c r="V23" s="667" t="s">
        <v>14</v>
      </c>
      <c r="W23" s="668">
        <f>J23</f>
        <v>100</v>
      </c>
      <c r="X23" s="1265"/>
      <c r="Y23" s="3395"/>
      <c r="Z23" s="1264" t="str">
        <f>Q23</f>
        <v>自然及人文环境</v>
      </c>
      <c r="AA23" s="1264">
        <f t="shared" si="3"/>
        <v>1</v>
      </c>
      <c r="AB23" s="1264">
        <f t="shared" si="4"/>
        <v>1</v>
      </c>
      <c r="AC23" s="1264">
        <f t="shared" si="5"/>
        <v>1</v>
      </c>
    </row>
    <row r="24" spans="1:29" ht="15">
      <c r="A24" s="367"/>
      <c r="B24" s="395"/>
      <c r="C24" s="386" t="s">
        <v>3443</v>
      </c>
      <c r="D24" s="387"/>
      <c r="E24" s="1752" t="s">
        <v>3443</v>
      </c>
      <c r="F24" s="388"/>
      <c r="G24" s="1751" t="s">
        <v>3443</v>
      </c>
      <c r="H24" s="387"/>
      <c r="I24" s="1752" t="s">
        <v>3443</v>
      </c>
      <c r="J24" s="387"/>
      <c r="K24" s="541"/>
      <c r="L24" s="2491"/>
      <c r="M24" s="2486"/>
      <c r="N24" s="2486"/>
      <c r="O24" s="2486"/>
      <c r="P24" s="3393"/>
      <c r="Q24" s="1263"/>
      <c r="R24" s="667"/>
      <c r="S24" s="668"/>
      <c r="T24" s="667"/>
      <c r="U24" s="668"/>
      <c r="V24" s="667"/>
      <c r="W24" s="668"/>
      <c r="X24" s="1265"/>
      <c r="Y24" s="3395"/>
      <c r="Z24" s="1264"/>
      <c r="AA24" s="1264">
        <v>1</v>
      </c>
      <c r="AB24" s="1264">
        <v>1</v>
      </c>
      <c r="AC24" s="1264">
        <v>1</v>
      </c>
    </row>
    <row r="25" spans="1:29" ht="15">
      <c r="A25" s="367"/>
      <c r="B25" s="364" t="s">
        <v>1778</v>
      </c>
      <c r="C25" s="542" t="s">
        <v>3440</v>
      </c>
      <c r="D25" s="374">
        <v>100</v>
      </c>
      <c r="E25" s="542" t="s">
        <v>3440</v>
      </c>
      <c r="F25" s="400">
        <f>SUMIF(86:86,E25,87:87)-SUMIF(86:86,C25,87:87)+100</f>
        <v>100</v>
      </c>
      <c r="G25" s="542" t="s">
        <v>3440</v>
      </c>
      <c r="H25" s="374">
        <f>SUMIF(86:86,G25,87:87)-SUMIF(86:86,C25,87:87)+100</f>
        <v>100</v>
      </c>
      <c r="I25" s="542" t="s">
        <v>3440</v>
      </c>
      <c r="J25" s="374">
        <f>SUMIF(86:86,I25,87:87)-SUMIF(86:86,C25,87:87)+100</f>
        <v>100</v>
      </c>
      <c r="K25" s="538">
        <v>5</v>
      </c>
      <c r="L25" s="2491"/>
      <c r="M25" s="2486"/>
      <c r="N25" s="2486"/>
      <c r="O25" s="2486"/>
      <c r="P25" s="3393"/>
      <c r="Q25" s="1263" t="str">
        <f t="shared" ref="Q25:Q46" si="11">B25</f>
        <v>临街状况</v>
      </c>
      <c r="R25" s="667" t="s">
        <v>14</v>
      </c>
      <c r="S25" s="668">
        <f>F25</f>
        <v>100</v>
      </c>
      <c r="T25" s="667" t="s">
        <v>14</v>
      </c>
      <c r="U25" s="668">
        <f>H25</f>
        <v>100</v>
      </c>
      <c r="V25" s="667" t="s">
        <v>14</v>
      </c>
      <c r="W25" s="668">
        <f>J25</f>
        <v>100</v>
      </c>
      <c r="X25" s="1265"/>
      <c r="Y25" s="3395"/>
      <c r="Z25" s="1264" t="str">
        <f>Q25</f>
        <v>临街状况</v>
      </c>
      <c r="AA25" s="1264">
        <f t="shared" si="3"/>
        <v>1</v>
      </c>
      <c r="AB25" s="1264">
        <f t="shared" si="4"/>
        <v>1</v>
      </c>
      <c r="AC25" s="1264">
        <f t="shared" si="5"/>
        <v>1</v>
      </c>
    </row>
    <row r="26" spans="1:29" ht="15">
      <c r="A26" s="367"/>
      <c r="B26" s="1066" t="s">
        <v>1779</v>
      </c>
      <c r="C26" s="3152" t="s">
        <v>3444</v>
      </c>
      <c r="D26" s="374">
        <v>100</v>
      </c>
      <c r="E26" s="3152" t="s">
        <v>3444</v>
      </c>
      <c r="F26" s="400">
        <f>SUMIF(88:88,E26,89:89)-SUMIF(88:88,C26,89:89)+100</f>
        <v>100</v>
      </c>
      <c r="G26" s="3152" t="s">
        <v>3587</v>
      </c>
      <c r="H26" s="374">
        <f>SUMIF(88:88,G26,89:89)-SUMIF(88:88,C26,89:89)+100</f>
        <v>95</v>
      </c>
      <c r="I26" s="3152" t="s">
        <v>3444</v>
      </c>
      <c r="J26" s="374">
        <f>SUMIF(88:88,I26,89:89)-SUMIF(88:88,C26,89:89)+100</f>
        <v>100</v>
      </c>
      <c r="K26" s="539"/>
      <c r="L26" s="2491"/>
      <c r="M26" s="2486"/>
      <c r="N26" s="2486"/>
      <c r="O26" s="2486"/>
      <c r="P26" s="3393"/>
      <c r="Q26" s="1263" t="str">
        <f t="shared" si="11"/>
        <v>平面位置/可视性</v>
      </c>
      <c r="R26" s="667" t="s">
        <v>14</v>
      </c>
      <c r="S26" s="668">
        <f>F26</f>
        <v>100</v>
      </c>
      <c r="T26" s="667" t="s">
        <v>14</v>
      </c>
      <c r="U26" s="668">
        <f>H26</f>
        <v>95</v>
      </c>
      <c r="V26" s="667" t="s">
        <v>14</v>
      </c>
      <c r="W26" s="668">
        <f>J26</f>
        <v>100</v>
      </c>
      <c r="X26" s="1265"/>
      <c r="Y26" s="3395"/>
      <c r="Z26" s="1264" t="str">
        <f>Q26</f>
        <v>平面位置/可视性</v>
      </c>
      <c r="AA26" s="1264">
        <f t="shared" si="3"/>
        <v>1</v>
      </c>
      <c r="AB26" s="1264">
        <f t="shared" si="4"/>
        <v>1.0526315789473684</v>
      </c>
      <c r="AC26" s="1264">
        <f t="shared" si="5"/>
        <v>1</v>
      </c>
    </row>
    <row r="27" spans="1:29" s="102" customFormat="1" ht="15">
      <c r="A27" s="370"/>
      <c r="B27" s="390" t="s">
        <v>1780</v>
      </c>
      <c r="C27" s="1807" t="s">
        <v>3445</v>
      </c>
      <c r="D27" s="401">
        <v>100</v>
      </c>
      <c r="E27" s="1807" t="s">
        <v>3445</v>
      </c>
      <c r="F27" s="395">
        <f>SUMIF(90:90,E27,91:91)-SUMIF(90:90,C27,91:91)+100</f>
        <v>100</v>
      </c>
      <c r="G27" s="1807" t="s">
        <v>3588</v>
      </c>
      <c r="H27" s="401">
        <f>SUMIF(90:90,G27,91:91)-SUMIF(90:90,C27,91:91)+100</f>
        <v>97</v>
      </c>
      <c r="I27" s="1807" t="s">
        <v>3445</v>
      </c>
      <c r="J27" s="401">
        <f>SUMIF(90:90,I27,91:91)-SUMIF(90:90,C27,91:91)+100</f>
        <v>100</v>
      </c>
      <c r="K27" s="538">
        <v>3</v>
      </c>
      <c r="L27" s="2487"/>
      <c r="M27" s="2439"/>
      <c r="N27" s="2439"/>
      <c r="O27" s="2439"/>
      <c r="P27" s="3393"/>
      <c r="Q27" s="530" t="str">
        <f t="shared" si="11"/>
        <v>人流量</v>
      </c>
      <c r="R27" s="664" t="s">
        <v>14</v>
      </c>
      <c r="S27" s="665">
        <f>F27</f>
        <v>100</v>
      </c>
      <c r="T27" s="664" t="s">
        <v>14</v>
      </c>
      <c r="U27" s="665">
        <f>H27</f>
        <v>97</v>
      </c>
      <c r="V27" s="664" t="s">
        <v>14</v>
      </c>
      <c r="W27" s="665">
        <f>J27</f>
        <v>100</v>
      </c>
      <c r="X27" s="666"/>
      <c r="Y27" s="3395"/>
      <c r="Z27" s="50" t="str">
        <f>Q27</f>
        <v>人流量</v>
      </c>
      <c r="AA27" s="1264">
        <f>D27/F27</f>
        <v>1</v>
      </c>
      <c r="AB27" s="1264">
        <f>D27/H27</f>
        <v>1.0309278350515463</v>
      </c>
      <c r="AC27" s="1264">
        <f>D27/J27</f>
        <v>1</v>
      </c>
    </row>
    <row r="28" spans="1:29" ht="15">
      <c r="A28" s="367"/>
      <c r="B28" s="364" t="s">
        <v>1781</v>
      </c>
      <c r="C28" s="542" t="s">
        <v>3536</v>
      </c>
      <c r="D28" s="374">
        <v>100</v>
      </c>
      <c r="E28" s="542" t="s">
        <v>3536</v>
      </c>
      <c r="F28" s="400">
        <f>SUMIF(92:92,E28,93:93)-SUMIF(92:92,C28,93:93)+100</f>
        <v>100</v>
      </c>
      <c r="G28" s="542" t="s">
        <v>3536</v>
      </c>
      <c r="H28" s="374">
        <f>SUMIF(92:92,G28,93:93)-SUMIF(92:92,C28,93:93)+100</f>
        <v>100</v>
      </c>
      <c r="I28" s="542" t="s">
        <v>3536</v>
      </c>
      <c r="J28" s="374">
        <f>SUMIF(92:92,I28,93:93)-SUMIF(92:92,C28,93:93)+100</f>
        <v>100</v>
      </c>
      <c r="K28" s="539"/>
      <c r="L28" s="2491"/>
      <c r="M28" s="2486"/>
      <c r="N28" s="2486"/>
      <c r="O28" s="2486"/>
      <c r="P28" s="339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5"/>
      <c r="Z28" s="1264" t="str">
        <f t="shared" ref="Z28:Z46" si="15">Q28</f>
        <v>楼层</v>
      </c>
      <c r="AA28" s="1264">
        <f t="shared" si="3"/>
        <v>1</v>
      </c>
      <c r="AB28" s="1264">
        <f t="shared" si="4"/>
        <v>1</v>
      </c>
      <c r="AC28" s="1264">
        <f t="shared" si="5"/>
        <v>1</v>
      </c>
    </row>
    <row r="29" spans="1:29" ht="15">
      <c r="A29" s="367"/>
      <c r="B29" s="3156"/>
      <c r="C29" s="3152"/>
      <c r="D29" s="374">
        <v>100</v>
      </c>
      <c r="E29" s="3152"/>
      <c r="F29" s="400">
        <f>SUMIF(94:94,E29,95:95)-SUMIF(94:94,C29,95:95)+100</f>
        <v>100</v>
      </c>
      <c r="G29" s="3152"/>
      <c r="H29" s="374">
        <f>SUMIF(94:94,G29,95:95)-SUMIF(94:94,C29,95:95)+100</f>
        <v>100</v>
      </c>
      <c r="I29" s="3152"/>
      <c r="J29" s="374">
        <f>SUMIF(94:94,I29,95:95)-SUMIF(94:94,C29,95:95)+100</f>
        <v>100</v>
      </c>
      <c r="K29" s="539"/>
      <c r="L29" s="2491"/>
      <c r="M29" s="2486"/>
      <c r="N29" s="2486"/>
      <c r="O29" s="2486"/>
      <c r="P29" s="3393"/>
      <c r="Q29" s="1263">
        <f t="shared" si="11"/>
        <v>0</v>
      </c>
      <c r="R29" s="667" t="s">
        <v>14</v>
      </c>
      <c r="S29" s="668">
        <f t="shared" si="12"/>
        <v>100</v>
      </c>
      <c r="T29" s="667" t="s">
        <v>14</v>
      </c>
      <c r="U29" s="668">
        <f t="shared" si="13"/>
        <v>100</v>
      </c>
      <c r="V29" s="667" t="s">
        <v>14</v>
      </c>
      <c r="W29" s="668">
        <f t="shared" si="14"/>
        <v>100</v>
      </c>
      <c r="X29" s="1265"/>
      <c r="Y29" s="3395"/>
      <c r="Z29" s="1264">
        <f t="shared" si="15"/>
        <v>0</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3"/>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3154" t="s">
        <v>3598</v>
      </c>
      <c r="O31" s="3154" t="s">
        <v>3599</v>
      </c>
      <c r="P31" s="3393"/>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264">
        <f t="shared" si="5"/>
        <v>1</v>
      </c>
    </row>
    <row r="32" spans="1:29" ht="15">
      <c r="A32" s="379" t="s">
        <v>1692</v>
      </c>
      <c r="B32" s="60" t="s">
        <v>1782</v>
      </c>
      <c r="C32" s="1764" t="s">
        <v>3455</v>
      </c>
      <c r="D32" s="405">
        <v>100</v>
      </c>
      <c r="E32" s="1764" t="s">
        <v>3455</v>
      </c>
      <c r="F32" s="400">
        <f>SUMIF(100:100,E32,101:101)-SUMIF(100:100,C32,101:101)+100</f>
        <v>100</v>
      </c>
      <c r="G32" s="1764" t="s">
        <v>3455</v>
      </c>
      <c r="H32" s="374">
        <f>SUMIF(100:100,G32,101:101)-SUMIF(100:100,C32,101:101)+100</f>
        <v>100</v>
      </c>
      <c r="I32" s="1764" t="s">
        <v>3455</v>
      </c>
      <c r="J32" s="405">
        <f>SUMIF(100:100,I32,101:101)-SUMIF(100:100,C32,101:101)+100</f>
        <v>100</v>
      </c>
      <c r="K32" s="538">
        <v>5</v>
      </c>
      <c r="L32" s="2491"/>
      <c r="M32" s="3154" t="s">
        <v>3554</v>
      </c>
      <c r="N32" s="2486">
        <v>2013</v>
      </c>
      <c r="O32" s="2486">
        <f>ROUND(1-(1-0)*(2024-N32)/60,2)</f>
        <v>0.82</v>
      </c>
      <c r="P32" s="3396" t="s">
        <v>1694</v>
      </c>
      <c r="Q32" s="1263" t="str">
        <f t="shared" si="11"/>
        <v>商业类型</v>
      </c>
      <c r="R32" s="667" t="s">
        <v>14</v>
      </c>
      <c r="S32" s="668">
        <f t="shared" si="12"/>
        <v>100</v>
      </c>
      <c r="T32" s="667" t="s">
        <v>14</v>
      </c>
      <c r="U32" s="668">
        <f t="shared" si="13"/>
        <v>100</v>
      </c>
      <c r="V32" s="667" t="s">
        <v>14</v>
      </c>
      <c r="W32" s="668">
        <f t="shared" si="14"/>
        <v>100</v>
      </c>
      <c r="X32" s="1265"/>
      <c r="Y32" s="3399" t="s">
        <v>1694</v>
      </c>
      <c r="Z32" s="1264" t="str">
        <f t="shared" si="15"/>
        <v>商业类型</v>
      </c>
      <c r="AA32" s="1264">
        <f t="shared" si="3"/>
        <v>1</v>
      </c>
      <c r="AB32" s="1264">
        <f t="shared" si="4"/>
        <v>1</v>
      </c>
      <c r="AC32" s="1264">
        <f t="shared" si="5"/>
        <v>1</v>
      </c>
    </row>
    <row r="33" spans="1:29" s="408" customFormat="1" ht="15">
      <c r="A33" s="406"/>
      <c r="B33" s="364" t="s">
        <v>1695</v>
      </c>
      <c r="C33" s="407">
        <f>'数据-汇总表'!E21</f>
        <v>172.21</v>
      </c>
      <c r="D33" s="119">
        <v>100</v>
      </c>
      <c r="E33" s="369">
        <v>190.35</v>
      </c>
      <c r="F33" s="364">
        <f>LOOKUP(E33,103:103,104:104)-LOOKUP(C33,103:103,104:104)+100</f>
        <v>100</v>
      </c>
      <c r="G33" s="368">
        <v>58.26</v>
      </c>
      <c r="H33" s="119">
        <f>LOOKUP(G33,103:103,104:104)-LOOKUP(C33,103:103,104:104)+100</f>
        <v>107</v>
      </c>
      <c r="I33" s="368">
        <f>案例!O112</f>
        <v>131.91</v>
      </c>
      <c r="J33" s="119">
        <f>LOOKUP(I33,103:103,104:104)-LOOKUP(C33,103:103,104:104)+100</f>
        <v>102</v>
      </c>
      <c r="K33" s="539"/>
      <c r="L33" s="2490"/>
      <c r="M33" s="3154" t="s">
        <v>3555</v>
      </c>
      <c r="N33" s="2486">
        <v>2016</v>
      </c>
      <c r="O33" s="2486">
        <f>ROUND(1-(1-0)*(2024-N33)/60,2)</f>
        <v>0.87</v>
      </c>
      <c r="P33" s="3397"/>
      <c r="Q33" s="531" t="str">
        <f t="shared" si="11"/>
        <v>项目建筑规模</v>
      </c>
      <c r="R33" s="669" t="s">
        <v>14</v>
      </c>
      <c r="S33" s="670">
        <f t="shared" si="12"/>
        <v>100</v>
      </c>
      <c r="T33" s="669" t="s">
        <v>14</v>
      </c>
      <c r="U33" s="670">
        <f t="shared" si="13"/>
        <v>107</v>
      </c>
      <c r="V33" s="669" t="s">
        <v>14</v>
      </c>
      <c r="W33" s="670">
        <f t="shared" si="14"/>
        <v>102</v>
      </c>
      <c r="X33" s="671"/>
      <c r="Y33" s="3399"/>
      <c r="Z33" s="672" t="str">
        <f t="shared" si="15"/>
        <v>项目建筑规模</v>
      </c>
      <c r="AA33" s="1264">
        <f t="shared" si="3"/>
        <v>1</v>
      </c>
      <c r="AB33" s="1264">
        <f t="shared" si="4"/>
        <v>0.93457943925233644</v>
      </c>
      <c r="AC33" s="1264">
        <f t="shared" si="5"/>
        <v>0.98039215686274506</v>
      </c>
    </row>
    <row r="34" spans="1:29" ht="15">
      <c r="A34" s="409"/>
      <c r="B34" s="364" t="s">
        <v>1696</v>
      </c>
      <c r="C34" s="399" t="s">
        <v>3402</v>
      </c>
      <c r="D34" s="374">
        <v>100</v>
      </c>
      <c r="E34" s="399" t="s">
        <v>3402</v>
      </c>
      <c r="F34" s="400">
        <f>SUMIF(105:105,E34,106:106)-SUMIF(105:105,C34,106:106)+100</f>
        <v>100</v>
      </c>
      <c r="G34" s="399" t="s">
        <v>3402</v>
      </c>
      <c r="H34" s="374">
        <f>SUMIF(105:105,G34,106:106)-SUMIF(105:105,C34,106:106)+100</f>
        <v>100</v>
      </c>
      <c r="I34" s="399" t="s">
        <v>3402</v>
      </c>
      <c r="J34" s="374">
        <f>SUMIF(105:105,I34,106:106)-SUMIF(105:105,C34,106:106)+100</f>
        <v>100</v>
      </c>
      <c r="K34" s="538">
        <v>1</v>
      </c>
      <c r="L34" s="2491"/>
      <c r="M34" s="3154" t="s">
        <v>3556</v>
      </c>
      <c r="N34" s="2486">
        <v>2007</v>
      </c>
      <c r="O34" s="2486">
        <f>ROUND(1-(1-0)*(2024-N34)/60,2)</f>
        <v>0.72</v>
      </c>
      <c r="P34" s="3397"/>
      <c r="Q34" s="1263" t="str">
        <f t="shared" si="11"/>
        <v>建筑结构</v>
      </c>
      <c r="R34" s="667" t="s">
        <v>14</v>
      </c>
      <c r="S34" s="668">
        <f t="shared" si="12"/>
        <v>100</v>
      </c>
      <c r="T34" s="667" t="s">
        <v>14</v>
      </c>
      <c r="U34" s="668">
        <f t="shared" si="13"/>
        <v>100</v>
      </c>
      <c r="V34" s="667" t="s">
        <v>14</v>
      </c>
      <c r="W34" s="668">
        <f t="shared" si="14"/>
        <v>100</v>
      </c>
      <c r="X34" s="1265"/>
      <c r="Y34" s="3399"/>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3154" t="s">
        <v>3584</v>
      </c>
      <c r="N35" s="2486">
        <v>2012</v>
      </c>
      <c r="O35" s="2486">
        <f t="shared" ref="O35:O36" si="16">ROUND(1-(1-0)*(2024-N35)/60,2)</f>
        <v>0.8</v>
      </c>
      <c r="P35" s="3397"/>
      <c r="Q35" s="1263" t="str">
        <f t="shared" si="11"/>
        <v>公共部分装修</v>
      </c>
      <c r="R35" s="667" t="s">
        <v>14</v>
      </c>
      <c r="S35" s="668">
        <f t="shared" si="12"/>
        <v>100</v>
      </c>
      <c r="T35" s="667" t="s">
        <v>14</v>
      </c>
      <c r="U35" s="668">
        <f t="shared" si="13"/>
        <v>100</v>
      </c>
      <c r="V35" s="667" t="s">
        <v>14</v>
      </c>
      <c r="W35" s="668">
        <f t="shared" si="14"/>
        <v>100</v>
      </c>
      <c r="X35" s="1265"/>
      <c r="Y35" s="3399"/>
      <c r="Z35" s="1264" t="str">
        <f t="shared" si="15"/>
        <v>公共部分装修</v>
      </c>
      <c r="AA35" s="1264">
        <f t="shared" si="3"/>
        <v>1</v>
      </c>
      <c r="AB35" s="1264">
        <f t="shared" si="4"/>
        <v>1</v>
      </c>
      <c r="AC35" s="1264">
        <f t="shared" si="5"/>
        <v>1</v>
      </c>
    </row>
    <row r="36" spans="1:29" ht="15">
      <c r="A36" s="409"/>
      <c r="B36" s="364" t="s">
        <v>1784</v>
      </c>
      <c r="C36" s="411">
        <f>'数据-取费表'!N6</f>
        <v>0.74</v>
      </c>
      <c r="D36" s="374">
        <v>100</v>
      </c>
      <c r="E36" s="411">
        <f>O35</f>
        <v>0.8</v>
      </c>
      <c r="F36" s="400">
        <f>LOOKUP(E36,110:110,111:111)-LOOKUP(C36,110:110,111:111)+100</f>
        <v>101</v>
      </c>
      <c r="G36" s="411">
        <f>O36</f>
        <v>0.77</v>
      </c>
      <c r="H36" s="400">
        <f>LOOKUP(G36,110:110,111:111)-LOOKUP(C36,110:110,111:111)+100</f>
        <v>100</v>
      </c>
      <c r="I36" s="411">
        <f>O32</f>
        <v>0.82</v>
      </c>
      <c r="J36" s="374">
        <f>LOOKUP(I36,110:110,111:111)-LOOKUP(C36,110:110,111:111)+100</f>
        <v>101</v>
      </c>
      <c r="K36" s="538">
        <v>1</v>
      </c>
      <c r="L36" s="2491"/>
      <c r="M36" s="3154" t="s">
        <v>3586</v>
      </c>
      <c r="N36" s="2486">
        <v>2010</v>
      </c>
      <c r="O36" s="2486">
        <f t="shared" si="16"/>
        <v>0.77</v>
      </c>
      <c r="P36" s="3397"/>
      <c r="Q36" s="1263" t="str">
        <f t="shared" si="11"/>
        <v>成新度</v>
      </c>
      <c r="R36" s="667" t="s">
        <v>14</v>
      </c>
      <c r="S36" s="668">
        <f t="shared" si="12"/>
        <v>101</v>
      </c>
      <c r="T36" s="667" t="s">
        <v>14</v>
      </c>
      <c r="U36" s="668">
        <f t="shared" si="13"/>
        <v>100</v>
      </c>
      <c r="V36" s="667" t="s">
        <v>14</v>
      </c>
      <c r="W36" s="668">
        <f t="shared" si="14"/>
        <v>101</v>
      </c>
      <c r="X36" s="1265"/>
      <c r="Y36" s="3399"/>
      <c r="Z36" s="1264" t="str">
        <f t="shared" si="15"/>
        <v>成新度</v>
      </c>
      <c r="AA36" s="1264">
        <f t="shared" si="3"/>
        <v>0.99009900990099009</v>
      </c>
      <c r="AB36" s="1264">
        <f t="shared" si="4"/>
        <v>1</v>
      </c>
      <c r="AC36" s="1264">
        <f t="shared" si="5"/>
        <v>0.99009900990099009</v>
      </c>
    </row>
    <row r="37" spans="1:29" s="102" customFormat="1" ht="15">
      <c r="A37" s="410"/>
      <c r="B37" s="364" t="s">
        <v>1785</v>
      </c>
      <c r="C37" s="1760" t="s">
        <v>3461</v>
      </c>
      <c r="D37" s="119">
        <v>100</v>
      </c>
      <c r="E37" s="1760" t="s">
        <v>3459</v>
      </c>
      <c r="F37" s="400">
        <f>SUMIF(112:112,E37,113:113)-SUMIF(112:112,C37,113:113)+100</f>
        <v>101</v>
      </c>
      <c r="G37" s="1760" t="s">
        <v>3461</v>
      </c>
      <c r="H37" s="374">
        <f>SUMIF(112:112,G37,113:113)-SUMIF(112:112,C37,113:113)+100</f>
        <v>100</v>
      </c>
      <c r="I37" s="1760" t="s">
        <v>3461</v>
      </c>
      <c r="J37" s="374">
        <f>SUMIF(112:112,I37,113:113)-SUMIF(112:112,C37,113:113)+100</f>
        <v>100</v>
      </c>
      <c r="K37" s="538">
        <v>1</v>
      </c>
      <c r="L37" s="2487"/>
      <c r="M37" s="2486"/>
      <c r="N37" s="2486"/>
      <c r="O37" s="2439"/>
      <c r="P37" s="3397"/>
      <c r="Q37" s="530" t="str">
        <f t="shared" si="11"/>
        <v>市政基础设施</v>
      </c>
      <c r="R37" s="664" t="s">
        <v>14</v>
      </c>
      <c r="S37" s="665">
        <f t="shared" si="12"/>
        <v>101</v>
      </c>
      <c r="T37" s="664" t="s">
        <v>14</v>
      </c>
      <c r="U37" s="665">
        <f t="shared" si="13"/>
        <v>100</v>
      </c>
      <c r="V37" s="664" t="s">
        <v>14</v>
      </c>
      <c r="W37" s="665">
        <f t="shared" si="14"/>
        <v>100</v>
      </c>
      <c r="X37" s="666"/>
      <c r="Y37" s="3399"/>
      <c r="Z37" s="50" t="str">
        <f t="shared" si="15"/>
        <v>市政基础设施</v>
      </c>
      <c r="AA37" s="50">
        <f t="shared" si="3"/>
        <v>0.99009900990099009</v>
      </c>
      <c r="AB37" s="50">
        <f t="shared" si="4"/>
        <v>1</v>
      </c>
      <c r="AC37" s="50">
        <f t="shared" si="5"/>
        <v>1</v>
      </c>
    </row>
    <row r="38" spans="1:29" ht="15">
      <c r="A38" s="409"/>
      <c r="B38" s="364" t="s">
        <v>1786</v>
      </c>
      <c r="C38" s="1760" t="s">
        <v>3464</v>
      </c>
      <c r="D38" s="374">
        <v>100</v>
      </c>
      <c r="E38" s="1760" t="s">
        <v>3466</v>
      </c>
      <c r="F38" s="400">
        <f>SUMIF(114:114,E38,115:115)-SUMIF(114:114,C38,115:115)+100</f>
        <v>95</v>
      </c>
      <c r="G38" s="1760" t="s">
        <v>3466</v>
      </c>
      <c r="H38" s="374">
        <f>SUMIF(114:114,G38,115:115)-SUMIF(114:114,C38,115:115)+100</f>
        <v>95</v>
      </c>
      <c r="I38" s="1760" t="s">
        <v>3466</v>
      </c>
      <c r="J38" s="374">
        <f>SUMIF(114:114,I38,115:115)-SUMIF(114:114,C38,115:115)+100</f>
        <v>95</v>
      </c>
      <c r="K38" s="538">
        <v>5</v>
      </c>
      <c r="L38" s="2491"/>
      <c r="N38" s="3154" t="s">
        <v>3601</v>
      </c>
      <c r="O38" s="2486"/>
      <c r="P38" s="3397" t="s">
        <v>1694</v>
      </c>
      <c r="Q38" s="1263" t="str">
        <f t="shared" si="11"/>
        <v>业态</v>
      </c>
      <c r="R38" s="667" t="s">
        <v>14</v>
      </c>
      <c r="S38" s="668">
        <f t="shared" si="12"/>
        <v>95</v>
      </c>
      <c r="T38" s="667" t="s">
        <v>14</v>
      </c>
      <c r="U38" s="668">
        <f t="shared" si="13"/>
        <v>95</v>
      </c>
      <c r="V38" s="667" t="s">
        <v>14</v>
      </c>
      <c r="W38" s="668">
        <f t="shared" si="14"/>
        <v>95</v>
      </c>
      <c r="X38" s="1265"/>
      <c r="Y38" s="3399" t="s">
        <v>1694</v>
      </c>
      <c r="Z38" s="1264" t="str">
        <f t="shared" si="15"/>
        <v>业态</v>
      </c>
      <c r="AA38" s="1264">
        <f t="shared" si="3"/>
        <v>1.0526315789473684</v>
      </c>
      <c r="AB38" s="1264">
        <f t="shared" si="4"/>
        <v>1.0526315789473684</v>
      </c>
      <c r="AC38" s="1264">
        <f t="shared" si="5"/>
        <v>1.0526315789473684</v>
      </c>
    </row>
    <row r="39" spans="1:29" ht="15">
      <c r="A39" s="409"/>
      <c r="B39" s="364" t="s">
        <v>1787</v>
      </c>
      <c r="C39" s="1760" t="s">
        <v>3468</v>
      </c>
      <c r="D39" s="374">
        <v>100</v>
      </c>
      <c r="E39" s="1760" t="s">
        <v>3579</v>
      </c>
      <c r="F39" s="400">
        <f>SUMIF(116:116,E39,117:117)-SUMIF(116:116,C39,117:117)+100</f>
        <v>105</v>
      </c>
      <c r="G39" s="1760" t="s">
        <v>3468</v>
      </c>
      <c r="H39" s="374">
        <f>SUMIF(116:116,G39,117:117)-SUMIF(116:116,C39,117:117)+100</f>
        <v>100</v>
      </c>
      <c r="I39" s="1760" t="s">
        <v>3468</v>
      </c>
      <c r="J39" s="374">
        <f>SUMIF(116:116,I39,117:117)-SUMIF(116:116,C39,117:117)+100</f>
        <v>100</v>
      </c>
      <c r="K39" s="538">
        <v>5</v>
      </c>
      <c r="L39" s="3154" t="s">
        <v>3584</v>
      </c>
      <c r="M39" s="2486">
        <f>N35-2+40</f>
        <v>2050</v>
      </c>
      <c r="N39" s="2486">
        <f>M39-2024</f>
        <v>26</v>
      </c>
      <c r="O39" s="2486"/>
      <c r="P39" s="3397"/>
      <c r="Q39" s="1263" t="str">
        <f t="shared" si="11"/>
        <v>层高</v>
      </c>
      <c r="R39" s="667" t="s">
        <v>14</v>
      </c>
      <c r="S39" s="668">
        <f t="shared" si="12"/>
        <v>105</v>
      </c>
      <c r="T39" s="667" t="s">
        <v>14</v>
      </c>
      <c r="U39" s="668">
        <f t="shared" si="13"/>
        <v>100</v>
      </c>
      <c r="V39" s="667" t="s">
        <v>14</v>
      </c>
      <c r="W39" s="668">
        <f t="shared" si="14"/>
        <v>100</v>
      </c>
      <c r="X39" s="1265"/>
      <c r="Y39" s="3399"/>
      <c r="Z39" s="1264" t="str">
        <f t="shared" si="15"/>
        <v>层高</v>
      </c>
      <c r="AA39" s="1264">
        <f t="shared" si="3"/>
        <v>0.95238095238095233</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3154" t="s">
        <v>3586</v>
      </c>
      <c r="M40" s="2486">
        <f>N36-2+40</f>
        <v>2048</v>
      </c>
      <c r="N40" s="2486">
        <f t="shared" ref="N40:N41" si="17">M40-2024</f>
        <v>24</v>
      </c>
      <c r="O40" s="2486"/>
      <c r="P40" s="3397"/>
      <c r="Q40" s="1263" t="str">
        <f t="shared" si="11"/>
        <v>单套建筑面积</v>
      </c>
      <c r="R40" s="667" t="s">
        <v>14</v>
      </c>
      <c r="S40" s="668">
        <f t="shared" si="12"/>
        <v>100</v>
      </c>
      <c r="T40" s="667" t="s">
        <v>14</v>
      </c>
      <c r="U40" s="668">
        <f t="shared" si="13"/>
        <v>100</v>
      </c>
      <c r="V40" s="667" t="s">
        <v>14</v>
      </c>
      <c r="W40" s="668">
        <f t="shared" si="14"/>
        <v>100</v>
      </c>
      <c r="X40" s="1265"/>
      <c r="Y40" s="3399"/>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3154" t="s">
        <v>3602</v>
      </c>
      <c r="M41" s="2486">
        <f>N32-2+40</f>
        <v>2051</v>
      </c>
      <c r="N41" s="2486">
        <f t="shared" si="17"/>
        <v>27</v>
      </c>
      <c r="O41" s="2492"/>
      <c r="P41" s="3397"/>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4">
        <f t="shared" si="3"/>
        <v>1</v>
      </c>
      <c r="AB41" s="1264">
        <f t="shared" si="4"/>
        <v>1</v>
      </c>
      <c r="AC41" s="1264">
        <f t="shared" si="5"/>
        <v>1</v>
      </c>
    </row>
    <row r="42" spans="1:29" ht="15">
      <c r="A42" s="409"/>
      <c r="B42" s="364" t="s">
        <v>1790</v>
      </c>
      <c r="C42" s="1760" t="s">
        <v>3473</v>
      </c>
      <c r="D42" s="374">
        <v>100</v>
      </c>
      <c r="E42" s="1760" t="s">
        <v>3473</v>
      </c>
      <c r="F42" s="400">
        <f>SUMIF(122:122,E42,123:123)-SUMIF(122:122,C42,123:123)+100</f>
        <v>100</v>
      </c>
      <c r="G42" s="1760" t="s">
        <v>3473</v>
      </c>
      <c r="H42" s="374">
        <f>SUMIF(122:122,G42,123:123)-SUMIF(122:122,C42,123:123)+100</f>
        <v>100</v>
      </c>
      <c r="I42" s="1760" t="s">
        <v>3470</v>
      </c>
      <c r="J42" s="374">
        <f>SUMIF(122:122,I42,123:123)-SUMIF(122:122,C42,123:123)+100</f>
        <v>104</v>
      </c>
      <c r="K42" s="538">
        <v>2</v>
      </c>
      <c r="L42" s="2491"/>
      <c r="M42" s="2486"/>
      <c r="N42" s="3164" t="s">
        <v>3609</v>
      </c>
      <c r="O42" s="2486"/>
      <c r="P42" s="3397"/>
      <c r="Q42" s="1263" t="str">
        <f t="shared" si="11"/>
        <v>内部装修</v>
      </c>
      <c r="R42" s="667" t="s">
        <v>14</v>
      </c>
      <c r="S42" s="668">
        <f t="shared" si="12"/>
        <v>100</v>
      </c>
      <c r="T42" s="667" t="s">
        <v>14</v>
      </c>
      <c r="U42" s="668">
        <f t="shared" si="13"/>
        <v>100</v>
      </c>
      <c r="V42" s="667" t="s">
        <v>14</v>
      </c>
      <c r="W42" s="668">
        <f t="shared" si="14"/>
        <v>104</v>
      </c>
      <c r="X42" s="1265"/>
      <c r="Y42" s="3399"/>
      <c r="Z42" s="1264" t="str">
        <f t="shared" si="15"/>
        <v>内部装修</v>
      </c>
      <c r="AA42" s="1264">
        <f t="shared" si="3"/>
        <v>1</v>
      </c>
      <c r="AB42" s="1264">
        <f t="shared" si="4"/>
        <v>1</v>
      </c>
      <c r="AC42" s="1264">
        <f t="shared" si="5"/>
        <v>0.96153846153846156</v>
      </c>
    </row>
    <row r="43" spans="1:29" ht="28.8">
      <c r="A43" s="409"/>
      <c r="B43" s="364" t="s">
        <v>1705</v>
      </c>
      <c r="C43" s="1760" t="s">
        <v>3443</v>
      </c>
      <c r="D43" s="374">
        <v>100</v>
      </c>
      <c r="E43" s="1760" t="s">
        <v>3443</v>
      </c>
      <c r="F43" s="400">
        <f>SUMIF(124:124,E43,125:125)-SUMIF(124:124,C43,125:125)+100</f>
        <v>100</v>
      </c>
      <c r="G43" s="1760" t="s">
        <v>3443</v>
      </c>
      <c r="H43" s="374">
        <f>SUMIF(124:124,G43,125:125)-SUMIF(124:124,C43,125:125)+100</f>
        <v>100</v>
      </c>
      <c r="I43" s="1760" t="s">
        <v>3443</v>
      </c>
      <c r="J43" s="374">
        <f>SUMIF(124:124,I43,125:125)-SUMIF(124:124,C43,125:125)+100</f>
        <v>100</v>
      </c>
      <c r="K43" s="538">
        <v>2</v>
      </c>
      <c r="L43" s="3509" t="s">
        <v>3607</v>
      </c>
      <c r="M43" s="2486">
        <f>案例!N79</f>
        <v>55162</v>
      </c>
      <c r="N43" s="3508">
        <f>ROUND(M43/C93*100,0)</f>
        <v>46747</v>
      </c>
      <c r="O43" s="2486"/>
      <c r="P43" s="3397"/>
      <c r="Q43" s="1263" t="str">
        <f t="shared" si="11"/>
        <v>内部装修维护情况</v>
      </c>
      <c r="R43" s="667" t="s">
        <v>14</v>
      </c>
      <c r="S43" s="668">
        <f t="shared" si="12"/>
        <v>100</v>
      </c>
      <c r="T43" s="667" t="s">
        <v>14</v>
      </c>
      <c r="U43" s="668">
        <f t="shared" si="13"/>
        <v>100</v>
      </c>
      <c r="V43" s="667" t="s">
        <v>14</v>
      </c>
      <c r="W43" s="668">
        <f t="shared" si="14"/>
        <v>100</v>
      </c>
      <c r="X43" s="1265"/>
      <c r="Y43" s="339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3507" t="s">
        <v>3608</v>
      </c>
      <c r="M44" s="2439">
        <v>48061</v>
      </c>
      <c r="N44" s="3508">
        <f>ROUND(M44/C93*100,0)</f>
        <v>40730</v>
      </c>
      <c r="O44" s="2439"/>
      <c r="P44" s="3397"/>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3506"/>
      <c r="M45" s="2486"/>
      <c r="N45" s="2486"/>
      <c r="O45" s="2486"/>
      <c r="P45" s="3397"/>
      <c r="Q45" s="1263">
        <f t="shared" si="11"/>
        <v>111</v>
      </c>
      <c r="R45" s="667" t="s">
        <v>14</v>
      </c>
      <c r="S45" s="668">
        <f t="shared" si="12"/>
        <v>100</v>
      </c>
      <c r="T45" s="667" t="s">
        <v>14</v>
      </c>
      <c r="U45" s="668">
        <f t="shared" si="13"/>
        <v>100</v>
      </c>
      <c r="V45" s="667" t="s">
        <v>14</v>
      </c>
      <c r="W45" s="668">
        <f t="shared" si="14"/>
        <v>100</v>
      </c>
      <c r="X45" s="1265"/>
      <c r="Y45" s="339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264">
        <f t="shared" si="5"/>
        <v>1</v>
      </c>
    </row>
    <row r="47" spans="1:29" ht="14.4">
      <c r="A47" s="416" t="s">
        <v>1706</v>
      </c>
      <c r="B47" s="417"/>
      <c r="C47" s="1081" t="s">
        <v>0</v>
      </c>
      <c r="D47" s="418"/>
      <c r="E47" s="419">
        <f>N43</f>
        <v>46747</v>
      </c>
      <c r="F47" s="420"/>
      <c r="G47" s="421">
        <f>N44</f>
        <v>40730</v>
      </c>
      <c r="H47" s="422"/>
      <c r="I47" s="419">
        <f>案例!O113</f>
        <v>49656</v>
      </c>
      <c r="J47" s="422"/>
      <c r="K47" s="674"/>
      <c r="L47" s="2493"/>
      <c r="M47" s="2486"/>
      <c r="N47" s="2486"/>
      <c r="O47" s="2486"/>
      <c r="P47" s="3401" t="str">
        <f>A47</f>
        <v>成交单价（元/平方米）</v>
      </c>
      <c r="Q47" s="3401"/>
      <c r="R47" s="3362">
        <f>E47</f>
        <v>46747</v>
      </c>
      <c r="S47" s="3362"/>
      <c r="T47" s="3362">
        <f>G47</f>
        <v>40730</v>
      </c>
      <c r="U47" s="3362"/>
      <c r="V47" s="3362">
        <f>I47</f>
        <v>49656</v>
      </c>
      <c r="W47" s="3362"/>
      <c r="X47" s="385"/>
      <c r="Y47" s="673"/>
      <c r="Z47" s="385"/>
      <c r="AA47" s="385"/>
      <c r="AB47" s="385"/>
      <c r="AC47" s="385"/>
    </row>
    <row r="48" spans="1:29" ht="15" thickBot="1">
      <c r="A48" s="423" t="s">
        <v>1707</v>
      </c>
      <c r="B48" s="424"/>
      <c r="C48" s="1082">
        <f>R49</f>
        <v>40485</v>
      </c>
      <c r="D48" s="2141" t="s">
        <v>2136</v>
      </c>
      <c r="E48" s="1083">
        <f>R48</f>
        <v>39776</v>
      </c>
      <c r="F48" s="2142"/>
      <c r="G48" s="1082">
        <f>T48</f>
        <v>39440</v>
      </c>
      <c r="H48" s="2142"/>
      <c r="I48" s="1083">
        <f>V48</f>
        <v>42239</v>
      </c>
      <c r="J48" s="2142"/>
      <c r="K48" s="2144">
        <f>F48+H48+J48</f>
        <v>0</v>
      </c>
      <c r="L48" s="2493"/>
      <c r="M48" s="2486"/>
      <c r="N48" s="2486"/>
      <c r="O48" s="2486"/>
      <c r="P48" s="3401" t="str">
        <f>A48</f>
        <v>比较价值（元/平方米）</v>
      </c>
      <c r="Q48" s="3401"/>
      <c r="R48" s="3362">
        <f>IF(F1="售价",ROUND(PRODUCT(R47,AA7:AA46),0),ROUND(PRODUCT(R47,AA7:AA46),1))</f>
        <v>39776</v>
      </c>
      <c r="S48" s="3362"/>
      <c r="T48" s="3362">
        <f>IF(F1="售价",ROUND(PRODUCT(T47,AB7:AB46),0),ROUND(PRODUCT(T47,AB7:AB46),1))</f>
        <v>39440</v>
      </c>
      <c r="U48" s="3362"/>
      <c r="V48" s="3362">
        <f>IF(F1="售价",ROUND(PRODUCT(V47,AC7:AC46),0),ROUND(PRODUCT(V47,AC7:AC46),1))</f>
        <v>42239</v>
      </c>
      <c r="W48" s="3362"/>
      <c r="X48" s="385"/>
      <c r="Y48" s="385"/>
      <c r="Z48" s="385"/>
      <c r="AA48" s="385"/>
      <c r="AB48" s="385"/>
      <c r="AC48" s="385"/>
    </row>
    <row r="49" spans="1:29" ht="15" thickBot="1">
      <c r="A49" s="427" t="s">
        <v>1708</v>
      </c>
      <c r="B49" s="428"/>
      <c r="C49" s="351">
        <f>R49</f>
        <v>40485</v>
      </c>
      <c r="D49" s="351"/>
      <c r="E49" s="351"/>
      <c r="F49" s="351"/>
      <c r="G49" s="351"/>
      <c r="H49" s="351"/>
      <c r="I49" s="351"/>
      <c r="J49" s="351"/>
      <c r="K49" s="675"/>
      <c r="L49" s="2493"/>
      <c r="M49" s="2486"/>
      <c r="N49" s="2486"/>
      <c r="O49" s="2486"/>
      <c r="P49" s="3402" t="str">
        <f>A49</f>
        <v>估价对象XX用房的比较价值（楼面单价，元/平方米）</v>
      </c>
      <c r="Q49" s="3403"/>
      <c r="R49" s="3404">
        <f>IF(F1="售价",ROUND(IF(D48="简单平均",AVERAGE(R48:V48),R48*F48+T48*H48+V48*J48),0),ROUND(IF(D48="简单平均",AVERAGE(R48:V48),R48*F48+T48*H48+V48*J48),1))</f>
        <v>40485</v>
      </c>
      <c r="S49" s="3404"/>
      <c r="T49" s="3404"/>
      <c r="U49" s="3404"/>
      <c r="V49" s="3404"/>
      <c r="W49" s="3404"/>
      <c r="X49" s="385"/>
      <c r="Y49" s="385"/>
      <c r="Z49" s="385"/>
      <c r="AA49" s="385"/>
      <c r="AB49" s="385"/>
      <c r="AC49" s="385"/>
    </row>
    <row r="50" spans="1:29" ht="14.4">
      <c r="A50" s="2486"/>
      <c r="B50" s="2486"/>
      <c r="C50" s="3154" t="s">
        <v>3611</v>
      </c>
      <c r="D50" s="2486"/>
      <c r="E50" s="2486"/>
      <c r="F50" s="2486"/>
      <c r="G50" s="3510" t="s">
        <v>3612</v>
      </c>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ht="14.4">
      <c r="A51" s="2486"/>
      <c r="B51" s="2486"/>
      <c r="E51" s="2486"/>
      <c r="F51" s="2486"/>
      <c r="G51" s="3154" t="s">
        <v>3610</v>
      </c>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1709</v>
      </c>
      <c r="D52" s="433"/>
      <c r="E52" s="434">
        <f>IF(E47&lt;E48,E48/E47-1,E47/E48-1)</f>
        <v>0.17525643604183427</v>
      </c>
      <c r="F52" s="435" t="str">
        <f>IF(OR(E52&gt;=0.3,E52&lt;=-0.3),"超过30%","")</f>
        <v/>
      </c>
      <c r="G52" s="434">
        <f>IF(G47&lt;G48,G48/G47-1,G47/G48-1)</f>
        <v>3.2707910750507052E-2</v>
      </c>
      <c r="H52" s="435" t="str">
        <f>IF(OR(G52&gt;=0.3,G52&lt;=-0.3),"超过30%","")</f>
        <v/>
      </c>
      <c r="I52" s="434">
        <f>IF(I47&lt;I48,I48/I47-1,I47/I48-1)</f>
        <v>0.1755960131631904</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1710</v>
      </c>
      <c r="D53" s="436"/>
      <c r="E53" s="434">
        <f>IF(E48&lt;G48,G48/E48-1,E48/G48-1)</f>
        <v>8.519269776876337E-3</v>
      </c>
      <c r="F53" s="435" t="str">
        <f>IF(OR(E53&gt;=0.2,E53&lt;=-0.2),"超过20%","")</f>
        <v/>
      </c>
      <c r="G53" s="434">
        <f>IF(G48&lt;I48,I48/G48-1,G48/I48-1)</f>
        <v>7.0968559837728096E-2</v>
      </c>
      <c r="H53" s="435" t="str">
        <f>IF(OR(G53&gt;=0.2,G53&lt;=-0.2),"超过20%","")</f>
        <v/>
      </c>
      <c r="I53" s="434">
        <f>IF(I48&lt;E48,E48/I48-1,I48/E48-1)</f>
        <v>6.1921761866452041E-2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1711</v>
      </c>
      <c r="D54" s="436"/>
      <c r="E54" s="434">
        <f>IF(E47&lt;G47,G47/E47-1,E47/G47-1)</f>
        <v>0.14772894672231773</v>
      </c>
      <c r="F54" s="435" t="str">
        <f>IF(OR(E54&gt;=0.3,E54&lt;=-0.3),"超过30%","")</f>
        <v/>
      </c>
      <c r="G54" s="434">
        <f>IF(G47&lt;I47,I47/G47-1,G47/I47-1)</f>
        <v>0.21915050331451025</v>
      </c>
      <c r="H54" s="435" t="str">
        <f>IF(OR(G54&gt;=0.3,G54&lt;=-0.3),"超过30%","")</f>
        <v/>
      </c>
      <c r="I54" s="434">
        <f>IF(I47&lt;E47,E47/I47-1,I47/E47-1)</f>
        <v>6.2228592209125688E-2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1712</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1677</v>
      </c>
      <c r="B58" s="441"/>
      <c r="C58" s="1103" t="str">
        <f>YEAR(C7)&amp;"-"&amp;MONTH(C7)</f>
        <v>2024-12</v>
      </c>
      <c r="D58" s="1104">
        <f>EDATE(C58,-1)</f>
        <v>45597</v>
      </c>
      <c r="E58" s="1104">
        <f t="shared" ref="E58:N58" si="18">EDATE(D58,-1)</f>
        <v>45566</v>
      </c>
      <c r="F58" s="1104">
        <f t="shared" si="18"/>
        <v>45536</v>
      </c>
      <c r="G58" s="1104">
        <f t="shared" si="18"/>
        <v>45505</v>
      </c>
      <c r="H58" s="1104">
        <f t="shared" si="18"/>
        <v>45474</v>
      </c>
      <c r="I58" s="1104">
        <f t="shared" si="18"/>
        <v>45444</v>
      </c>
      <c r="J58" s="1104">
        <f t="shared" si="18"/>
        <v>45413</v>
      </c>
      <c r="K58" s="1104">
        <f t="shared" si="18"/>
        <v>45383</v>
      </c>
      <c r="L58" s="1104">
        <f t="shared" si="18"/>
        <v>45352</v>
      </c>
      <c r="M58" s="1104">
        <f t="shared" si="18"/>
        <v>45323</v>
      </c>
      <c r="N58" s="1104">
        <f t="shared" si="18"/>
        <v>45292</v>
      </c>
      <c r="O58" s="1104">
        <f>EDATE(N58,-1)</f>
        <v>45261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1714</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1679</v>
      </c>
      <c r="B61" s="444"/>
      <c r="C61" s="456" t="s">
        <v>1716</v>
      </c>
      <c r="D61" s="3146" t="s">
        <v>3437</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1717</v>
      </c>
      <c r="B63" s="460" t="s">
        <v>1683</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1686</v>
      </c>
      <c r="C65" s="3167" t="s">
        <v>3589</v>
      </c>
      <c r="D65" s="3167" t="s">
        <v>3590</v>
      </c>
      <c r="E65" s="3167" t="s">
        <v>3591</v>
      </c>
      <c r="F65" s="3167" t="s">
        <v>3592</v>
      </c>
      <c r="G65" s="3167" t="s">
        <v>3593</v>
      </c>
      <c r="H65" s="3167" t="s">
        <v>3594</v>
      </c>
      <c r="I65" s="3167" t="s">
        <v>3595</v>
      </c>
      <c r="J65" s="3167" t="s">
        <v>3596</v>
      </c>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3168">
        <v>100</v>
      </c>
      <c r="D66" s="3168">
        <f>C66-$N$66</f>
        <v>95</v>
      </c>
      <c r="E66" s="3168">
        <f t="shared" ref="E66:J66" si="19">D66-$N$66</f>
        <v>90</v>
      </c>
      <c r="F66" s="3168">
        <f t="shared" si="19"/>
        <v>85</v>
      </c>
      <c r="G66" s="3168">
        <f t="shared" si="19"/>
        <v>80</v>
      </c>
      <c r="H66" s="3168">
        <f t="shared" si="19"/>
        <v>75</v>
      </c>
      <c r="I66" s="3168">
        <f t="shared" si="19"/>
        <v>70</v>
      </c>
      <c r="J66" s="3168">
        <f t="shared" si="19"/>
        <v>65</v>
      </c>
      <c r="K66" s="467"/>
      <c r="L66" s="467"/>
      <c r="M66" s="468"/>
      <c r="N66" s="2521">
        <v>5</v>
      </c>
      <c r="O66" s="2521"/>
      <c r="P66" s="2512"/>
      <c r="Q66" s="2507"/>
      <c r="R66" s="2486"/>
      <c r="S66" s="2486"/>
      <c r="T66" s="2486"/>
      <c r="U66" s="2486"/>
      <c r="V66" s="2486"/>
      <c r="W66" s="2486"/>
      <c r="X66" s="2486"/>
      <c r="Y66" s="2486"/>
      <c r="Z66" s="2486"/>
      <c r="AA66" s="2486"/>
      <c r="AB66" s="2486"/>
      <c r="AC66" s="2486"/>
    </row>
    <row r="67" spans="1:29" ht="15" thickTop="1">
      <c r="A67" s="367"/>
      <c r="B67" s="477" t="s">
        <v>1687</v>
      </c>
      <c r="C67" s="478" t="str">
        <f>C68&amp;"（含）"&amp;"-"&amp;D68</f>
        <v>0（含）-2</v>
      </c>
      <c r="D67" s="478" t="str">
        <f t="shared" ref="D67:L67" si="20">D68&amp;"（含）"&amp;"-"&amp;E68</f>
        <v>2（含）-</v>
      </c>
      <c r="E67" s="478" t="str">
        <f t="shared" si="20"/>
        <v>（含）-</v>
      </c>
      <c r="F67" s="478" t="str">
        <f t="shared" si="20"/>
        <v>（含）-</v>
      </c>
      <c r="G67" s="478" t="str">
        <f t="shared" si="20"/>
        <v>（含）-</v>
      </c>
      <c r="H67" s="478" t="str">
        <f t="shared" si="20"/>
        <v>（含）-</v>
      </c>
      <c r="I67" s="478" t="str">
        <f t="shared" si="20"/>
        <v>（含）-</v>
      </c>
      <c r="J67" s="478" t="str">
        <f t="shared" si="20"/>
        <v>（含）-</v>
      </c>
      <c r="K67" s="478" t="str">
        <f t="shared" si="20"/>
        <v>（含）-</v>
      </c>
      <c r="L67" s="478" t="str">
        <f t="shared" si="20"/>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1688</v>
      </c>
      <c r="B76" s="460" t="s">
        <v>1718</v>
      </c>
      <c r="C76" s="504" t="s">
        <v>1719</v>
      </c>
      <c r="D76" s="504" t="s">
        <v>1720</v>
      </c>
      <c r="E76" s="504" t="s">
        <v>1721</v>
      </c>
      <c r="F76" s="504" t="s">
        <v>1722</v>
      </c>
      <c r="G76" s="504" t="s">
        <v>1723</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1724</v>
      </c>
      <c r="C78" s="509" t="s">
        <v>1719</v>
      </c>
      <c r="D78" s="509" t="s">
        <v>1720</v>
      </c>
      <c r="E78" s="509" t="s">
        <v>1721</v>
      </c>
      <c r="F78" s="509" t="s">
        <v>1722</v>
      </c>
      <c r="G78" s="509" t="s">
        <v>1723</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1725</v>
      </c>
      <c r="C80" s="509" t="s">
        <v>1719</v>
      </c>
      <c r="D80" s="509" t="s">
        <v>1720</v>
      </c>
      <c r="E80" s="509" t="s">
        <v>1721</v>
      </c>
      <c r="F80" s="509" t="s">
        <v>1722</v>
      </c>
      <c r="G80" s="509" t="s">
        <v>1723</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1777</v>
      </c>
      <c r="C82" s="581" t="s">
        <v>1797</v>
      </c>
      <c r="D82" s="581" t="s">
        <v>1798</v>
      </c>
      <c r="E82" s="581" t="s">
        <v>1799</v>
      </c>
      <c r="F82" s="581" t="s">
        <v>1800</v>
      </c>
      <c r="G82" s="581" t="s">
        <v>1801</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22">D83-$K21</f>
        <v>98</v>
      </c>
      <c r="F83" s="475">
        <f t="shared" si="22"/>
        <v>97</v>
      </c>
      <c r="G83" s="475">
        <f t="shared" si="22"/>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1731</v>
      </c>
      <c r="C84" s="509" t="s">
        <v>1719</v>
      </c>
      <c r="D84" s="509" t="s">
        <v>1720</v>
      </c>
      <c r="E84" s="509" t="s">
        <v>1721</v>
      </c>
      <c r="F84" s="509" t="s">
        <v>1722</v>
      </c>
      <c r="G84" s="509" t="s">
        <v>1723</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1802</v>
      </c>
      <c r="C86" s="3148" t="s">
        <v>3439</v>
      </c>
      <c r="D86" s="3148" t="s">
        <v>3441</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3">C87-$K25</f>
        <v>95</v>
      </c>
      <c r="E87" s="475">
        <f t="shared" si="23"/>
        <v>90</v>
      </c>
      <c r="F87" s="475">
        <f t="shared" si="23"/>
        <v>85</v>
      </c>
      <c r="G87" s="475">
        <f t="shared" si="23"/>
        <v>80</v>
      </c>
      <c r="H87" s="475">
        <f t="shared" si="23"/>
        <v>75</v>
      </c>
      <c r="I87" s="475">
        <f t="shared" si="23"/>
        <v>70</v>
      </c>
      <c r="J87" s="475">
        <f t="shared" si="23"/>
        <v>65</v>
      </c>
      <c r="K87" s="475">
        <f t="shared" si="23"/>
        <v>60</v>
      </c>
      <c r="L87" s="475">
        <f t="shared" si="23"/>
        <v>55</v>
      </c>
      <c r="M87" s="475">
        <f t="shared" si="23"/>
        <v>50</v>
      </c>
      <c r="N87" s="2521"/>
      <c r="O87" s="2521"/>
      <c r="P87" s="2512"/>
      <c r="Q87" s="2507"/>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48" t="s">
        <v>3446</v>
      </c>
      <c r="D88" s="3148" t="s">
        <v>3447</v>
      </c>
      <c r="E88" s="3148" t="s">
        <v>3448</v>
      </c>
      <c r="F88" s="3149" t="s">
        <v>3449</v>
      </c>
      <c r="G88" s="3148" t="s">
        <v>3450</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v>100</v>
      </c>
      <c r="D89" s="467">
        <f>C89-5</f>
        <v>95</v>
      </c>
      <c r="E89" s="467">
        <f t="shared" ref="E89:G89" si="24">D89-5</f>
        <v>90</v>
      </c>
      <c r="F89" s="467">
        <f t="shared" si="24"/>
        <v>85</v>
      </c>
      <c r="G89" s="467">
        <f t="shared" si="24"/>
        <v>80</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 thickTop="1">
      <c r="A90" s="484"/>
      <c r="B90" s="469" t="str">
        <f>B27</f>
        <v>人流量</v>
      </c>
      <c r="C90" s="3148" t="s">
        <v>3451</v>
      </c>
      <c r="D90" s="3148" t="s">
        <v>3452</v>
      </c>
      <c r="E90" s="3148" t="s">
        <v>3448</v>
      </c>
      <c r="F90" s="3148" t="s">
        <v>3453</v>
      </c>
      <c r="G90" s="3148" t="s">
        <v>3454</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97</v>
      </c>
      <c r="E91" s="475">
        <f t="shared" ref="E91:M91" si="25">D91-$K27</f>
        <v>94</v>
      </c>
      <c r="F91" s="475">
        <f t="shared" si="25"/>
        <v>91</v>
      </c>
      <c r="G91" s="475">
        <f t="shared" si="25"/>
        <v>88</v>
      </c>
      <c r="H91" s="475">
        <f t="shared" si="25"/>
        <v>85</v>
      </c>
      <c r="I91" s="475">
        <f t="shared" si="25"/>
        <v>82</v>
      </c>
      <c r="J91" s="475">
        <f t="shared" si="25"/>
        <v>79</v>
      </c>
      <c r="K91" s="475">
        <f t="shared" si="25"/>
        <v>76</v>
      </c>
      <c r="L91" s="475">
        <f t="shared" si="25"/>
        <v>73</v>
      </c>
      <c r="M91" s="475">
        <f t="shared" si="25"/>
        <v>70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3533</v>
      </c>
      <c r="D92" s="485" t="s">
        <v>3534</v>
      </c>
      <c r="E92" s="485" t="s">
        <v>3535</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f>面积信息!Q9</f>
        <v>118</v>
      </c>
      <c r="D93" s="467">
        <f>面积信息!Q10</f>
        <v>82</v>
      </c>
      <c r="E93" s="467">
        <f>面积信息!Q11</f>
        <v>100</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f>B29</f>
        <v>0</v>
      </c>
      <c r="C94" s="3148" t="s">
        <v>3559</v>
      </c>
      <c r="D94" s="3148" t="s">
        <v>3558</v>
      </c>
      <c r="E94" s="3148" t="s">
        <v>3557</v>
      </c>
      <c r="F94" s="3148" t="s">
        <v>3560</v>
      </c>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f>C95-2</f>
        <v>98</v>
      </c>
      <c r="E95" s="467">
        <f t="shared" ref="E95:F95" si="26">D95-2</f>
        <v>96</v>
      </c>
      <c r="F95" s="467">
        <f t="shared" si="26"/>
        <v>94</v>
      </c>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1692</v>
      </c>
      <c r="B100" s="460" t="s">
        <v>1803</v>
      </c>
      <c r="C100" s="3150" t="s">
        <v>3456</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7">C101-$K32</f>
        <v>95</v>
      </c>
      <c r="E101" s="475">
        <f t="shared" si="27"/>
        <v>90</v>
      </c>
      <c r="F101" s="475">
        <f t="shared" si="27"/>
        <v>85</v>
      </c>
      <c r="G101" s="475">
        <f t="shared" si="27"/>
        <v>80</v>
      </c>
      <c r="H101" s="475">
        <f t="shared" si="27"/>
        <v>75</v>
      </c>
      <c r="I101" s="475">
        <f t="shared" si="27"/>
        <v>70</v>
      </c>
      <c r="J101" s="475">
        <f t="shared" si="27"/>
        <v>65</v>
      </c>
      <c r="K101" s="475">
        <f t="shared" si="27"/>
        <v>60</v>
      </c>
      <c r="L101" s="475">
        <f t="shared" si="27"/>
        <v>55</v>
      </c>
      <c r="M101" s="476">
        <f t="shared" si="27"/>
        <v>50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1735</v>
      </c>
      <c r="C102" s="509" t="str">
        <f>C103&amp;"(含)"&amp;"-"&amp;D103</f>
        <v>0(含)-50</v>
      </c>
      <c r="D102" s="509" t="str">
        <f t="shared" ref="D102:L102" si="28">D103&amp;"(含)"&amp;"-"&amp;E103</f>
        <v>50(含)-100</v>
      </c>
      <c r="E102" s="509" t="str">
        <f t="shared" si="28"/>
        <v>100(含)-150</v>
      </c>
      <c r="F102" s="509" t="str">
        <f t="shared" si="28"/>
        <v>150(含)-200</v>
      </c>
      <c r="G102" s="509" t="str">
        <f t="shared" si="28"/>
        <v>200(含)-300</v>
      </c>
      <c r="H102" s="509" t="str">
        <f t="shared" si="28"/>
        <v>300(含)-500</v>
      </c>
      <c r="I102" s="509" t="str">
        <f t="shared" si="28"/>
        <v>500(含)-</v>
      </c>
      <c r="J102" s="509" t="str">
        <f t="shared" si="28"/>
        <v>(含)-</v>
      </c>
      <c r="K102" s="509" t="str">
        <f t="shared" si="28"/>
        <v>(含)-</v>
      </c>
      <c r="L102" s="509" t="str">
        <f t="shared" si="28"/>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150</v>
      </c>
      <c r="G103" s="6">
        <v>200</v>
      </c>
      <c r="H103" s="6">
        <v>300</v>
      </c>
      <c r="I103" s="6">
        <v>500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v>95</v>
      </c>
      <c r="E104" s="467">
        <v>90</v>
      </c>
      <c r="F104" s="467">
        <f t="shared" ref="F104:I104" si="29">E104-2</f>
        <v>88</v>
      </c>
      <c r="G104" s="467">
        <f t="shared" si="29"/>
        <v>86</v>
      </c>
      <c r="H104" s="467">
        <f t="shared" si="29"/>
        <v>84</v>
      </c>
      <c r="I104" s="467">
        <f t="shared" si="29"/>
        <v>82</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1736</v>
      </c>
      <c r="C105" s="3148" t="s">
        <v>3457</v>
      </c>
      <c r="D105" s="3148" t="s">
        <v>3458</v>
      </c>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30">C106-$K34</f>
        <v>99</v>
      </c>
      <c r="E106" s="475">
        <f t="shared" si="30"/>
        <v>98</v>
      </c>
      <c r="F106" s="475">
        <f t="shared" si="30"/>
        <v>97</v>
      </c>
      <c r="G106" s="475">
        <f t="shared" si="30"/>
        <v>96</v>
      </c>
      <c r="H106" s="475">
        <f t="shared" si="30"/>
        <v>95</v>
      </c>
      <c r="I106" s="475">
        <f t="shared" si="30"/>
        <v>94</v>
      </c>
      <c r="J106" s="475">
        <f t="shared" si="30"/>
        <v>93</v>
      </c>
      <c r="K106" s="475">
        <f t="shared" si="30"/>
        <v>92</v>
      </c>
      <c r="L106" s="475">
        <f t="shared" si="30"/>
        <v>91</v>
      </c>
      <c r="M106" s="476">
        <f t="shared" si="30"/>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1738</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31">C108-$K35</f>
        <v>100</v>
      </c>
      <c r="E108" s="475">
        <f t="shared" si="31"/>
        <v>100</v>
      </c>
      <c r="F108" s="475">
        <f t="shared" si="31"/>
        <v>100</v>
      </c>
      <c r="G108" s="475">
        <f t="shared" si="31"/>
        <v>100</v>
      </c>
      <c r="H108" s="475">
        <f t="shared" si="31"/>
        <v>100</v>
      </c>
      <c r="I108" s="475">
        <f t="shared" si="31"/>
        <v>100</v>
      </c>
      <c r="J108" s="475">
        <f t="shared" si="31"/>
        <v>100</v>
      </c>
      <c r="K108" s="475">
        <f t="shared" si="31"/>
        <v>100</v>
      </c>
      <c r="L108" s="475">
        <f t="shared" si="31"/>
        <v>100</v>
      </c>
      <c r="M108" s="476">
        <f t="shared" si="31"/>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32">D111+$K36</f>
        <v>102</v>
      </c>
      <c r="F111" s="475">
        <f t="shared" si="32"/>
        <v>103</v>
      </c>
      <c r="G111" s="475">
        <f t="shared" si="32"/>
        <v>104</v>
      </c>
      <c r="H111" s="475">
        <f t="shared" si="32"/>
        <v>105</v>
      </c>
      <c r="I111" s="475">
        <f t="shared" si="32"/>
        <v>106</v>
      </c>
      <c r="J111" s="475">
        <f t="shared" si="32"/>
        <v>107</v>
      </c>
      <c r="K111" s="475">
        <f t="shared" si="32"/>
        <v>108</v>
      </c>
      <c r="L111" s="475">
        <f t="shared" si="32"/>
        <v>109</v>
      </c>
      <c r="M111" s="475">
        <f t="shared" si="32"/>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1740</v>
      </c>
      <c r="C112" s="3148" t="s">
        <v>3460</v>
      </c>
      <c r="D112" s="3148" t="s">
        <v>3462</v>
      </c>
      <c r="E112" s="3148" t="s">
        <v>3463</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33">D113-$K37</f>
        <v>98</v>
      </c>
      <c r="F113" s="475">
        <f t="shared" si="33"/>
        <v>97</v>
      </c>
      <c r="G113" s="475">
        <f t="shared" si="33"/>
        <v>96</v>
      </c>
      <c r="H113" s="475">
        <f t="shared" si="33"/>
        <v>95</v>
      </c>
      <c r="I113" s="475">
        <f t="shared" si="33"/>
        <v>94</v>
      </c>
      <c r="J113" s="475">
        <f t="shared" si="33"/>
        <v>93</v>
      </c>
      <c r="K113" s="475">
        <f t="shared" si="33"/>
        <v>92</v>
      </c>
      <c r="L113" s="475">
        <f t="shared" si="33"/>
        <v>91</v>
      </c>
      <c r="M113" s="475">
        <f t="shared" si="33"/>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1804</v>
      </c>
      <c r="C114" s="3148" t="s">
        <v>3465</v>
      </c>
      <c r="D114" s="3148" t="s">
        <v>3467</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4">C115-$K38</f>
        <v>95</v>
      </c>
      <c r="E115" s="475">
        <f t="shared" si="34"/>
        <v>90</v>
      </c>
      <c r="F115" s="475">
        <f t="shared" si="34"/>
        <v>85</v>
      </c>
      <c r="G115" s="475">
        <f t="shared" si="34"/>
        <v>80</v>
      </c>
      <c r="H115" s="475">
        <f t="shared" si="34"/>
        <v>75</v>
      </c>
      <c r="I115" s="475">
        <f t="shared" si="34"/>
        <v>70</v>
      </c>
      <c r="J115" s="475">
        <f t="shared" si="34"/>
        <v>65</v>
      </c>
      <c r="K115" s="475">
        <f t="shared" si="34"/>
        <v>60</v>
      </c>
      <c r="L115" s="475">
        <f t="shared" si="34"/>
        <v>55</v>
      </c>
      <c r="M115" s="476">
        <f t="shared" si="34"/>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1805</v>
      </c>
      <c r="C116" s="3148" t="s">
        <v>3585</v>
      </c>
      <c r="D116" s="3148" t="s">
        <v>3469</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1806</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1807</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5">D121-$K41</f>
        <v>100</v>
      </c>
      <c r="F121" s="475">
        <f t="shared" si="35"/>
        <v>100</v>
      </c>
      <c r="G121" s="475">
        <f t="shared" si="35"/>
        <v>100</v>
      </c>
      <c r="H121" s="475">
        <f t="shared" si="35"/>
        <v>100</v>
      </c>
      <c r="I121" s="475">
        <f t="shared" si="35"/>
        <v>100</v>
      </c>
      <c r="J121" s="475">
        <f t="shared" si="35"/>
        <v>100</v>
      </c>
      <c r="K121" s="475">
        <f t="shared" si="35"/>
        <v>100</v>
      </c>
      <c r="L121" s="475">
        <f t="shared" si="35"/>
        <v>100</v>
      </c>
      <c r="M121" s="476">
        <f t="shared" si="35"/>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1742</v>
      </c>
      <c r="C122" s="3148" t="s">
        <v>3471</v>
      </c>
      <c r="D122" s="3148" t="s">
        <v>3472</v>
      </c>
      <c r="E122" s="3148" t="s">
        <v>3474</v>
      </c>
      <c r="F122" s="3151" t="s">
        <v>3475</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6">C123-$K42</f>
        <v>98</v>
      </c>
      <c r="E123" s="475">
        <f t="shared" si="36"/>
        <v>96</v>
      </c>
      <c r="F123" s="475">
        <f t="shared" si="36"/>
        <v>94</v>
      </c>
      <c r="G123" s="475">
        <f t="shared" si="36"/>
        <v>92</v>
      </c>
      <c r="H123" s="475">
        <f t="shared" si="36"/>
        <v>90</v>
      </c>
      <c r="I123" s="475">
        <f t="shared" si="36"/>
        <v>88</v>
      </c>
      <c r="J123" s="475">
        <f t="shared" si="36"/>
        <v>86</v>
      </c>
      <c r="K123" s="475">
        <f t="shared" si="36"/>
        <v>84</v>
      </c>
      <c r="L123" s="475">
        <f t="shared" si="36"/>
        <v>82</v>
      </c>
      <c r="M123" s="476">
        <f t="shared" si="36"/>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1743</v>
      </c>
      <c r="C124" s="509" t="s">
        <v>1719</v>
      </c>
      <c r="D124" s="509" t="s">
        <v>1720</v>
      </c>
      <c r="E124" s="509" t="s">
        <v>1721</v>
      </c>
      <c r="F124" s="509" t="s">
        <v>1722</v>
      </c>
      <c r="G124" s="509" t="s">
        <v>1723</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1876E339-4545-4A94-9E90-4021814386D5}">
      <formula1>项目类型</formula1>
    </dataValidation>
    <dataValidation type="list" allowBlank="1" showInputMessage="1" showErrorMessage="1" sqref="C43 E43 G43 I43" xr:uid="{65587309-9C32-4C62-BF8E-62E3EA6EC115}">
      <formula1>内部装修维护情况</formula1>
    </dataValidation>
    <dataValidation type="list" allowBlank="1" showInputMessage="1" showErrorMessage="1" sqref="E20 I20 G20 C20" xr:uid="{93194223-A66B-430B-BF03-5DB48B464BAA}">
      <formula1>公共配套设施</formula1>
    </dataValidation>
    <dataValidation type="list" allowBlank="1" showInputMessage="1" showErrorMessage="1" sqref="E18 G18 I18 C18" xr:uid="{CBD3B8DF-7F4C-49D5-B1B8-7F55708F1E3D}">
      <formula1>交通便捷度</formula1>
    </dataValidation>
    <dataValidation type="list" allowBlank="1" showInputMessage="1" showErrorMessage="1" sqref="E24 G24 I24 C24" xr:uid="{CF8E2B9B-B3B7-43FA-AFF4-16DDC4D1E26B}">
      <formula1>环境</formula1>
    </dataValidation>
    <dataValidation type="list" allowBlank="1" showInputMessage="1" showErrorMessage="1" sqref="C25 E25 G25 I25" xr:uid="{22D920BA-3BD7-453D-99EA-38566E9F92A1}">
      <formula1>商业临街状况</formula1>
    </dataValidation>
    <dataValidation type="list" allowBlank="1" showInputMessage="1" showErrorMessage="1" sqref="C27 E27 G27 I27" xr:uid="{A42B591B-F9AD-4958-BA85-D0744B6A109C}">
      <formula1>商业人流量</formula1>
    </dataValidation>
    <dataValidation type="list" allowBlank="1" showInputMessage="1" showErrorMessage="1" sqref="C28 E28 G28 I28" xr:uid="{782C3091-46AB-4B59-930C-55B6BC518E3D}">
      <formula1>商业楼层</formula1>
    </dataValidation>
    <dataValidation type="list" allowBlank="1" showInputMessage="1" showErrorMessage="1" sqref="C32 E32 G32 I32" xr:uid="{9027237C-A5A7-4730-9410-337938B5EB56}">
      <formula1>商业类型</formula1>
    </dataValidation>
    <dataValidation type="list" allowBlank="1" showInputMessage="1" showErrorMessage="1" sqref="C34 E34 G34 I34" xr:uid="{F08FEB00-FA97-462B-B302-B04328420D8F}">
      <formula1>商业建筑结构</formula1>
    </dataValidation>
    <dataValidation type="list" allowBlank="1" showInputMessage="1" showErrorMessage="1" sqref="C35 E35 G35 I35" xr:uid="{18949266-82E7-4006-BF42-415131144817}">
      <formula1>商业公共部分装修</formula1>
    </dataValidation>
    <dataValidation type="list" allowBlank="1" showInputMessage="1" showErrorMessage="1" sqref="C37 E37 G37 I37" xr:uid="{EAB30C83-5E35-4087-9525-9DADAE1E13EF}">
      <formula1>商业基础设施水平</formula1>
    </dataValidation>
    <dataValidation type="list" allowBlank="1" showInputMessage="1" showErrorMessage="1" sqref="C41 E41 G41 I41" xr:uid="{680A5323-1E71-4035-9980-1D93D2275689}">
      <formula1>商业进深比</formula1>
    </dataValidation>
    <dataValidation type="list" allowBlank="1" showInputMessage="1" showErrorMessage="1" sqref="C42 E42 G42 I42" xr:uid="{BAD127AE-112A-4580-A591-7C239B50C4C4}">
      <formula1>商业内部装修</formula1>
    </dataValidation>
    <dataValidation type="list" allowBlank="1" showInputMessage="1" showErrorMessage="1" sqref="E9 G9 I9" xr:uid="{E460F961-E4FA-4213-B46E-5D59D85596C4}">
      <formula1>商业用途</formula1>
    </dataValidation>
    <dataValidation type="list" allowBlank="1" showInputMessage="1" showErrorMessage="1" sqref="C38 E38 G38 I38" xr:uid="{558AE065-7BAF-40AF-8D00-974558A9C01D}">
      <formula1>商业业态</formula1>
    </dataValidation>
    <dataValidation type="list" allowBlank="1" showInputMessage="1" showErrorMessage="1" sqref="C39 E39 G39 I39" xr:uid="{F5AB3A3B-F480-4E66-ADB1-6F5885E30989}">
      <formula1>商业层高</formula1>
    </dataValidation>
    <dataValidation type="list" allowBlank="1" showInputMessage="1" showErrorMessage="1" sqref="C8 E8 G8 I8" xr:uid="{4FBDF29A-7568-4805-A94B-62987898A194}">
      <formula1>商业交易情况</formula1>
    </dataValidation>
    <dataValidation type="list" allowBlank="1" showInputMessage="1" showErrorMessage="1" sqref="C16 E16 G16 I16" xr:uid="{9D1834E0-990B-43EA-8B36-71116135A1E4}">
      <formula1>商业繁华度</formula1>
    </dataValidation>
    <dataValidation type="list" allowBlank="1" showInputMessage="1" showErrorMessage="1" sqref="C22 E22 G22 I22" xr:uid="{8D284AA2-2AD0-44AF-8101-0EBCD46EC813}">
      <formula1>基础设施水平</formula1>
    </dataValidation>
    <dataValidation type="list" allowBlank="1" showInputMessage="1" showErrorMessage="1" sqref="F1" xr:uid="{7B462FD3-758A-41A8-9786-D6BB62C49BAB}">
      <formula1>"售价,租金"</formula1>
    </dataValidation>
    <dataValidation type="list" allowBlank="1" showInputMessage="1" showErrorMessage="1" sqref="C2" xr:uid="{8D23FE57-CEAB-451E-B966-6717F22D34D7}">
      <formula1>"需扣减承租人权益,——"</formula1>
    </dataValidation>
    <dataValidation type="list" allowBlank="1" showInputMessage="1" showErrorMessage="1" sqref="F2" xr:uid="{7CD19E74-76B4-45E3-915E-761B0D14751C}">
      <formula1>估价方法</formula1>
    </dataValidation>
    <dataValidation type="list" allowBlank="1" showInputMessage="1" showErrorMessage="1" sqref="D48" xr:uid="{93610C5A-07D2-483F-BC7E-5CA452A0E48B}">
      <formula1>"简单平均,加权平均"</formula1>
    </dataValidation>
    <dataValidation type="list" allowBlank="1" showInputMessage="1" showErrorMessage="1" sqref="E1" xr:uid="{8D7D7C6B-D0AD-4B3A-A273-F87B02856C24}">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907</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7.399999999999999">
      <c r="A3" s="3175" t="str">
        <f>IF(项目基本情况!B9="房地产市场价值","估价结果一览表（市场价值不需“结果表-1”）","估价结果一览表")</f>
        <v>估价结果一览表</v>
      </c>
      <c r="B3" s="3175"/>
      <c r="C3" s="3175"/>
      <c r="D3" s="3175"/>
      <c r="E3" s="3175"/>
    </row>
    <row r="4" spans="1:5" ht="18" thickBot="1">
      <c r="A4" s="1391"/>
      <c r="B4" s="3173" t="s">
        <v>916</v>
      </c>
      <c r="C4" s="3173"/>
      <c r="D4" s="3173"/>
      <c r="E4" s="1391"/>
    </row>
    <row r="5" spans="1:5" ht="16.2" thickTop="1">
      <c r="B5" s="3171" t="s">
        <v>908</v>
      </c>
      <c r="C5" s="1392" t="s">
        <v>909</v>
      </c>
      <c r="D5" s="797">
        <f ca="1">'42号结果表'!H101</f>
        <v>541.05259999999998</v>
      </c>
    </row>
    <row r="6" spans="1:5" ht="31.2">
      <c r="B6" s="3171"/>
      <c r="C6" s="1392" t="s">
        <v>910</v>
      </c>
      <c r="D6" s="797" t="str">
        <f ca="1">NUMBERSTRING(INT(D5*10000),2)&amp;"元整"</f>
        <v>伍佰肆拾壹万零伍佰贰拾陆元整</v>
      </c>
    </row>
    <row r="7" spans="1:5" ht="15.6">
      <c r="B7" s="3176"/>
      <c r="C7" s="1393" t="s">
        <v>911</v>
      </c>
      <c r="D7" s="798">
        <f ca="1">'42号结果表'!H102</f>
        <v>35040</v>
      </c>
    </row>
    <row r="8" spans="1:5" ht="15.6">
      <c r="B8" s="3177" t="str">
        <f>'42号结果表'!E103</f>
        <v>2.估价师知悉的法定优先受偿款</v>
      </c>
      <c r="C8" s="1394" t="s">
        <v>912</v>
      </c>
      <c r="D8" s="798">
        <f>'42号结果表'!H103</f>
        <v>0</v>
      </c>
    </row>
    <row r="9" spans="1:5" ht="15.6">
      <c r="B9" s="3179"/>
      <c r="C9" s="1392" t="s">
        <v>910</v>
      </c>
      <c r="D9" s="797" t="str">
        <f>NUMBERSTRING(INT(D8*10000),2)&amp;"元整"</f>
        <v>零元整</v>
      </c>
    </row>
    <row r="10" spans="1:5" ht="15.6">
      <c r="B10" s="1395" t="s">
        <v>915</v>
      </c>
      <c r="C10" s="1396" t="s">
        <v>913</v>
      </c>
      <c r="D10" s="799">
        <f>'42号结果表'!H104</f>
        <v>0</v>
      </c>
    </row>
    <row r="11" spans="1:5" ht="15.6">
      <c r="B11" s="1395" t="s">
        <v>917</v>
      </c>
      <c r="C11" s="1396" t="s">
        <v>918</v>
      </c>
      <c r="D11" s="799">
        <f>'42号结果表'!H105</f>
        <v>0</v>
      </c>
    </row>
    <row r="12" spans="1:5" ht="15.6">
      <c r="B12" s="1395" t="s">
        <v>919</v>
      </c>
      <c r="C12" s="1396" t="s">
        <v>918</v>
      </c>
      <c r="D12" s="799">
        <f>'42号结果表'!H106</f>
        <v>0</v>
      </c>
    </row>
    <row r="13" spans="1:5" ht="15.6">
      <c r="B13" s="3170" t="str">
        <f>'42号结果表'!E107</f>
        <v>3.房地产抵押价值</v>
      </c>
      <c r="C13" s="1397" t="s">
        <v>909</v>
      </c>
      <c r="D13" s="800">
        <f ca="1">'42号结果表'!H107</f>
        <v>541.05259999999998</v>
      </c>
    </row>
    <row r="14" spans="1:5" ht="31.2">
      <c r="B14" s="3171"/>
      <c r="C14" s="1392" t="s">
        <v>910</v>
      </c>
      <c r="D14" s="797" t="str">
        <f ca="1">NUMBERSTRING(INT(D13*10000),2)&amp;"元整"</f>
        <v>伍佰肆拾壹万零伍佰贰拾陆元整</v>
      </c>
    </row>
    <row r="15" spans="1:5" ht="15.6">
      <c r="B15" s="3176"/>
      <c r="C15" s="1393" t="s">
        <v>920</v>
      </c>
      <c r="D15" s="806">
        <f ca="1">'42号结果表'!H108</f>
        <v>35040</v>
      </c>
    </row>
    <row r="16" spans="1:5" ht="15.6">
      <c r="B16" s="3177" t="str">
        <f>'42号结果表'!E109</f>
        <v>——</v>
      </c>
      <c r="C16" s="1397" t="s">
        <v>921</v>
      </c>
      <c r="D16" s="1398" t="str">
        <f>'42号结果表'!H109</f>
        <v>——</v>
      </c>
    </row>
    <row r="17" spans="1:5" ht="15.6">
      <c r="B17" s="3178"/>
      <c r="C17" s="1392" t="s">
        <v>922</v>
      </c>
      <c r="D17" s="797" t="e">
        <f>NUMBERSTRING(INT(D16*10000),2)&amp;"元整"</f>
        <v>#VALUE!</v>
      </c>
    </row>
    <row r="18" spans="1:5" ht="15.6">
      <c r="B18" s="3179"/>
      <c r="C18" s="1393" t="s">
        <v>911</v>
      </c>
      <c r="D18" s="806" t="str">
        <f>'42号结果表'!H110</f>
        <v>——</v>
      </c>
    </row>
    <row r="19" spans="1:5" ht="15.6">
      <c r="B19" s="3170" t="str">
        <f>'42号结果表'!E111</f>
        <v>——</v>
      </c>
      <c r="C19" s="1397" t="s">
        <v>909</v>
      </c>
      <c r="D19" s="798" t="str">
        <f>'42号结果表'!H111</f>
        <v>——</v>
      </c>
    </row>
    <row r="20" spans="1:5" ht="15.6">
      <c r="B20" s="3171"/>
      <c r="C20" s="1392" t="s">
        <v>922</v>
      </c>
      <c r="D20" s="797" t="e">
        <f>NUMBERSTRING(INT(D19*10000),2)&amp;"元整"</f>
        <v>#VALUE!</v>
      </c>
    </row>
    <row r="21" spans="1:5" ht="16.2" thickBot="1">
      <c r="B21" s="3172"/>
      <c r="C21" s="1399" t="s">
        <v>920</v>
      </c>
      <c r="D21" s="807" t="str">
        <f>'42号结果表'!H112</f>
        <v>——</v>
      </c>
    </row>
    <row r="22" spans="1:5" ht="14.4" thickTop="1">
      <c r="B22" s="1400" t="s">
        <v>923</v>
      </c>
    </row>
    <row r="24" spans="1:5" ht="17.399999999999999">
      <c r="A24" s="1401"/>
      <c r="B24" s="1402" t="s">
        <v>914</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DBA72-B237-42EB-8C7F-9AADCF09318E}">
  <sheetPr>
    <tabColor rgb="FF92D050"/>
  </sheetPr>
  <dimension ref="A1:AK83"/>
  <sheetViews>
    <sheetView view="pageBreakPreview" zoomScale="70" zoomScaleNormal="70" zoomScaleSheetLayoutView="70" workbookViewId="0">
      <selection activeCell="D3" sqref="D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876</v>
      </c>
      <c r="B1" s="663"/>
      <c r="C1" s="1287" t="s">
        <v>3613</v>
      </c>
      <c r="D1" s="1271" t="s">
        <v>43</v>
      </c>
      <c r="E1" s="1272" t="s">
        <v>677</v>
      </c>
      <c r="F1" s="999">
        <f ca="1">J53</f>
        <v>18.43</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2">
        <f ca="1">ROUND(D2/10000,4)</f>
        <v>384.61189999999999</v>
      </c>
      <c r="C2" s="1289" t="s">
        <v>804</v>
      </c>
      <c r="D2" s="1375">
        <f ca="1">C40+J29+L46</f>
        <v>3846119</v>
      </c>
      <c r="E2" s="1295" t="s">
        <v>879</v>
      </c>
      <c r="F2" s="1296"/>
      <c r="G2" s="2477"/>
      <c r="H2" s="2467"/>
      <c r="I2" s="2467"/>
      <c r="J2" s="2467"/>
      <c r="K2" s="2468"/>
      <c r="L2" s="2467"/>
      <c r="M2" s="2467"/>
    </row>
    <row r="3" spans="1:37" ht="18" customHeight="1" thickBot="1">
      <c r="A3" s="1297" t="s">
        <v>805</v>
      </c>
      <c r="B3" s="1298">
        <f ca="1">IF(ISERROR(D2/F43),0,ROUND(D2/F43,0))</f>
        <v>22334</v>
      </c>
      <c r="C3" s="1289" t="s">
        <v>806</v>
      </c>
      <c r="D3" s="1289"/>
      <c r="E3" s="1295"/>
      <c r="F3" s="1296"/>
      <c r="G3" s="2477"/>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317194</v>
      </c>
      <c r="D5" s="1273" t="s">
        <v>692</v>
      </c>
      <c r="E5" s="1008"/>
      <c r="F5" s="1009"/>
      <c r="G5" s="1292"/>
      <c r="H5" s="291">
        <v>1</v>
      </c>
      <c r="I5" s="292" t="s">
        <v>691</v>
      </c>
      <c r="J5" s="1007">
        <f ca="1">J6+J10+J12</f>
        <v>0</v>
      </c>
      <c r="K5" s="1273" t="s">
        <v>692</v>
      </c>
      <c r="L5" s="1008"/>
      <c r="M5" s="1009"/>
    </row>
    <row r="6" spans="1:37" ht="18" customHeight="1">
      <c r="A6" s="1006" t="s">
        <v>398</v>
      </c>
      <c r="B6" s="3356" t="s">
        <v>693</v>
      </c>
      <c r="C6" s="1011">
        <f ca="1">ROUND(F6*F8*F7*(1-F9),0)</f>
        <v>316798</v>
      </c>
      <c r="D6" s="147" t="s">
        <v>2104</v>
      </c>
      <c r="E6" s="294" t="s">
        <v>695</v>
      </c>
      <c r="F6" s="295">
        <f ca="1">INDIRECT("'数据-取费表'!u"&amp;$G$1)</f>
        <v>5.6</v>
      </c>
      <c r="G6" s="1292"/>
      <c r="H6" s="1006" t="s">
        <v>398</v>
      </c>
      <c r="I6" s="3356" t="s">
        <v>693</v>
      </c>
      <c r="J6" s="293">
        <f ca="1">ROUND(M6*M8*M7*(1-M9),0)</f>
        <v>0</v>
      </c>
      <c r="K6" s="1284" t="s">
        <v>2105</v>
      </c>
      <c r="L6" s="294" t="s">
        <v>695</v>
      </c>
      <c r="M6" s="295">
        <f ca="1">INDIRECT("'数据-取费表'!z"&amp;$G$1)</f>
        <v>0</v>
      </c>
    </row>
    <row r="7" spans="1:37" ht="18" customHeight="1">
      <c r="A7" s="1010"/>
      <c r="B7" s="3357"/>
      <c r="C7" s="1012"/>
      <c r="D7" s="299"/>
      <c r="E7" s="1013" t="s">
        <v>696</v>
      </c>
      <c r="F7" s="295">
        <f ca="1">IF(INDIRECT("'数据-取费表'!ah"&amp;$G$1)="",INDIRECT("'数据-取费表'!k"&amp;$G$1),INDIRECT("'数据-取费表'!ah"&amp;$G$1))</f>
        <v>172.21</v>
      </c>
      <c r="G7" s="1292"/>
      <c r="H7" s="296"/>
      <c r="I7" s="3357"/>
      <c r="J7" s="298"/>
      <c r="K7" s="299"/>
      <c r="L7" s="294" t="s">
        <v>696</v>
      </c>
      <c r="M7" s="295">
        <f ca="1">F7</f>
        <v>172.21</v>
      </c>
    </row>
    <row r="8" spans="1:37" ht="18" customHeight="1">
      <c r="A8" s="296"/>
      <c r="B8" s="3357"/>
      <c r="C8" s="298"/>
      <c r="D8" s="299"/>
      <c r="E8" s="294" t="s">
        <v>697</v>
      </c>
      <c r="F8" s="295">
        <f ca="1">INDIRECT("'数据-取费表'!ai"&amp;$G$1)</f>
        <v>365</v>
      </c>
      <c r="G8" s="1292"/>
      <c r="H8" s="296"/>
      <c r="I8" s="3357"/>
      <c r="J8" s="298"/>
      <c r="K8" s="299"/>
      <c r="L8" s="294" t="s">
        <v>697</v>
      </c>
      <c r="M8" s="295">
        <f ca="1">INDIRECT("'数据-取费表'!ai"&amp;$G$1)</f>
        <v>365</v>
      </c>
    </row>
    <row r="9" spans="1:37" ht="18" customHeight="1">
      <c r="A9" s="296"/>
      <c r="B9" s="3358"/>
      <c r="C9" s="298"/>
      <c r="D9" s="299"/>
      <c r="E9" s="294" t="s">
        <v>698</v>
      </c>
      <c r="F9" s="304">
        <f ca="1">INDIRECT("'数据-取费表'!w"&amp;$G$1)</f>
        <v>0.1</v>
      </c>
      <c r="G9" s="1292"/>
      <c r="H9" s="296"/>
      <c r="I9" s="3358"/>
      <c r="J9" s="298"/>
      <c r="K9" s="299"/>
      <c r="L9" s="305" t="s">
        <v>698</v>
      </c>
      <c r="M9" s="306">
        <f ca="1">INDIRECT("'数据-取费表'!ab"&amp;$G$1)</f>
        <v>0</v>
      </c>
    </row>
    <row r="10" spans="1:37" ht="18" customHeight="1">
      <c r="A10" s="1006" t="s">
        <v>402</v>
      </c>
      <c r="B10" s="1274" t="s">
        <v>699</v>
      </c>
      <c r="C10" s="308">
        <f ca="1">ROUND(IF(F10="押一",C6/12*F11,IF(F10="押二",C6/12*2*F11,IF(F10="押三",C6/12*3*F11,C11*F11))),0)</f>
        <v>396</v>
      </c>
      <c r="D10" s="150" t="s">
        <v>2114</v>
      </c>
      <c r="E10" s="305" t="s">
        <v>700</v>
      </c>
      <c r="F10" s="1053" t="s">
        <v>3518</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580753</v>
      </c>
      <c r="D13" s="1018" t="s">
        <v>704</v>
      </c>
      <c r="E13" s="1018" t="s">
        <v>705</v>
      </c>
      <c r="F13" s="1019">
        <f ca="1">INDIRECT("'数据-取费表'!y"&amp;$G$1)</f>
        <v>0.74</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516630</v>
      </c>
      <c r="D14" s="1257" t="s">
        <v>707</v>
      </c>
      <c r="E14" s="1255"/>
      <c r="F14" s="311"/>
      <c r="G14" s="1292"/>
      <c r="H14" s="928" t="s">
        <v>398</v>
      </c>
      <c r="I14" s="294" t="s">
        <v>708</v>
      </c>
      <c r="J14" s="21">
        <f ca="1">C29</f>
        <v>784802</v>
      </c>
      <c r="K14" s="12"/>
      <c r="L14" s="759"/>
      <c r="M14" s="760"/>
    </row>
    <row r="15" spans="1:37" s="1304" customFormat="1" ht="18" customHeight="1" thickBot="1">
      <c r="A15" s="928" t="s">
        <v>399</v>
      </c>
      <c r="B15" s="294" t="s">
        <v>709</v>
      </c>
      <c r="C15" s="21">
        <f ca="1">ROUND(C14*F15,0)</f>
        <v>15499</v>
      </c>
      <c r="D15" s="312" t="s">
        <v>710</v>
      </c>
      <c r="E15" s="312" t="s">
        <v>711</v>
      </c>
      <c r="F15" s="313">
        <f>'数据-取费表'!B33</f>
        <v>0.03</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7848</v>
      </c>
      <c r="K16" s="1024" t="s">
        <v>714</v>
      </c>
      <c r="L16" s="1025"/>
      <c r="M16" s="1009"/>
    </row>
    <row r="17" spans="1:37" s="1304" customFormat="1" ht="18" customHeight="1">
      <c r="A17" s="928" t="s">
        <v>680</v>
      </c>
      <c r="B17" s="294" t="s">
        <v>715</v>
      </c>
      <c r="C17" s="21">
        <f ca="1">ROUND(F17*(F43+INDIRECT("'数据-取费表'!S"&amp;$G$1)),0)</f>
        <v>34442</v>
      </c>
      <c r="D17" s="294" t="s">
        <v>716</v>
      </c>
      <c r="E17" s="294" t="s">
        <v>717</v>
      </c>
      <c r="F17" s="23">
        <f>'数据-取费表'!B35</f>
        <v>200</v>
      </c>
      <c r="G17" s="1303"/>
      <c r="H17" s="928" t="s">
        <v>398</v>
      </c>
      <c r="I17" s="294" t="s">
        <v>718</v>
      </c>
      <c r="J17" s="2140">
        <f ca="1">ROUND(IF(AND(项目基本情况!B11="自然人",项目基本情况!B10="北京市"),J6*M17/(1+'数据-取费表'!C42),J18+J19+J20),0)</f>
        <v>0</v>
      </c>
      <c r="K17" s="1257" t="s">
        <v>719</v>
      </c>
      <c r="L17" s="1256" t="s">
        <v>720</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10333</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576904</v>
      </c>
      <c r="D19" s="123" t="s">
        <v>725</v>
      </c>
      <c r="E19" s="1269"/>
      <c r="F19" s="23"/>
      <c r="G19" s="1292"/>
      <c r="H19" s="928" t="s">
        <v>399</v>
      </c>
      <c r="I19" s="294" t="s">
        <v>726</v>
      </c>
      <c r="J19" s="21">
        <f ca="1">IF(K19="按租金收入计税",ROUND(J6*M19/(1+'数据-取费表'!C42),0),ROUND(C29*M19*0.7,0))</f>
        <v>0</v>
      </c>
      <c r="K19" s="1278" t="s">
        <v>3334</v>
      </c>
      <c r="L19" s="294" t="s">
        <v>711</v>
      </c>
      <c r="M19" s="314">
        <f>IF(K19="按租金收入计税",'数据-取费表'!B51,'数据-取费表'!B50)</f>
        <v>0.12</v>
      </c>
    </row>
    <row r="20" spans="1:37" s="1304" customFormat="1" ht="18" customHeight="1">
      <c r="A20" s="928" t="s">
        <v>402</v>
      </c>
      <c r="B20" s="294" t="s">
        <v>727</v>
      </c>
      <c r="C20" s="21">
        <f ca="1">ROUND(C19*F20,0)</f>
        <v>11538</v>
      </c>
      <c r="D20" s="315" t="s">
        <v>728</v>
      </c>
      <c r="E20" s="294" t="s">
        <v>711</v>
      </c>
      <c r="F20" s="314">
        <f>'数据-取费表'!B37</f>
        <v>0.02</v>
      </c>
      <c r="G20" s="1303"/>
      <c r="H20" s="928" t="s">
        <v>679</v>
      </c>
      <c r="I20" s="147" t="s">
        <v>729</v>
      </c>
      <c r="J20" s="22">
        <f ca="1">ROUND(M20*M21,0)</f>
        <v>0</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0.02</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7848</v>
      </c>
      <c r="K22" s="1256" t="s">
        <v>738</v>
      </c>
      <c r="L22" s="294" t="s">
        <v>711</v>
      </c>
      <c r="M22" s="320">
        <f ca="1">INDIRECT("'数据-取费表'!Ak"&amp;$G$1)</f>
        <v>0.01</v>
      </c>
    </row>
    <row r="23" spans="1:37" s="1304" customFormat="1" ht="18" customHeight="1">
      <c r="A23" s="928" t="s">
        <v>397</v>
      </c>
      <c r="B23" s="294" t="s">
        <v>739</v>
      </c>
      <c r="C23" s="21">
        <f ca="1">IF('数据-取费表'!B22&lt;=1,ROUND(C19*F24*F23/2,0)+ROUND(C20*F24*F23/2,0),ROUND(C19*(POWER((1+F24),F23/2)-1),0)+ROUND(C20*(POWER((1+F24),F23/2)-1),0))</f>
        <v>18242</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-7848</v>
      </c>
      <c r="K25" s="1032" t="s">
        <v>752</v>
      </c>
      <c r="L25" s="1033"/>
      <c r="M25" s="1034"/>
    </row>
    <row r="26" spans="1:37" ht="18" customHeight="1">
      <c r="A26" s="928" t="s">
        <v>397</v>
      </c>
      <c r="B26" s="294" t="s">
        <v>753</v>
      </c>
      <c r="C26" s="21">
        <f ca="1">ROUND((C19+C20)*F26,0)</f>
        <v>117688</v>
      </c>
      <c r="D26" s="315" t="s">
        <v>754</v>
      </c>
      <c r="E26" s="305" t="s">
        <v>755</v>
      </c>
      <c r="F26" s="304">
        <f ca="1">INDIRECT("'数据-取费表'!q"&amp;$G$1)</f>
        <v>0.2</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4.0000000000000001E-3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5.2400000000000002E-2</v>
      </c>
      <c r="D28" s="315" t="s">
        <v>764</v>
      </c>
      <c r="E28" s="294" t="s">
        <v>711</v>
      </c>
      <c r="F28" s="314">
        <f>'数据-取费表'!B41</f>
        <v>5.5000000000000007E-2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784802</v>
      </c>
      <c r="D29" s="1029"/>
      <c r="E29" s="1027"/>
      <c r="F29" s="1030"/>
      <c r="G29" s="1303"/>
      <c r="H29" s="325" t="s">
        <v>396</v>
      </c>
      <c r="I29" s="326" t="s">
        <v>767</v>
      </c>
      <c r="J29" s="327">
        <f ca="1">ROUND(J26/(1+F40)^F41,0)</f>
        <v>0</v>
      </c>
      <c r="K29" s="328" t="s">
        <v>768</v>
      </c>
      <c r="L29" s="329"/>
      <c r="M29" s="330">
        <f ca="1">INDIRECT("'数据-取费表'!k"&amp;$G$1)</f>
        <v>172.21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32721</v>
      </c>
      <c r="D30" s="1024" t="s">
        <v>714</v>
      </c>
      <c r="E30" s="1025"/>
      <c r="F30" s="1009"/>
      <c r="G30" s="1292"/>
      <c r="H30" s="2469"/>
      <c r="I30" s="1305"/>
      <c r="J30" s="1306"/>
      <c r="K30" s="121"/>
      <c r="L30" s="2470"/>
      <c r="M30" s="2471"/>
    </row>
    <row r="31" spans="1:37" ht="18" customHeight="1">
      <c r="A31" s="928" t="s">
        <v>398</v>
      </c>
      <c r="B31" s="294" t="s">
        <v>718</v>
      </c>
      <c r="C31" s="2140">
        <f ca="1">ROUND(IF(AND(项目基本情况!B11="自然人",项目基本情况!B10="北京市"),C6*F31/(1+'数据-取费表'!C42),C32+C33+C34),0)</f>
        <v>21120</v>
      </c>
      <c r="D31" s="1257" t="s">
        <v>719</v>
      </c>
      <c r="E31" s="1256" t="s">
        <v>769</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722</v>
      </c>
      <c r="C32" s="21" t="str">
        <f>IF(项目基本情况!B11="自然人","——",ROUND(C6*F32/(1+'数据-取费表'!C42),0))</f>
        <v>——</v>
      </c>
      <c r="D32" s="1256" t="s">
        <v>723</v>
      </c>
      <c r="E32" s="294" t="s">
        <v>711</v>
      </c>
      <c r="F32" s="322">
        <f>'数据-取费表'!B41</f>
        <v>5.5000000000000007E-2</v>
      </c>
      <c r="G32" s="1292"/>
      <c r="H32" s="2469"/>
      <c r="I32" s="1305"/>
      <c r="J32" s="1306"/>
      <c r="K32" s="121"/>
      <c r="L32" s="2470"/>
      <c r="M32" s="2471"/>
    </row>
    <row r="33" spans="1:18" ht="18" customHeight="1">
      <c r="A33" s="928" t="s">
        <v>399</v>
      </c>
      <c r="B33" s="294" t="s">
        <v>726</v>
      </c>
      <c r="C33" s="21" t="str">
        <f ca="1">IF(项目基本情况!B11="自然人","——",IF(D33="按租金收入计税",ROUND(C6*F33/(1+'数据-取费表'!C42),0),IF(D33="按房产原值计税",ROUND(C29*F33*0.7,0),INDIRECT("'数据-取费表'!Aj"&amp;$G$1))))</f>
        <v>——</v>
      </c>
      <c r="D33" s="1278" t="s">
        <v>3334</v>
      </c>
      <c r="E33" s="294" t="s">
        <v>711</v>
      </c>
      <c r="F33" s="314">
        <f>IF(D33="按票据","——",IF(D33="按租金收入计税",'数据-取费表'!B51,'数据-取费表'!B50))</f>
        <v>0.12</v>
      </c>
      <c r="G33" s="1292"/>
      <c r="H33" s="2472"/>
      <c r="I33" s="1305"/>
      <c r="J33" s="1306"/>
      <c r="K33" s="2473"/>
      <c r="L33" s="2472"/>
      <c r="M33" s="2472"/>
    </row>
    <row r="34" spans="1:18" ht="18" customHeight="1">
      <c r="A34" s="1006" t="s">
        <v>679</v>
      </c>
      <c r="B34" s="147" t="s">
        <v>729</v>
      </c>
      <c r="C34" s="22" t="str">
        <f>IF(项目基本情况!B11="自然人","——",ROUND(F34*F35,0))</f>
        <v>——</v>
      </c>
      <c r="D34" s="316" t="s">
        <v>730</v>
      </c>
      <c r="E34" s="294" t="s">
        <v>731</v>
      </c>
      <c r="F34" s="317">
        <f>'数据-取费表'!B52</f>
        <v>1.5</v>
      </c>
      <c r="G34" s="1292"/>
      <c r="H34" s="2469"/>
      <c r="I34" s="1305"/>
      <c r="J34" s="1306"/>
      <c r="K34" s="2474"/>
      <c r="L34" s="2475"/>
      <c r="M34" s="2475"/>
    </row>
    <row r="35" spans="1:18" ht="18" customHeight="1">
      <c r="A35" s="1040"/>
      <c r="B35" s="1038"/>
      <c r="C35" s="26"/>
      <c r="D35" s="319"/>
      <c r="E35" s="294" t="s">
        <v>735</v>
      </c>
      <c r="F35" s="295">
        <f ca="1">INDIRECT("'数据-取费表'!r"&amp;$G$1)</f>
        <v>0</v>
      </c>
      <c r="G35" s="1292"/>
      <c r="H35" s="2469"/>
      <c r="I35" s="1305"/>
      <c r="J35" s="1306"/>
      <c r="K35" s="2473"/>
      <c r="L35" s="2472"/>
      <c r="M35" s="2472"/>
    </row>
    <row r="36" spans="1:18" ht="18" customHeight="1">
      <c r="A36" s="1039" t="s">
        <v>402</v>
      </c>
      <c r="B36" s="294" t="s">
        <v>737</v>
      </c>
      <c r="C36" s="21">
        <f ca="1">ROUND(C29*F36,0)</f>
        <v>7848</v>
      </c>
      <c r="D36" s="1256" t="s">
        <v>770</v>
      </c>
      <c r="E36" s="294" t="s">
        <v>711</v>
      </c>
      <c r="F36" s="320">
        <f ca="1">INDIRECT("'数据-取费表'!Ak"&amp;$G$1)</f>
        <v>0.01</v>
      </c>
      <c r="G36" s="1292"/>
      <c r="H36" s="2472"/>
      <c r="I36" s="1305"/>
      <c r="J36" s="1306"/>
      <c r="K36" s="2330"/>
      <c r="L36" s="2472"/>
      <c r="M36" s="2472"/>
    </row>
    <row r="37" spans="1:18" ht="18" customHeight="1">
      <c r="A37" s="928" t="s">
        <v>437</v>
      </c>
      <c r="B37" s="294" t="s">
        <v>741</v>
      </c>
      <c r="C37" s="21">
        <f ca="1">ROUND(C13*F37,0)</f>
        <v>581</v>
      </c>
      <c r="D37" s="1256" t="s">
        <v>742</v>
      </c>
      <c r="E37" s="294" t="s">
        <v>711</v>
      </c>
      <c r="F37" s="321">
        <f ca="1">INDIRECT("'数据-取费表'!Al"&amp;$G$1)</f>
        <v>1E-3</v>
      </c>
      <c r="G37" s="1292"/>
      <c r="H37" s="2472"/>
      <c r="I37" s="1305"/>
      <c r="J37" s="1306"/>
      <c r="K37" s="2330"/>
      <c r="L37" s="2472"/>
      <c r="M37" s="2472"/>
    </row>
    <row r="38" spans="1:18" ht="18" customHeight="1" thickBot="1">
      <c r="A38" s="1026" t="s">
        <v>682</v>
      </c>
      <c r="B38" s="1027" t="s">
        <v>727</v>
      </c>
      <c r="C38" s="1028">
        <f ca="1">ROUND(C5*F38,0)</f>
        <v>3172</v>
      </c>
      <c r="D38" s="1029" t="s">
        <v>747</v>
      </c>
      <c r="E38" s="1027" t="s">
        <v>711</v>
      </c>
      <c r="F38" s="1023">
        <f ca="1">INDIRECT("'数据-取费表'!Am"&amp;$G$1)</f>
        <v>0.01</v>
      </c>
      <c r="G38" s="1292"/>
      <c r="H38" s="2472"/>
      <c r="I38" s="1305"/>
      <c r="J38" s="1306"/>
      <c r="K38" s="2470"/>
      <c r="L38" s="2472"/>
      <c r="M38" s="2472"/>
    </row>
    <row r="39" spans="1:18" ht="24.6" customHeight="1" thickTop="1">
      <c r="A39" s="1016" t="s">
        <v>394</v>
      </c>
      <c r="B39" s="1031" t="s">
        <v>751</v>
      </c>
      <c r="C39" s="302">
        <f ca="1">C5-C30</f>
        <v>284473</v>
      </c>
      <c r="D39" s="1032" t="s">
        <v>752</v>
      </c>
      <c r="E39" s="1033"/>
      <c r="F39" s="1034"/>
      <c r="G39" s="1292"/>
      <c r="H39" s="2472">
        <f ca="1">C39/C5</f>
        <v>0.89684231101471024</v>
      </c>
      <c r="I39" s="1305"/>
      <c r="J39" s="1306"/>
      <c r="K39" s="2470"/>
      <c r="L39" s="2472"/>
      <c r="M39" s="2472"/>
    </row>
    <row r="40" spans="1:18" ht="18" customHeight="1">
      <c r="A40" s="291" t="s">
        <v>395</v>
      </c>
      <c r="B40" s="292" t="s">
        <v>773</v>
      </c>
      <c r="C40" s="293">
        <f ca="1">ROUND(C39*(1-((1+F42)/(1+F40))^F41)/(F40-F42),0)</f>
        <v>3763332</v>
      </c>
      <c r="D40" s="316" t="s">
        <v>757</v>
      </c>
      <c r="E40" s="294" t="s">
        <v>758</v>
      </c>
      <c r="F40" s="304">
        <f ca="1">INDIRECT("'数据-取费表'!I"&amp;$G$1)</f>
        <v>5.5E-2</v>
      </c>
      <c r="G40" s="1292"/>
      <c r="H40" s="1366"/>
      <c r="I40" s="1305"/>
      <c r="J40" s="1306"/>
      <c r="K40" s="2470"/>
      <c r="L40" s="1366"/>
      <c r="M40" s="1366"/>
    </row>
    <row r="41" spans="1:18" ht="18" customHeight="1">
      <c r="A41" s="296"/>
      <c r="B41" s="297"/>
      <c r="C41" s="298"/>
      <c r="D41" s="323" t="s">
        <v>774</v>
      </c>
      <c r="E41" s="294" t="s">
        <v>762</v>
      </c>
      <c r="F41" s="324">
        <f ca="1">IF(INDIRECT("'数据-取费表'!af"&amp;$G$1)=0,INDIRECT("'数据-取费表'!ae"&amp;$G$1),INDIRECT("'数据-取费表'!af"&amp;$G$1))</f>
        <v>18.43</v>
      </c>
      <c r="G41" s="1292"/>
      <c r="H41" s="121"/>
      <c r="I41" s="1305"/>
      <c r="J41" s="1306"/>
      <c r="K41" s="2330"/>
      <c r="L41" s="121"/>
      <c r="M41" s="121"/>
    </row>
    <row r="42" spans="1:18" ht="18" customHeight="1">
      <c r="A42" s="300"/>
      <c r="B42" s="301"/>
      <c r="C42" s="302"/>
      <c r="D42" s="319"/>
      <c r="E42" s="294" t="s">
        <v>765</v>
      </c>
      <c r="F42" s="304">
        <f ca="1">INDIRECT("'数据-取费表'!v"&amp;$G$1)</f>
        <v>0.02</v>
      </c>
      <c r="G42" s="1292"/>
      <c r="H42" s="121"/>
      <c r="I42" s="1305"/>
      <c r="J42" s="1306"/>
      <c r="K42" s="2330"/>
      <c r="L42" s="121"/>
      <c r="M42" s="121"/>
    </row>
    <row r="43" spans="1:18" ht="18" customHeight="1" thickBot="1">
      <c r="A43" s="325" t="s">
        <v>396</v>
      </c>
      <c r="B43" s="326" t="s">
        <v>775</v>
      </c>
      <c r="C43" s="327">
        <f ca="1">ROUND(C40/F43,0)</f>
        <v>21853</v>
      </c>
      <c r="D43" s="328" t="s">
        <v>776</v>
      </c>
      <c r="E43" s="329" t="s">
        <v>777</v>
      </c>
      <c r="F43" s="330">
        <f ca="1">INDIRECT("'数据-取费表'!k"&amp;$G$1)</f>
        <v>172.21</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-385.94560000000001</v>
      </c>
      <c r="D45" s="3129" t="s">
        <v>3351</v>
      </c>
      <c r="E45" s="1307"/>
      <c r="F45" s="1307"/>
      <c r="O45" s="1310" t="s">
        <v>807</v>
      </c>
      <c r="P45" s="1366"/>
      <c r="Q45" s="1366"/>
      <c r="R45" s="1366"/>
    </row>
    <row r="46" spans="1:18" s="1292" customFormat="1" ht="13.8" thickBot="1">
      <c r="A46" s="1311" t="s">
        <v>808</v>
      </c>
      <c r="C46" s="1312">
        <f ca="1">ROUND(C45,0)</f>
        <v>-386</v>
      </c>
      <c r="D46" s="1313" t="str">
        <f>C2</f>
        <v>万元</v>
      </c>
      <c r="I46" s="1314" t="s">
        <v>809</v>
      </c>
      <c r="J46" s="1315"/>
      <c r="K46" s="1316"/>
      <c r="L46" s="1317">
        <f ca="1">IF(M47="住宅",0,IF(L48&gt;J51,L60,J60))</f>
        <v>82787</v>
      </c>
      <c r="O46" s="1318" t="s">
        <v>810</v>
      </c>
      <c r="P46" s="1319" t="s">
        <v>811</v>
      </c>
      <c r="Q46" s="1320" t="s">
        <v>812</v>
      </c>
      <c r="R46" s="1320" t="s">
        <v>813</v>
      </c>
    </row>
    <row r="47" spans="1:18" s="1292" customFormat="1" ht="13.8" thickBot="1">
      <c r="A47" s="892" t="s">
        <v>686</v>
      </c>
      <c r="B47" s="924" t="s">
        <v>687</v>
      </c>
      <c r="C47" s="924" t="s">
        <v>688</v>
      </c>
      <c r="D47" s="924" t="s">
        <v>689</v>
      </c>
      <c r="E47" s="995" t="s">
        <v>690</v>
      </c>
      <c r="F47" s="996"/>
      <c r="G47" s="681"/>
      <c r="I47" s="1321" t="s">
        <v>814</v>
      </c>
      <c r="J47" s="1322" t="s">
        <v>3402</v>
      </c>
      <c r="K47" s="1323" t="s">
        <v>815</v>
      </c>
      <c r="L47" s="1324">
        <f ca="1">INDIRECT("'数据-取费表'!d"&amp;$G$1)</f>
        <v>40</v>
      </c>
      <c r="M47" s="1288" t="str">
        <f>IF(ISNUMBER(FIND("住宅",C1)),"住宅","非住宅")</f>
        <v>非住宅</v>
      </c>
      <c r="O47" s="1325" t="s">
        <v>403</v>
      </c>
      <c r="P47" s="1326" t="s">
        <v>816</v>
      </c>
      <c r="Q47" s="1327">
        <f ca="1">C40+J29</f>
        <v>3763332</v>
      </c>
      <c r="R47" s="1327" t="s">
        <v>817</v>
      </c>
    </row>
    <row r="48" spans="1:18" s="1292" customFormat="1" ht="40.200000000000003" thickBot="1">
      <c r="A48" s="1047" t="s">
        <v>438</v>
      </c>
      <c r="B48" s="292" t="s">
        <v>691</v>
      </c>
      <c r="C48" s="1268">
        <f ca="1">C49+C53+C55</f>
        <v>0</v>
      </c>
      <c r="D48" s="1049"/>
      <c r="E48" s="1050"/>
      <c r="F48" s="908"/>
      <c r="G48" s="681"/>
      <c r="H48" s="682"/>
      <c r="I48" s="1328" t="s">
        <v>818</v>
      </c>
      <c r="J48" s="1329" t="s">
        <v>3519</v>
      </c>
      <c r="K48" s="1330" t="s">
        <v>819</v>
      </c>
      <c r="L48" s="1331">
        <f ca="1">INDIRECT("'数据-取费表'!f"&amp;$G$1)</f>
        <v>18.43</v>
      </c>
      <c r="O48" s="1325" t="s">
        <v>404</v>
      </c>
      <c r="P48" s="1326" t="s">
        <v>820</v>
      </c>
      <c r="Q48" s="1327">
        <f ca="1">J60</f>
        <v>82787</v>
      </c>
      <c r="R48" s="1327" t="s">
        <v>821</v>
      </c>
    </row>
    <row r="49" spans="1:18" s="1292" customFormat="1" ht="13.8" thickBot="1">
      <c r="A49" s="921" t="s">
        <v>439</v>
      </c>
      <c r="B49" s="1279" t="s">
        <v>778</v>
      </c>
      <c r="C49" s="1051">
        <f ca="1">ROUND(F49*F51*F50*(1-F52),0)</f>
        <v>0</v>
      </c>
      <c r="D49" s="992" t="s">
        <v>694</v>
      </c>
      <c r="E49" s="1280" t="s">
        <v>779</v>
      </c>
      <c r="F49" s="997"/>
      <c r="H49" s="682"/>
      <c r="I49" s="1328" t="s">
        <v>822</v>
      </c>
      <c r="J49" s="1332">
        <f>'数据-取费表'!N18</f>
        <v>2004</v>
      </c>
      <c r="K49" s="1330" t="s">
        <v>823</v>
      </c>
      <c r="L49" s="1333"/>
      <c r="O49" s="1334" t="s">
        <v>405</v>
      </c>
      <c r="P49" s="1326" t="s">
        <v>824</v>
      </c>
      <c r="Q49" s="1327">
        <f ca="1">C29</f>
        <v>784802</v>
      </c>
      <c r="R49" s="1327" t="s">
        <v>817</v>
      </c>
    </row>
    <row r="50" spans="1:18" s="1292" customFormat="1" ht="13.8" thickBot="1">
      <c r="A50" s="922"/>
      <c r="B50" s="925"/>
      <c r="C50" s="926"/>
      <c r="D50" s="899"/>
      <c r="E50" s="993" t="s">
        <v>696</v>
      </c>
      <c r="F50" s="994">
        <f ca="1">F7</f>
        <v>172.21</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8" thickBot="1">
      <c r="A51" s="923"/>
      <c r="B51" s="925"/>
      <c r="C51" s="926"/>
      <c r="D51" s="899"/>
      <c r="E51" s="927" t="s">
        <v>697</v>
      </c>
      <c r="F51" s="295">
        <f ca="1">F8</f>
        <v>365</v>
      </c>
      <c r="I51" s="1338" t="s">
        <v>828</v>
      </c>
      <c r="J51" s="1331">
        <f>IF(J49="",J50,J49+J50-YEAR('数据-取费表'!B2))</f>
        <v>40</v>
      </c>
      <c r="K51" s="1339" t="s">
        <v>829</v>
      </c>
      <c r="L51" s="1340">
        <f ca="1">ROUND(-PV(INDIRECT("'数据-取费表'!h"&amp;$G$1),J51,(C39-C13*C76),0),0)</f>
        <v>4183733</v>
      </c>
      <c r="M51" s="1341"/>
      <c r="O51" s="1334" t="s">
        <v>407</v>
      </c>
      <c r="P51" s="1326" t="s">
        <v>830</v>
      </c>
      <c r="Q51" s="1337">
        <f>J52</f>
        <v>7.4999999999999997E-2</v>
      </c>
      <c r="R51" s="1327"/>
    </row>
    <row r="52" spans="1:18" s="1292" customFormat="1" ht="13.8" thickBot="1">
      <c r="A52" s="923"/>
      <c r="B52" s="925"/>
      <c r="C52" s="926"/>
      <c r="D52" s="899"/>
      <c r="E52" s="927" t="s">
        <v>698</v>
      </c>
      <c r="F52" s="991"/>
      <c r="I52" s="1342" t="s">
        <v>831</v>
      </c>
      <c r="J52" s="1343">
        <v>7.4999999999999997E-2</v>
      </c>
      <c r="K52" s="1342" t="s">
        <v>832</v>
      </c>
      <c r="L52" s="1343"/>
      <c r="O52" s="1334" t="s">
        <v>408</v>
      </c>
      <c r="P52" s="1326" t="s">
        <v>833</v>
      </c>
      <c r="Q52" s="1327">
        <f ca="1">J53</f>
        <v>18.43</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18.43</v>
      </c>
      <c r="K53" s="3354" t="s">
        <v>836</v>
      </c>
      <c r="L53" s="3355"/>
      <c r="O53" s="1325" t="s">
        <v>409</v>
      </c>
      <c r="P53" s="1326" t="s">
        <v>837</v>
      </c>
      <c r="Q53" s="1327">
        <f ca="1">Q47+Q48</f>
        <v>3846119</v>
      </c>
      <c r="R53" s="1327" t="s">
        <v>410</v>
      </c>
    </row>
    <row r="54" spans="1:18" s="1292" customFormat="1" ht="13.8"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8" thickBot="1">
      <c r="A55" s="1020" t="s">
        <v>437</v>
      </c>
      <c r="B55" s="1277" t="s">
        <v>702</v>
      </c>
      <c r="C55" s="1021"/>
      <c r="D55" s="150"/>
      <c r="E55" s="1282"/>
      <c r="F55" s="1345"/>
      <c r="I55" s="1348" t="s">
        <v>839</v>
      </c>
      <c r="J55" s="1349">
        <f ca="1">ROUND(IF(J47="钢混",J57/J50,1-(1-2%)*(J50-J57)/J50),3)</f>
        <v>0.36</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580753</v>
      </c>
      <c r="D56" s="1352"/>
      <c r="E56" s="1353"/>
      <c r="F56" s="1345"/>
      <c r="I56" s="1354" t="s">
        <v>841</v>
      </c>
      <c r="J56" s="1355" t="s">
        <v>3520</v>
      </c>
      <c r="K56" s="1328" t="s">
        <v>842</v>
      </c>
      <c r="L56" s="1331" t="str">
        <f ca="1">IF(L48&lt;J51,"——",L48-J51)</f>
        <v>——</v>
      </c>
      <c r="O56" s="1325" t="s">
        <v>403</v>
      </c>
      <c r="P56" s="1326" t="s">
        <v>816</v>
      </c>
      <c r="Q56" s="1327">
        <f ca="1">C40+J29</f>
        <v>3763332</v>
      </c>
      <c r="R56" s="1327" t="s">
        <v>817</v>
      </c>
    </row>
    <row r="57" spans="1:18" s="1292" customFormat="1" ht="24.6" thickBot="1">
      <c r="A57" s="1356"/>
      <c r="B57" s="896" t="s">
        <v>766</v>
      </c>
      <c r="C57" s="230">
        <f ca="1">C29</f>
        <v>784802</v>
      </c>
      <c r="D57" s="1357"/>
      <c r="E57" s="1358"/>
      <c r="F57" s="1359"/>
      <c r="I57" s="1360" t="s">
        <v>843</v>
      </c>
      <c r="J57" s="1361">
        <f ca="1">IF(OR(M47="住宅",J51&lt;L48,J56="是"),"——",J51-L48)</f>
        <v>21.57</v>
      </c>
      <c r="K57" s="1328" t="s">
        <v>891</v>
      </c>
      <c r="L57" s="1331" t="str">
        <f ca="1">IF(L48&lt;J51,"——",IF(L55="比较法",L49,IF(L55="基准地价",L50,L51)))</f>
        <v>——</v>
      </c>
      <c r="O57" s="1325" t="s">
        <v>404</v>
      </c>
      <c r="P57" s="1326" t="s">
        <v>845</v>
      </c>
      <c r="Q57" s="1327">
        <f ca="1">L60</f>
        <v>0</v>
      </c>
      <c r="R57" s="1327" t="s">
        <v>846</v>
      </c>
    </row>
    <row r="58" spans="1:18" s="1292" customFormat="1" ht="24.6" thickBot="1">
      <c r="A58" s="307" t="s">
        <v>393</v>
      </c>
      <c r="B58" s="904" t="s">
        <v>713</v>
      </c>
      <c r="C58" s="308">
        <f ca="1">ROUND(C59+C64+C65+C66,0)</f>
        <v>8429</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6" thickBot="1">
      <c r="A59" s="928" t="s">
        <v>398</v>
      </c>
      <c r="B59" s="896" t="s">
        <v>718</v>
      </c>
      <c r="C59" s="2140">
        <f ca="1">ROUND(IF(AND(项目基本情况!B11="自然人",项目基本情况!B10="北京市"),C49*F59/(1+'数据-取费表'!C42),C60+C61+C62),0)</f>
        <v>0</v>
      </c>
      <c r="D59" s="909" t="s">
        <v>719</v>
      </c>
      <c r="E59" s="910" t="s">
        <v>720</v>
      </c>
      <c r="F59" s="2139">
        <f ca="1">IF(项目基本情况!B11="企业","——",IF('数据-取费表'!B10="住宅",IF(F49*F50*F51/12/(1+'数据-取费表'!F30)&gt;100000,4%,2.5%),IF(F49*F50*F51/12/(1+'数据-取费表'!F30)&gt;100000,12%,7%)))</f>
        <v>7.0000000000000007E-2</v>
      </c>
      <c r="I59" s="1360" t="s">
        <v>850</v>
      </c>
      <c r="J59" s="1361">
        <f ca="1">IF(OR(M47="住宅",J51&lt;L48,J56="是"),"——",ROUND(C29*J58,0))</f>
        <v>313921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2" thickBot="1">
      <c r="A60" s="928" t="s">
        <v>397</v>
      </c>
      <c r="B60" s="896" t="s">
        <v>722</v>
      </c>
      <c r="C60" s="21" t="str">
        <f>IF(项目基本情况!B11="自然人","——",ROUND(C48*F60/(1+'数据-取费表'!C42),0))</f>
        <v>——</v>
      </c>
      <c r="D60" s="910" t="s">
        <v>723</v>
      </c>
      <c r="E60" s="896" t="s">
        <v>711</v>
      </c>
      <c r="F60" s="322">
        <f t="shared" ref="F60:F66" si="0">F32</f>
        <v>5.5000000000000007E-2</v>
      </c>
      <c r="I60" s="1363" t="s">
        <v>852</v>
      </c>
      <c r="J60" s="1364">
        <f ca="1">IF(OR(M47="住宅",J51&lt;L48,J56="是"),"0",ROUND(J59/(1+J52)^J53,0))</f>
        <v>82787</v>
      </c>
      <c r="K60" s="1365" t="s">
        <v>853</v>
      </c>
      <c r="L60" s="1364">
        <f ca="1">IF(OR(M47="住宅",L48&lt;J51),0,ROUND(L57*(L58/L59-1),0))</f>
        <v>0</v>
      </c>
      <c r="O60" s="1334" t="s">
        <v>407</v>
      </c>
      <c r="P60" s="1326" t="s">
        <v>854</v>
      </c>
      <c r="Q60" s="1327" t="e">
        <f ca="1">L58</f>
        <v>#DIV/0!</v>
      </c>
      <c r="R60" s="1327" t="s">
        <v>855</v>
      </c>
    </row>
    <row r="61" spans="1:18" s="1292" customFormat="1" ht="13.8" thickBot="1">
      <c r="A61" s="928" t="s">
        <v>780</v>
      </c>
      <c r="B61" s="896" t="s">
        <v>726</v>
      </c>
      <c r="C61" s="21" t="str">
        <f ca="1">IF(项目基本情况!B11="自然人","——",IF(D61="按租金收入计税",ROUND(C49*F61/(1+'数据-取费表'!C42),0),IF(D61="按房产原值计税",ROUND(C57*F61*0.7,0),INDIRECT("'数据-取费表'!Aj"&amp;$G$1))))</f>
        <v>——</v>
      </c>
      <c r="D61" s="1278" t="s">
        <v>3334</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8" thickBot="1">
      <c r="A62" s="928" t="s">
        <v>783</v>
      </c>
      <c r="B62" s="895" t="s">
        <v>729</v>
      </c>
      <c r="C62" s="22" t="str">
        <f>IF(项目基本情况!B11="自然人","——",ROUND(F62*F63,0))</f>
        <v>——</v>
      </c>
      <c r="D62" s="911" t="s">
        <v>730</v>
      </c>
      <c r="E62" s="896" t="s">
        <v>731</v>
      </c>
      <c r="F62" s="317">
        <f t="shared" si="0"/>
        <v>1.5</v>
      </c>
      <c r="I62" s="1367" t="s">
        <v>857</v>
      </c>
      <c r="J62" s="610" t="s">
        <v>858</v>
      </c>
      <c r="K62" s="610" t="s">
        <v>859</v>
      </c>
      <c r="L62" s="610" t="s">
        <v>860</v>
      </c>
      <c r="M62" s="1368" t="s">
        <v>861</v>
      </c>
      <c r="O62" s="1325" t="s">
        <v>409</v>
      </c>
      <c r="P62" s="1326" t="s">
        <v>837</v>
      </c>
      <c r="Q62" s="1327">
        <f ca="1">Q56+Q57</f>
        <v>3763332</v>
      </c>
      <c r="R62" s="1327" t="s">
        <v>410</v>
      </c>
    </row>
    <row r="63" spans="1:18" s="1292" customFormat="1" ht="13.8"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8" thickBot="1">
      <c r="A64" s="928" t="s">
        <v>402</v>
      </c>
      <c r="B64" s="896" t="s">
        <v>737</v>
      </c>
      <c r="C64" s="21">
        <f ca="1">ROUND(C57*F64,0)</f>
        <v>7848</v>
      </c>
      <c r="D64" s="910" t="s">
        <v>770</v>
      </c>
      <c r="E64" s="896" t="s">
        <v>711</v>
      </c>
      <c r="F64" s="320">
        <f t="shared" ca="1" si="0"/>
        <v>0.01</v>
      </c>
      <c r="I64" s="1367" t="s">
        <v>865</v>
      </c>
      <c r="J64" s="610">
        <v>50</v>
      </c>
      <c r="K64" s="610">
        <v>35</v>
      </c>
      <c r="L64" s="610">
        <v>60</v>
      </c>
      <c r="M64" s="1368">
        <v>0</v>
      </c>
      <c r="O64" s="1318" t="s">
        <v>810</v>
      </c>
      <c r="P64" s="1319" t="s">
        <v>811</v>
      </c>
      <c r="Q64" s="1320" t="s">
        <v>812</v>
      </c>
      <c r="R64" s="1320" t="s">
        <v>813</v>
      </c>
    </row>
    <row r="65" spans="1:18" s="1292" customFormat="1" ht="13.8" thickBot="1">
      <c r="A65" s="928" t="s">
        <v>791</v>
      </c>
      <c r="B65" s="896" t="s">
        <v>741</v>
      </c>
      <c r="C65" s="21">
        <f ca="1">ROUND(C56*F65,0)</f>
        <v>581</v>
      </c>
      <c r="D65" s="910" t="s">
        <v>742</v>
      </c>
      <c r="E65" s="896" t="s">
        <v>711</v>
      </c>
      <c r="F65" s="321">
        <f t="shared" ca="1" si="0"/>
        <v>1E-3</v>
      </c>
      <c r="I65" s="1367" t="s">
        <v>866</v>
      </c>
      <c r="J65" s="610">
        <v>40</v>
      </c>
      <c r="K65" s="610">
        <v>30</v>
      </c>
      <c r="L65" s="610">
        <v>50</v>
      </c>
      <c r="M65" s="1369">
        <v>0.02</v>
      </c>
      <c r="O65" s="1325" t="s">
        <v>403</v>
      </c>
      <c r="P65" s="1326" t="s">
        <v>816</v>
      </c>
      <c r="Q65" s="1327">
        <f ca="1">C40+J29</f>
        <v>3763332</v>
      </c>
      <c r="R65" s="1327" t="s">
        <v>817</v>
      </c>
    </row>
    <row r="66" spans="1:18" s="1292" customFormat="1" ht="16.2"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24.6" thickBot="1">
      <c r="A67" s="903" t="s">
        <v>394</v>
      </c>
      <c r="B67" s="913" t="s">
        <v>751</v>
      </c>
      <c r="C67" s="308">
        <f ca="1">C48-C58</f>
        <v>-8429</v>
      </c>
      <c r="D67" s="909" t="s">
        <v>752</v>
      </c>
      <c r="E67" s="914"/>
      <c r="F67" s="915"/>
      <c r="O67" s="1334" t="s">
        <v>405</v>
      </c>
      <c r="P67" s="1326" t="s">
        <v>849</v>
      </c>
      <c r="Q67" s="1370">
        <f ca="1">L51</f>
        <v>4183733</v>
      </c>
      <c r="R67" s="1327" t="s">
        <v>869</v>
      </c>
    </row>
    <row r="68" spans="1:18" s="1292" customFormat="1" ht="16.2" thickBot="1">
      <c r="A68" s="893" t="s">
        <v>395</v>
      </c>
      <c r="B68" s="894" t="s">
        <v>773</v>
      </c>
      <c r="C68" s="293">
        <f ca="1">ROUND(C67*(1-((1+F70)/(1+F68))^F69)/(F68-F70),0)</f>
        <v>-96124</v>
      </c>
      <c r="D68" s="911" t="s">
        <v>757</v>
      </c>
      <c r="E68" s="896" t="s">
        <v>758</v>
      </c>
      <c r="F68" s="304">
        <f ca="1">F40</f>
        <v>5.5E-2</v>
      </c>
      <c r="O68" s="1334" t="s">
        <v>406</v>
      </c>
      <c r="P68" s="1371" t="s">
        <v>870</v>
      </c>
      <c r="Q68" s="1327">
        <f ca="1">ROUND(Q69-Q70*Q71,0)</f>
        <v>243820</v>
      </c>
      <c r="R68" s="1327" t="s">
        <v>414</v>
      </c>
    </row>
    <row r="69" spans="1:18" s="1292" customFormat="1" ht="13.8" thickBot="1">
      <c r="A69" s="897"/>
      <c r="B69" s="898"/>
      <c r="C69" s="298"/>
      <c r="D69" s="916" t="s">
        <v>761</v>
      </c>
      <c r="E69" s="896" t="s">
        <v>762</v>
      </c>
      <c r="F69" s="324">
        <f ca="1">F41</f>
        <v>18.43</v>
      </c>
      <c r="O69" s="1334" t="s">
        <v>411</v>
      </c>
      <c r="P69" s="1371" t="s">
        <v>871</v>
      </c>
      <c r="Q69" s="1327">
        <f ca="1">C39</f>
        <v>284473</v>
      </c>
      <c r="R69" s="1327" t="s">
        <v>817</v>
      </c>
    </row>
    <row r="70" spans="1:18" s="1292" customFormat="1" ht="13.8" thickBot="1">
      <c r="A70" s="900"/>
      <c r="B70" s="901"/>
      <c r="C70" s="302"/>
      <c r="D70" s="912"/>
      <c r="E70" s="896" t="s">
        <v>765</v>
      </c>
      <c r="F70" s="991"/>
      <c r="O70" s="1334" t="s">
        <v>412</v>
      </c>
      <c r="P70" s="1371" t="s">
        <v>872</v>
      </c>
      <c r="Q70" s="1327">
        <f ca="1">C13</f>
        <v>580753</v>
      </c>
      <c r="R70" s="1327" t="s">
        <v>817</v>
      </c>
    </row>
    <row r="71" spans="1:18" s="1292" customFormat="1" ht="13.8" thickBot="1">
      <c r="A71" s="917" t="s">
        <v>396</v>
      </c>
      <c r="B71" s="918" t="s">
        <v>775</v>
      </c>
      <c r="C71" s="327">
        <f ca="1">ROUND(C68/F71,0)</f>
        <v>-558</v>
      </c>
      <c r="D71" s="919" t="s">
        <v>776</v>
      </c>
      <c r="E71" s="920" t="s">
        <v>777</v>
      </c>
      <c r="F71" s="330">
        <f ca="1">F43</f>
        <v>172.21</v>
      </c>
      <c r="O71" s="1334" t="s">
        <v>413</v>
      </c>
      <c r="P71" s="1371" t="s">
        <v>873</v>
      </c>
      <c r="Q71" s="1337">
        <f ca="1">C76</f>
        <v>7.0000000000000007E-2</v>
      </c>
      <c r="R71" s="1327"/>
    </row>
    <row r="72" spans="1:18" s="1292" customFormat="1" ht="13.8" thickBot="1">
      <c r="B72" s="685"/>
      <c r="C72" s="685"/>
      <c r="O72" s="1334" t="s">
        <v>407</v>
      </c>
      <c r="P72" s="1326" t="s">
        <v>851</v>
      </c>
      <c r="Q72" s="1337">
        <f>L52</f>
        <v>0</v>
      </c>
      <c r="R72" s="1327"/>
    </row>
    <row r="73" spans="1:18" ht="16.2" thickBot="1">
      <c r="A73" s="1292"/>
      <c r="B73" s="685"/>
      <c r="C73" s="685"/>
      <c r="D73" s="1292"/>
      <c r="E73" s="1292"/>
      <c r="F73" s="1292"/>
      <c r="O73" s="1334" t="s">
        <v>408</v>
      </c>
      <c r="P73" s="1326" t="s">
        <v>854</v>
      </c>
      <c r="Q73" s="1327" t="e">
        <f ca="1">L58</f>
        <v>#DIV/0!</v>
      </c>
      <c r="R73" s="1327" t="s">
        <v>855</v>
      </c>
    </row>
    <row r="74" spans="1:18" ht="13.8"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8" thickBot="1">
      <c r="A75" s="1292"/>
      <c r="B75" s="331" t="s">
        <v>794</v>
      </c>
      <c r="C75" s="332">
        <f ca="1">ROUND(C13*C76,0)</f>
        <v>40653</v>
      </c>
      <c r="D75" s="1292"/>
      <c r="E75" s="1292"/>
      <c r="F75" s="1292"/>
      <c r="K75" s="1309"/>
      <c r="L75" s="1292"/>
      <c r="O75" s="1325" t="s">
        <v>409</v>
      </c>
      <c r="P75" s="1326" t="s">
        <v>837</v>
      </c>
      <c r="Q75" s="1327">
        <f ca="1">Q65+Q66</f>
        <v>3763332</v>
      </c>
      <c r="R75" s="1327" t="s">
        <v>410</v>
      </c>
    </row>
    <row r="76" spans="1:18">
      <c r="B76" s="333" t="s">
        <v>795</v>
      </c>
      <c r="C76" s="334">
        <f ca="1">INDIRECT("'数据-取费表'!j"&amp;$G$1)</f>
        <v>7.0000000000000007E-2</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0.85699999999999998</v>
      </c>
    </row>
    <row r="80" spans="1:18">
      <c r="B80" s="331" t="s">
        <v>799</v>
      </c>
      <c r="C80" s="266">
        <f ca="1">ROUND(C75/C39,3)</f>
        <v>0.14299999999999999</v>
      </c>
    </row>
    <row r="81" spans="2:3">
      <c r="B81" s="262" t="s">
        <v>800</v>
      </c>
      <c r="C81" s="230"/>
    </row>
    <row r="82" spans="2:3">
      <c r="B82" s="265" t="s">
        <v>801</v>
      </c>
      <c r="C82" s="267">
        <f ca="1">1-C83</f>
        <v>0.84599999999999997</v>
      </c>
    </row>
    <row r="83" spans="2:3">
      <c r="B83" s="265" t="s">
        <v>802</v>
      </c>
      <c r="C83" s="266">
        <f ca="1">ROUND(C13/C40,3)</f>
        <v>0.154</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FD8BA78-5910-4071-B60B-FF48E6CE7583}">
      <formula1>"比较法,基准地价,收益还原"</formula1>
    </dataValidation>
    <dataValidation type="list" allowBlank="1" showInputMessage="1" showErrorMessage="1" sqref="J56" xr:uid="{8EE527EB-C6A0-413B-8EC7-C988E742B5F8}">
      <formula1>估价范围判定</formula1>
    </dataValidation>
    <dataValidation type="list" allowBlank="1" showInputMessage="1" showErrorMessage="1" sqref="J48" xr:uid="{6FA6A4D0-9648-4B11-AB74-1BD91776A8A2}">
      <formula1>"非生产用房,生产用房,受腐蚀的生产用房"</formula1>
    </dataValidation>
    <dataValidation type="list" allowBlank="1" showInputMessage="1" showErrorMessage="1" sqref="J47" xr:uid="{E593CDE7-0E87-4C4C-B18D-C2F8F393C1E0}">
      <formula1>"钢,钢混,砖混"</formula1>
    </dataValidation>
    <dataValidation type="list" allowBlank="1" showInputMessage="1" showErrorMessage="1" sqref="C1" xr:uid="{3DB21416-853A-49E0-80A7-34145E96DE67}">
      <formula1>项目类型</formula1>
    </dataValidation>
    <dataValidation type="list" allowBlank="1" showInputMessage="1" showErrorMessage="1" sqref="D33 D61" xr:uid="{84EC9718-BDEF-4D67-8315-3F728A7AC8B6}">
      <formula1>"按租金收入计税,按房产原值计税,按票据"</formula1>
    </dataValidation>
    <dataValidation type="list" allowBlank="1" showInputMessage="1" showErrorMessage="1" sqref="K19" xr:uid="{75A1C122-D6FF-4DF0-9420-6C508B6A006F}">
      <formula1>"按租金收入计税,按房产原值计税"</formula1>
    </dataValidation>
    <dataValidation type="list" allowBlank="1" showInputMessage="1" showErrorMessage="1" sqref="F10 F53 M10" xr:uid="{7527EC81-696D-4BAC-9FF0-6E21EA1E33DF}">
      <formula1>"押一,押二,押三,自定义"</formula1>
    </dataValidation>
    <dataValidation type="list" allowBlank="1" showInputMessage="1" showErrorMessage="1" sqref="D1" xr:uid="{B9EE740A-50A2-44F5-A83C-0224C9648F34}">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3" tint="0.39997558519241921"/>
  </sheetPr>
  <dimension ref="A1:Q148"/>
  <sheetViews>
    <sheetView topLeftCell="A175" workbookViewId="0">
      <selection activeCell="O148" sqref="O148"/>
    </sheetView>
  </sheetViews>
  <sheetFormatPr defaultRowHeight="14.4"/>
  <sheetData>
    <row r="1" spans="1:14">
      <c r="A1" s="1405" t="s">
        <v>3522</v>
      </c>
    </row>
    <row r="2" spans="1:14">
      <c r="A2" s="1405" t="s">
        <v>3521</v>
      </c>
      <c r="B2" s="1405" t="s">
        <v>3524</v>
      </c>
      <c r="C2" s="1405" t="s">
        <v>3422</v>
      </c>
    </row>
    <row r="3" spans="1:14">
      <c r="A3" s="1405" t="s">
        <v>3523</v>
      </c>
      <c r="B3">
        <v>10000</v>
      </c>
      <c r="C3">
        <f>ROUND(B3/45/30,2)</f>
        <v>7.41</v>
      </c>
      <c r="D3" s="1405" t="s">
        <v>3525</v>
      </c>
    </row>
    <row r="4" spans="1:14">
      <c r="A4">
        <v>45</v>
      </c>
      <c r="D4" s="1405" t="s">
        <v>3526</v>
      </c>
    </row>
    <row r="15" spans="1:14">
      <c r="M15" s="1405" t="s">
        <v>3537</v>
      </c>
    </row>
    <row r="16" spans="1:14">
      <c r="M16" s="1405" t="s">
        <v>3411</v>
      </c>
      <c r="N16">
        <v>236.12</v>
      </c>
    </row>
    <row r="17" spans="13:15">
      <c r="M17" s="1405" t="s">
        <v>3538</v>
      </c>
      <c r="N17">
        <v>59292</v>
      </c>
    </row>
    <row r="18" spans="13:15">
      <c r="M18" s="1405" t="s">
        <v>3410</v>
      </c>
      <c r="N18" s="1405" t="s">
        <v>3532</v>
      </c>
    </row>
    <row r="19" spans="13:15">
      <c r="N19" s="1405" t="s">
        <v>3539</v>
      </c>
    </row>
    <row r="20" spans="13:15">
      <c r="N20" s="1405" t="s">
        <v>3540</v>
      </c>
    </row>
    <row r="21" spans="13:15">
      <c r="N21" s="1405" t="s">
        <v>3541</v>
      </c>
    </row>
    <row r="22" spans="13:15">
      <c r="M22" s="1405" t="s">
        <v>3414</v>
      </c>
      <c r="N22">
        <v>40</v>
      </c>
      <c r="O22" s="1405" t="s">
        <v>3542</v>
      </c>
    </row>
    <row r="23" spans="13:15">
      <c r="M23" s="1405" t="s">
        <v>3422</v>
      </c>
      <c r="N23">
        <f>ROUND(N22/N16/365*10000,2)</f>
        <v>4.6399999999999997</v>
      </c>
    </row>
    <row r="25" spans="13:15">
      <c r="M25" s="1405" t="s">
        <v>3543</v>
      </c>
    </row>
    <row r="26" spans="13:15">
      <c r="M26" s="1405" t="s">
        <v>3544</v>
      </c>
    </row>
    <row r="45" spans="13:14">
      <c r="M45" s="1405" t="s">
        <v>3545</v>
      </c>
    </row>
    <row r="46" spans="13:14">
      <c r="M46" s="1405" t="s">
        <v>3411</v>
      </c>
      <c r="N46">
        <v>186</v>
      </c>
    </row>
    <row r="47" spans="13:14">
      <c r="M47" s="1405" t="s">
        <v>3538</v>
      </c>
      <c r="N47">
        <v>53764</v>
      </c>
    </row>
    <row r="48" spans="13:14">
      <c r="M48" s="1405" t="s">
        <v>3410</v>
      </c>
      <c r="N48" s="1405" t="s">
        <v>3532</v>
      </c>
    </row>
    <row r="49" spans="13:15">
      <c r="N49" s="1405" t="s">
        <v>3539</v>
      </c>
    </row>
    <row r="50" spans="13:15">
      <c r="N50" s="1405" t="s">
        <v>3540</v>
      </c>
    </row>
    <row r="51" spans="13:15">
      <c r="N51" s="1405" t="s">
        <v>3541</v>
      </c>
    </row>
    <row r="52" spans="13:15">
      <c r="M52" s="1405" t="s">
        <v>3414</v>
      </c>
      <c r="N52">
        <v>20</v>
      </c>
      <c r="O52" s="1405" t="s">
        <v>3542</v>
      </c>
    </row>
    <row r="53" spans="13:15">
      <c r="M53" s="1405" t="s">
        <v>3422</v>
      </c>
      <c r="N53">
        <f>ROUND(N52/N46/365*10000,2)</f>
        <v>2.95</v>
      </c>
    </row>
    <row r="55" spans="13:15">
      <c r="M55" s="1405" t="s">
        <v>3543</v>
      </c>
    </row>
    <row r="56" spans="13:15">
      <c r="M56" s="1405" t="s">
        <v>3546</v>
      </c>
    </row>
    <row r="77" spans="13:16">
      <c r="M77" s="1405" t="s">
        <v>3547</v>
      </c>
    </row>
    <row r="78" spans="13:16">
      <c r="M78" s="1405" t="s">
        <v>3411</v>
      </c>
      <c r="N78">
        <v>190.35</v>
      </c>
      <c r="P78" s="1405" t="s">
        <v>3551</v>
      </c>
    </row>
    <row r="79" spans="13:16">
      <c r="M79" s="1405" t="s">
        <v>3538</v>
      </c>
      <c r="N79">
        <v>55162</v>
      </c>
    </row>
    <row r="80" spans="13:16">
      <c r="M80" s="1405" t="s">
        <v>3410</v>
      </c>
      <c r="N80" s="1405" t="s">
        <v>3528</v>
      </c>
      <c r="O80" s="1405" t="s">
        <v>3550</v>
      </c>
    </row>
    <row r="81" spans="13:15">
      <c r="N81" s="1405" t="s">
        <v>3548</v>
      </c>
    </row>
    <row r="82" spans="13:15">
      <c r="N82" s="1405" t="s">
        <v>3549</v>
      </c>
    </row>
    <row r="83" spans="13:15">
      <c r="N83" s="1405" t="s">
        <v>3541</v>
      </c>
    </row>
    <row r="84" spans="13:15">
      <c r="M84" s="1405" t="s">
        <v>3414</v>
      </c>
      <c r="N84">
        <v>50</v>
      </c>
      <c r="O84" s="1405" t="s">
        <v>3542</v>
      </c>
    </row>
    <row r="85" spans="13:15">
      <c r="M85" s="1405" t="s">
        <v>3422</v>
      </c>
      <c r="N85">
        <f>ROUND(N84/N78/365*10000,2)</f>
        <v>7.2</v>
      </c>
    </row>
    <row r="87" spans="13:15">
      <c r="M87" s="1405" t="s">
        <v>3543</v>
      </c>
    </row>
    <row r="88" spans="13:15">
      <c r="M88" s="1405" t="s">
        <v>3546</v>
      </c>
    </row>
    <row r="111" spans="14:17">
      <c r="N111" s="1405" t="s">
        <v>3552</v>
      </c>
    </row>
    <row r="112" spans="14:17">
      <c r="N112" s="1405" t="s">
        <v>3411</v>
      </c>
      <c r="O112">
        <v>131.91</v>
      </c>
      <c r="Q112" s="1405"/>
    </row>
    <row r="113" spans="14:16">
      <c r="N113" s="1405" t="s">
        <v>3538</v>
      </c>
      <c r="O113">
        <v>49656</v>
      </c>
    </row>
    <row r="114" spans="14:16">
      <c r="N114" s="1405" t="s">
        <v>3410</v>
      </c>
      <c r="O114" s="1405" t="s">
        <v>3553</v>
      </c>
      <c r="P114" s="1405"/>
    </row>
    <row r="115" spans="14:16">
      <c r="O115" s="1405" t="s">
        <v>3539</v>
      </c>
    </row>
    <row r="116" spans="14:16">
      <c r="O116" s="1405" t="s">
        <v>3540</v>
      </c>
    </row>
    <row r="117" spans="14:16">
      <c r="O117" s="1405" t="s">
        <v>3541</v>
      </c>
    </row>
    <row r="118" spans="14:16">
      <c r="N118" s="1405"/>
      <c r="P118" s="1405"/>
    </row>
    <row r="119" spans="14:16">
      <c r="N119" s="1405"/>
    </row>
    <row r="121" spans="14:16">
      <c r="N121" s="1405" t="s">
        <v>3543</v>
      </c>
    </row>
    <row r="122" spans="14:16">
      <c r="N122" s="1405"/>
    </row>
    <row r="144" spans="14:14">
      <c r="N144" s="1405" t="s">
        <v>3571</v>
      </c>
    </row>
    <row r="145" spans="14:15">
      <c r="N145" s="1405" t="s">
        <v>3528</v>
      </c>
    </row>
    <row r="146" spans="14:15">
      <c r="N146" s="1405" t="s">
        <v>3539</v>
      </c>
    </row>
    <row r="147" spans="14:15">
      <c r="N147" s="1405" t="s">
        <v>3521</v>
      </c>
      <c r="O147">
        <v>65</v>
      </c>
    </row>
    <row r="148" spans="14:15">
      <c r="N148" s="1405" t="s">
        <v>3422</v>
      </c>
      <c r="O148">
        <v>8.09</v>
      </c>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3" tint="0.39997558519241921"/>
  </sheetPr>
  <dimension ref="I1:V36"/>
  <sheetViews>
    <sheetView topLeftCell="A16" workbookViewId="0">
      <selection activeCell="K37" sqref="K37"/>
    </sheetView>
  </sheetViews>
  <sheetFormatPr defaultRowHeight="14.4"/>
  <cols>
    <col min="10" max="10" width="16.109375" customWidth="1"/>
    <col min="12" max="12" width="8.88671875" customWidth="1"/>
    <col min="13" max="13" width="21.44140625" customWidth="1"/>
    <col min="16" max="16" width="10.6640625" customWidth="1"/>
  </cols>
  <sheetData>
    <row r="1" spans="10:22" s="3153" customFormat="1"/>
    <row r="2" spans="10:22" s="3153" customFormat="1" ht="28.8">
      <c r="J2" s="3159" t="s">
        <v>3487</v>
      </c>
      <c r="K2" s="3159" t="s">
        <v>3490</v>
      </c>
      <c r="L2" s="3159" t="s">
        <v>3491</v>
      </c>
      <c r="M2" s="3159" t="s">
        <v>3493</v>
      </c>
      <c r="N2" s="3159" t="s">
        <v>3501</v>
      </c>
      <c r="O2" s="3159" t="s">
        <v>3504</v>
      </c>
      <c r="P2" s="3159" t="s">
        <v>3495</v>
      </c>
      <c r="Q2" s="3159" t="s">
        <v>3497</v>
      </c>
      <c r="R2" s="3159" t="s">
        <v>3499</v>
      </c>
      <c r="S2" s="3159" t="s">
        <v>3500</v>
      </c>
      <c r="T2" s="3159" t="s">
        <v>3411</v>
      </c>
      <c r="U2" s="3159" t="s">
        <v>3508</v>
      </c>
      <c r="V2" s="3160"/>
    </row>
    <row r="3" spans="10:22" s="3153" customFormat="1" ht="43.2">
      <c r="J3" s="3159" t="s">
        <v>3488</v>
      </c>
      <c r="K3" s="3159" t="s">
        <v>3489</v>
      </c>
      <c r="L3" s="3159" t="s">
        <v>3492</v>
      </c>
      <c r="M3" s="3159" t="s">
        <v>3494</v>
      </c>
      <c r="N3" s="3159" t="s">
        <v>3503</v>
      </c>
      <c r="O3" s="3159" t="s">
        <v>3505</v>
      </c>
      <c r="P3" s="3159" t="s">
        <v>3496</v>
      </c>
      <c r="Q3" s="3159" t="s">
        <v>3498</v>
      </c>
      <c r="R3" s="3160">
        <v>2</v>
      </c>
      <c r="S3" s="3161" t="s">
        <v>3506</v>
      </c>
      <c r="T3" s="3159">
        <v>154.41</v>
      </c>
      <c r="U3" s="3160"/>
      <c r="V3" s="3160"/>
    </row>
    <row r="4" spans="10:22" s="3153" customFormat="1" ht="43.2">
      <c r="J4" s="3159" t="s">
        <v>3507</v>
      </c>
      <c r="K4" s="3159" t="s">
        <v>3489</v>
      </c>
      <c r="L4" s="3159" t="s">
        <v>3492</v>
      </c>
      <c r="M4" s="3159" t="s">
        <v>3511</v>
      </c>
      <c r="N4" s="3159" t="s">
        <v>3423</v>
      </c>
      <c r="O4" s="3159" t="s">
        <v>3505</v>
      </c>
      <c r="P4" s="3159" t="s">
        <v>3496</v>
      </c>
      <c r="Q4" s="3159" t="s">
        <v>3498</v>
      </c>
      <c r="R4" s="3160">
        <v>2</v>
      </c>
      <c r="S4" s="3161" t="s">
        <v>3506</v>
      </c>
      <c r="T4" s="3160">
        <v>152.88999999999999</v>
      </c>
      <c r="U4" s="3160">
        <v>2004</v>
      </c>
      <c r="V4" s="3160"/>
    </row>
    <row r="5" spans="10:22" s="3153" customFormat="1" ht="43.2">
      <c r="J5" s="3159" t="s">
        <v>3509</v>
      </c>
      <c r="K5" s="3159" t="s">
        <v>3489</v>
      </c>
      <c r="L5" s="3159" t="s">
        <v>3492</v>
      </c>
      <c r="M5" s="3159" t="s">
        <v>3510</v>
      </c>
      <c r="N5" s="3159" t="s">
        <v>3430</v>
      </c>
      <c r="O5" s="3159" t="s">
        <v>3505</v>
      </c>
      <c r="P5" s="3159" t="s">
        <v>3496</v>
      </c>
      <c r="Q5" s="3159" t="s">
        <v>3498</v>
      </c>
      <c r="R5" s="3160">
        <v>2</v>
      </c>
      <c r="S5" s="3161" t="s">
        <v>3506</v>
      </c>
      <c r="T5" s="3160">
        <v>172.21</v>
      </c>
      <c r="U5" s="3160">
        <v>2004</v>
      </c>
      <c r="V5" s="3160"/>
    </row>
    <row r="6" spans="10:22" s="3153" customFormat="1"/>
    <row r="7" spans="10:22">
      <c r="K7" s="3153" t="s">
        <v>3410</v>
      </c>
      <c r="L7" s="3153" t="s">
        <v>3521</v>
      </c>
    </row>
    <row r="8" spans="10:22">
      <c r="J8" s="3153" t="s">
        <v>3407</v>
      </c>
      <c r="K8" s="3153" t="s">
        <v>3408</v>
      </c>
      <c r="L8">
        <f>T3/2</f>
        <v>77.204999999999998</v>
      </c>
      <c r="O8" s="3158"/>
      <c r="P8" s="3160" t="s">
        <v>3529</v>
      </c>
      <c r="Q8" s="3160" t="s">
        <v>3530</v>
      </c>
    </row>
    <row r="9" spans="10:22">
      <c r="K9" s="3153" t="s">
        <v>3419</v>
      </c>
      <c r="L9">
        <f>L8</f>
        <v>77.204999999999998</v>
      </c>
      <c r="O9" s="3157" t="s">
        <v>3528</v>
      </c>
      <c r="P9" s="3158">
        <v>100</v>
      </c>
      <c r="Q9" s="3158">
        <f>ROUND(P9*$Q$11/$P$11,0)</f>
        <v>118</v>
      </c>
    </row>
    <row r="10" spans="10:22">
      <c r="J10" s="1405" t="s">
        <v>3423</v>
      </c>
      <c r="K10" s="3153" t="s">
        <v>3408</v>
      </c>
      <c r="L10">
        <f>T4/2</f>
        <v>76.444999999999993</v>
      </c>
      <c r="O10" s="3157" t="s">
        <v>3531</v>
      </c>
      <c r="P10" s="3158">
        <v>70</v>
      </c>
      <c r="Q10" s="3158">
        <f>ROUND(P10*$Q$11/$P$11,0)</f>
        <v>82</v>
      </c>
    </row>
    <row r="11" spans="10:22">
      <c r="K11" s="3153" t="s">
        <v>3419</v>
      </c>
      <c r="L11">
        <f>L10</f>
        <v>76.444999999999993</v>
      </c>
      <c r="O11" s="3157" t="s">
        <v>3532</v>
      </c>
      <c r="P11" s="3158">
        <f>ROUND((P9+P10)/2,2)</f>
        <v>85</v>
      </c>
      <c r="Q11" s="3158">
        <v>100</v>
      </c>
    </row>
    <row r="12" spans="10:22">
      <c r="J12" s="1405" t="s">
        <v>3512</v>
      </c>
      <c r="K12" s="3153" t="s">
        <v>3408</v>
      </c>
      <c r="L12">
        <f>T5/2</f>
        <v>86.105000000000004</v>
      </c>
    </row>
    <row r="13" spans="10:22">
      <c r="K13" s="3153" t="s">
        <v>3419</v>
      </c>
      <c r="L13">
        <f>L12</f>
        <v>86.105000000000004</v>
      </c>
    </row>
    <row r="16" spans="10:22">
      <c r="R16" s="1405"/>
      <c r="S16" s="1405"/>
    </row>
    <row r="17" spans="9:19">
      <c r="I17" s="3165" t="s">
        <v>3561</v>
      </c>
      <c r="J17" s="3158"/>
      <c r="K17" s="3158"/>
      <c r="L17" s="3158"/>
      <c r="M17" s="3158"/>
      <c r="N17" s="3158"/>
      <c r="O17" s="3158"/>
      <c r="P17" s="3158"/>
      <c r="S17" s="1405"/>
    </row>
    <row r="18" spans="9:19">
      <c r="I18" s="3157" t="s">
        <v>3409</v>
      </c>
      <c r="J18" s="3157" t="s">
        <v>3410</v>
      </c>
      <c r="K18" s="3157" t="s">
        <v>3411</v>
      </c>
      <c r="L18" s="3157" t="s">
        <v>3412</v>
      </c>
      <c r="M18" s="3157" t="s">
        <v>3413</v>
      </c>
      <c r="N18" s="3157" t="s">
        <v>3414</v>
      </c>
      <c r="O18" s="3157" t="s">
        <v>3422</v>
      </c>
      <c r="P18" s="3158"/>
      <c r="S18" s="1405"/>
    </row>
    <row r="19" spans="9:19">
      <c r="I19" s="3157" t="s">
        <v>3407</v>
      </c>
      <c r="J19" s="3157" t="s">
        <v>3408</v>
      </c>
      <c r="K19" s="3158">
        <v>40</v>
      </c>
      <c r="L19" s="3157" t="s">
        <v>3415</v>
      </c>
      <c r="M19" s="3157" t="s">
        <v>3416</v>
      </c>
      <c r="N19" s="3158">
        <v>140000</v>
      </c>
      <c r="O19" s="3158">
        <f>ROUND(N19/K19/365,2)</f>
        <v>9.59</v>
      </c>
      <c r="P19" s="3158"/>
    </row>
    <row r="20" spans="9:19">
      <c r="I20" s="3158"/>
      <c r="J20" s="3157" t="s">
        <v>3408</v>
      </c>
      <c r="K20" s="3158">
        <v>100</v>
      </c>
      <c r="L20" s="3157" t="s">
        <v>3417</v>
      </c>
      <c r="M20" s="3157" t="s">
        <v>3418</v>
      </c>
      <c r="N20" s="3158">
        <v>132000</v>
      </c>
      <c r="O20" s="3158">
        <f t="shared" ref="O20:O21" si="0">ROUND(N20/K20/365,2)</f>
        <v>3.62</v>
      </c>
      <c r="P20" s="3158"/>
    </row>
    <row r="21" spans="9:19">
      <c r="I21" s="3158"/>
      <c r="J21" s="3157" t="s">
        <v>3419</v>
      </c>
      <c r="K21" s="3158">
        <v>75</v>
      </c>
      <c r="L21" s="3157" t="s">
        <v>3420</v>
      </c>
      <c r="M21" s="3157" t="s">
        <v>3421</v>
      </c>
      <c r="N21" s="3158">
        <v>120000</v>
      </c>
      <c r="O21" s="3158">
        <f t="shared" si="0"/>
        <v>4.38</v>
      </c>
      <c r="P21" s="3158"/>
    </row>
    <row r="22" spans="9:19">
      <c r="I22" s="3158"/>
      <c r="J22" s="3158"/>
      <c r="K22" s="3158"/>
      <c r="L22" s="3158"/>
      <c r="M22" s="3158"/>
      <c r="N22" s="3158"/>
      <c r="O22" s="3158"/>
      <c r="P22" s="3158"/>
    </row>
    <row r="23" spans="9:19">
      <c r="I23" s="3158"/>
      <c r="J23" s="3158"/>
      <c r="K23" s="3158"/>
      <c r="L23" s="3158"/>
      <c r="M23" s="3158"/>
      <c r="N23" s="3158"/>
      <c r="O23" s="3158"/>
      <c r="P23" s="3158"/>
    </row>
    <row r="24" spans="9:19">
      <c r="I24" s="3158"/>
      <c r="J24" s="3158"/>
      <c r="K24" s="3158"/>
      <c r="L24" s="3158"/>
      <c r="M24" s="3158"/>
      <c r="N24" s="3158"/>
      <c r="O24" s="3158"/>
      <c r="P24" s="3158"/>
    </row>
    <row r="25" spans="9:19">
      <c r="I25" s="3158"/>
      <c r="J25" s="3158"/>
      <c r="K25" s="3158"/>
      <c r="L25" s="3158"/>
      <c r="M25" s="3158"/>
      <c r="N25" s="3158"/>
      <c r="O25" s="3158"/>
      <c r="P25" s="3158"/>
    </row>
    <row r="26" spans="9:19">
      <c r="I26" s="3158"/>
      <c r="J26" s="3158"/>
      <c r="K26" s="3158"/>
      <c r="L26" s="3158"/>
      <c r="M26" s="3158"/>
      <c r="N26" s="3158"/>
      <c r="O26" s="3158"/>
      <c r="P26" s="3158"/>
    </row>
    <row r="27" spans="9:19">
      <c r="I27" s="3157" t="s">
        <v>3409</v>
      </c>
      <c r="J27" s="3157" t="s">
        <v>3410</v>
      </c>
      <c r="K27" s="3157" t="s">
        <v>3411</v>
      </c>
      <c r="L27" s="3157" t="s">
        <v>3412</v>
      </c>
      <c r="M27" s="3157" t="s">
        <v>3413</v>
      </c>
      <c r="N27" s="3157" t="s">
        <v>3426</v>
      </c>
      <c r="O27" s="3157" t="s">
        <v>3414</v>
      </c>
      <c r="P27" s="3157" t="s">
        <v>3422</v>
      </c>
    </row>
    <row r="28" spans="9:19">
      <c r="I28" s="3157" t="s">
        <v>3423</v>
      </c>
      <c r="J28" s="3157" t="s">
        <v>3408</v>
      </c>
      <c r="K28" s="3158">
        <v>76</v>
      </c>
      <c r="L28" s="3157" t="s">
        <v>3424</v>
      </c>
      <c r="M28" s="3157" t="s">
        <v>3425</v>
      </c>
      <c r="N28" s="3158">
        <v>2024</v>
      </c>
      <c r="O28" s="3158">
        <v>215000</v>
      </c>
      <c r="P28" s="3158">
        <f>ROUND(O28/$K$28/365,2)</f>
        <v>7.75</v>
      </c>
    </row>
    <row r="29" spans="9:19">
      <c r="I29" s="3158"/>
      <c r="J29" s="3158"/>
      <c r="K29" s="3158"/>
      <c r="L29" s="3158"/>
      <c r="M29" s="3158"/>
      <c r="N29" s="3158">
        <v>2025</v>
      </c>
      <c r="O29" s="3158">
        <v>217000</v>
      </c>
      <c r="P29" s="3158">
        <f>ROUND(O29/$K$28/365,2)</f>
        <v>7.82</v>
      </c>
    </row>
    <row r="30" spans="9:19">
      <c r="I30" s="3158"/>
      <c r="J30" s="3158"/>
      <c r="K30" s="3158"/>
      <c r="L30" s="3158"/>
      <c r="M30" s="3158"/>
      <c r="N30" s="3158">
        <v>2026</v>
      </c>
      <c r="O30" s="3158">
        <v>217000</v>
      </c>
      <c r="P30" s="3158">
        <f>ROUND(O30/$K$28/365,2)</f>
        <v>7.82</v>
      </c>
    </row>
    <row r="31" spans="9:19">
      <c r="I31" s="3158"/>
      <c r="J31" s="3158"/>
      <c r="K31" s="3158"/>
      <c r="L31" s="3158"/>
      <c r="M31" s="3158"/>
      <c r="N31" s="3158"/>
      <c r="O31" s="3158"/>
      <c r="P31" s="3158"/>
      <c r="S31">
        <f>N19+N20+N21+O29+O32+O34</f>
        <v>965500</v>
      </c>
    </row>
    <row r="32" spans="9:19">
      <c r="I32" s="3157" t="s">
        <v>3427</v>
      </c>
      <c r="J32" s="3157" t="s">
        <v>3419</v>
      </c>
      <c r="K32" s="3158">
        <v>148</v>
      </c>
      <c r="L32" s="3157" t="s">
        <v>3428</v>
      </c>
      <c r="M32" s="3157" t="s">
        <v>3429</v>
      </c>
      <c r="N32" s="3158"/>
      <c r="O32" s="3158">
        <v>220000</v>
      </c>
      <c r="P32" s="3158">
        <f>ROUND(O32/K32/365,2)</f>
        <v>4.07</v>
      </c>
      <c r="S32">
        <f>S31/365/'数据-汇总表'!F27</f>
        <v>5.5164761515965361</v>
      </c>
    </row>
    <row r="33" spans="9:16">
      <c r="I33" s="3158"/>
      <c r="J33" s="3158"/>
      <c r="K33" s="3158"/>
      <c r="L33" s="3158"/>
      <c r="M33" s="3158"/>
      <c r="N33" s="3158"/>
      <c r="O33" s="3158"/>
      <c r="P33" s="3158"/>
    </row>
    <row r="34" spans="9:16">
      <c r="I34" s="3157" t="s">
        <v>3430</v>
      </c>
      <c r="J34" s="3157" t="s">
        <v>3408</v>
      </c>
      <c r="K34" s="3158">
        <v>50</v>
      </c>
      <c r="L34" s="3157" t="s">
        <v>3431</v>
      </c>
      <c r="M34" s="3157" t="s">
        <v>3432</v>
      </c>
      <c r="N34" s="3158"/>
      <c r="O34" s="3158">
        <v>136500</v>
      </c>
      <c r="P34" s="3158">
        <f>ROUND(O34/K34/365,2)</f>
        <v>7.48</v>
      </c>
    </row>
    <row r="36" spans="9:16">
      <c r="K36">
        <f>K19+K20+K21+K28+K32+K34</f>
        <v>489</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C131"/>
  <sheetViews>
    <sheetView view="pageBreakPreview" topLeftCell="A28" zoomScale="85" zoomScaleNormal="70" zoomScaleSheetLayoutView="85" workbookViewId="0">
      <selection activeCell="M51" sqref="M5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1658</v>
      </c>
      <c r="B1" s="1734" t="s">
        <v>1764</v>
      </c>
      <c r="C1" s="1155" t="s">
        <v>1660</v>
      </c>
      <c r="D1" s="1142" t="s">
        <v>3502</v>
      </c>
      <c r="E1" s="3123" t="s">
        <v>3433</v>
      </c>
      <c r="F1" s="1735" t="s">
        <v>3562</v>
      </c>
      <c r="G1" s="1152" t="s">
        <v>1661</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684</v>
      </c>
      <c r="B2" s="1085">
        <f>IF(E1="项目模式",IF(C2="——",ROUND(C49*D3/10000,0),ROUND(C49*D3/10000,0)-D2),IF(E1="单套模式",IF(C2="——",ROUND(C49*D3/10000,4),ROUND(C49*D3/10000,4)-D2)))</f>
        <v>8.6499999999999994E-2</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685</v>
      </c>
      <c r="B3" s="536">
        <f>IF(C2="——",C49,ROUND(B2*10000/D3,0))</f>
        <v>5.6</v>
      </c>
      <c r="C3" s="344" t="s">
        <v>1663</v>
      </c>
      <c r="D3" s="343">
        <f>IF(D1="",'数据-汇总表'!E3,SUMIF('数据-汇总表'!$C19:$C33,D1,'数据-汇总表'!$E19:$E33))</f>
        <v>154.41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1664</v>
      </c>
      <c r="B4" s="346"/>
      <c r="C4" s="3378" t="s">
        <v>1665</v>
      </c>
      <c r="D4" s="3379"/>
      <c r="E4" s="3380" t="s">
        <v>1666</v>
      </c>
      <c r="F4" s="3381"/>
      <c r="G4" s="3378" t="s">
        <v>1667</v>
      </c>
      <c r="H4" s="3379"/>
      <c r="I4" s="3378" t="s">
        <v>1668</v>
      </c>
      <c r="J4" s="3379"/>
      <c r="K4" s="537" t="s">
        <v>1669</v>
      </c>
      <c r="L4" s="2485"/>
      <c r="M4" s="2486"/>
      <c r="N4" s="2486"/>
      <c r="O4" s="2486"/>
      <c r="P4" s="3382" t="s">
        <v>1670</v>
      </c>
      <c r="Q4" s="3383"/>
      <c r="R4" s="3365" t="s">
        <v>1666</v>
      </c>
      <c r="S4" s="3366"/>
      <c r="T4" s="3365" t="s">
        <v>1667</v>
      </c>
      <c r="U4" s="3366"/>
      <c r="V4" s="3362" t="s">
        <v>1668</v>
      </c>
      <c r="W4" s="3362"/>
      <c r="X4" s="1265"/>
      <c r="Y4" s="3365" t="s">
        <v>1670</v>
      </c>
      <c r="Z4" s="3366"/>
      <c r="AA4" s="3359" t="s">
        <v>1666</v>
      </c>
      <c r="AB4" s="3362" t="s">
        <v>1667</v>
      </c>
      <c r="AC4" s="3359" t="s">
        <v>1668</v>
      </c>
    </row>
    <row r="5" spans="1:29">
      <c r="A5" s="348"/>
      <c r="B5" s="349"/>
      <c r="C5" s="3371" t="s">
        <v>1671</v>
      </c>
      <c r="D5" s="3372"/>
      <c r="E5" s="3369" t="s">
        <v>3577</v>
      </c>
      <c r="F5" s="3370"/>
      <c r="G5" s="3390" t="s">
        <v>3522</v>
      </c>
      <c r="H5" s="3372"/>
      <c r="I5" s="3371" t="str">
        <f>案例!M77</f>
        <v>波普公社</v>
      </c>
      <c r="J5" s="3372"/>
      <c r="K5" s="537"/>
      <c r="L5" s="2485"/>
      <c r="M5" s="2486"/>
      <c r="N5" s="2486"/>
      <c r="O5" s="2486"/>
      <c r="P5" s="3384"/>
      <c r="Q5" s="3385"/>
      <c r="R5" s="3367"/>
      <c r="S5" s="3368"/>
      <c r="T5" s="3367"/>
      <c r="U5" s="3368"/>
      <c r="V5" s="3362"/>
      <c r="W5" s="3362"/>
      <c r="X5" s="1265"/>
      <c r="Y5" s="3367"/>
      <c r="Z5" s="3368"/>
      <c r="AA5" s="3360"/>
      <c r="AB5" s="3362"/>
      <c r="AC5" s="3360"/>
    </row>
    <row r="6" spans="1:29" ht="15" thickBot="1">
      <c r="A6" s="350"/>
      <c r="B6" s="351"/>
      <c r="C6" s="3373" t="s">
        <v>1675</v>
      </c>
      <c r="D6" s="3374"/>
      <c r="E6" s="3375" t="s">
        <v>1675</v>
      </c>
      <c r="F6" s="3376"/>
      <c r="G6" s="3373" t="s">
        <v>1675</v>
      </c>
      <c r="H6" s="3374"/>
      <c r="I6" s="3373" t="s">
        <v>1675</v>
      </c>
      <c r="J6" s="3374"/>
      <c r="K6" s="537" t="s">
        <v>1676</v>
      </c>
      <c r="L6" s="2485"/>
      <c r="M6" s="2486"/>
      <c r="N6" s="2486"/>
      <c r="O6" s="2486"/>
      <c r="P6" s="3386"/>
      <c r="Q6" s="3387"/>
      <c r="R6" s="3367"/>
      <c r="S6" s="3368"/>
      <c r="T6" s="3388"/>
      <c r="U6" s="3389"/>
      <c r="V6" s="3362"/>
      <c r="W6" s="3362"/>
      <c r="X6" s="1265"/>
      <c r="Y6" s="3388"/>
      <c r="Z6" s="3389"/>
      <c r="AA6" s="3361"/>
      <c r="AB6" s="3362"/>
      <c r="AC6" s="3361"/>
    </row>
    <row r="7" spans="1:29" s="102" customFormat="1" ht="15" thickBot="1">
      <c r="A7" s="352" t="s">
        <v>1677</v>
      </c>
      <c r="B7" s="353"/>
      <c r="C7" s="354">
        <f>'数据-取费表'!B2</f>
        <v>45635</v>
      </c>
      <c r="D7" s="355">
        <v>100</v>
      </c>
      <c r="E7" s="356">
        <f>C7</f>
        <v>45635</v>
      </c>
      <c r="F7" s="357">
        <f>SUMIF(58:58,YEAR(E7)&amp;"-"&amp;MONTH(E7),59:59)</f>
        <v>100</v>
      </c>
      <c r="G7" s="356">
        <f>C7</f>
        <v>45635</v>
      </c>
      <c r="H7" s="355">
        <f>SUMIF(58:58,YEAR(G7)&amp;"-"&amp;MONTH(G7),59:59)</f>
        <v>100</v>
      </c>
      <c r="I7" s="356">
        <f>C7</f>
        <v>45635</v>
      </c>
      <c r="J7" s="355">
        <f>SUMIF(58:58,YEAR(I7)&amp;"-"&amp;MONTH(I7),59:59)</f>
        <v>100</v>
      </c>
      <c r="K7" s="38"/>
      <c r="L7" s="2487"/>
      <c r="M7" s="2439"/>
      <c r="N7" s="2439"/>
      <c r="O7" s="2439"/>
      <c r="P7" s="3363" t="s">
        <v>1678</v>
      </c>
      <c r="Q7" s="3391"/>
      <c r="R7" s="664" t="s">
        <v>14</v>
      </c>
      <c r="S7" s="665">
        <f t="shared" ref="S7:S15" si="0">F7</f>
        <v>100</v>
      </c>
      <c r="T7" s="664" t="s">
        <v>14</v>
      </c>
      <c r="U7" s="665">
        <f t="shared" ref="U7:U15" si="1">H7</f>
        <v>100</v>
      </c>
      <c r="V7" s="664" t="s">
        <v>14</v>
      </c>
      <c r="W7" s="665">
        <f t="shared" ref="W7:W15" si="2">J7</f>
        <v>100</v>
      </c>
      <c r="X7" s="666"/>
      <c r="Y7" s="3363" t="s">
        <v>1678</v>
      </c>
      <c r="Z7" s="3364"/>
      <c r="AA7" s="50">
        <f>D7/F7</f>
        <v>1</v>
      </c>
      <c r="AB7" s="50">
        <f>D7/H7</f>
        <v>1</v>
      </c>
      <c r="AC7" s="50">
        <f>D7/J7</f>
        <v>1</v>
      </c>
    </row>
    <row r="8" spans="1:29" s="102" customFormat="1" ht="15" thickBot="1">
      <c r="A8" s="352" t="s">
        <v>1679</v>
      </c>
      <c r="B8" s="353"/>
      <c r="C8" s="358" t="s">
        <v>3435</v>
      </c>
      <c r="D8" s="355">
        <v>100</v>
      </c>
      <c r="E8" s="358" t="s">
        <v>3436</v>
      </c>
      <c r="F8" s="357">
        <f>SUMIF(61:61,E8,62:62)-SUMIF(61:61,C8,62:62)+100</f>
        <v>106</v>
      </c>
      <c r="G8" s="358" t="s">
        <v>3436</v>
      </c>
      <c r="H8" s="355">
        <f>SUMIF(61:61,G8,62:62)-SUMIF(61:61,C8,62:62)+100</f>
        <v>106</v>
      </c>
      <c r="I8" s="358" t="s">
        <v>3436</v>
      </c>
      <c r="J8" s="355">
        <f>SUMIF(61:61,I8,62:62)-SUMIF(61:61,C8,62:62)+100</f>
        <v>106</v>
      </c>
      <c r="K8" s="38"/>
      <c r="L8" s="2487"/>
      <c r="M8" s="2439"/>
      <c r="N8" s="2439"/>
      <c r="O8" s="2439"/>
      <c r="P8" s="3363" t="s">
        <v>1681</v>
      </c>
      <c r="Q8" s="3364"/>
      <c r="R8" s="664" t="s">
        <v>14</v>
      </c>
      <c r="S8" s="665">
        <f t="shared" si="0"/>
        <v>106</v>
      </c>
      <c r="T8" s="664" t="s">
        <v>14</v>
      </c>
      <c r="U8" s="665">
        <f t="shared" si="1"/>
        <v>106</v>
      </c>
      <c r="V8" s="664" t="s">
        <v>14</v>
      </c>
      <c r="W8" s="665">
        <f t="shared" si="2"/>
        <v>106</v>
      </c>
      <c r="X8" s="666"/>
      <c r="Y8" s="3363" t="s">
        <v>1681</v>
      </c>
      <c r="Z8" s="3364"/>
      <c r="AA8" s="50">
        <f t="shared" ref="AA8:AA46" si="3">D8/F8</f>
        <v>0.94339622641509435</v>
      </c>
      <c r="AB8" s="50">
        <f t="shared" ref="AB8:AB46" si="4">D8/H8</f>
        <v>0.94339622641509435</v>
      </c>
      <c r="AC8" s="50">
        <f t="shared" ref="AC8:AC46" si="5">D8/J8</f>
        <v>0.94339622641509435</v>
      </c>
    </row>
    <row r="9" spans="1:29" s="102" customFormat="1" ht="14.4">
      <c r="A9" s="359" t="s">
        <v>1682</v>
      </c>
      <c r="B9" s="60" t="s">
        <v>1683</v>
      </c>
      <c r="C9" s="3147" t="s">
        <v>3438</v>
      </c>
      <c r="D9" s="59">
        <v>100</v>
      </c>
      <c r="E9" s="361" t="s">
        <v>672</v>
      </c>
      <c r="F9" s="60">
        <f>SUMIF(63:63,E9,64:64)-SUMIF(63:63,C9,64:64)+100</f>
        <v>100</v>
      </c>
      <c r="G9" s="361" t="s">
        <v>672</v>
      </c>
      <c r="H9" s="59">
        <f>SUMIF(63:63,G9,64:64)-SUMIF(63:63,C9,64:64)+100</f>
        <v>100</v>
      </c>
      <c r="I9" s="361" t="s">
        <v>672</v>
      </c>
      <c r="J9" s="59">
        <f>SUMIF(63:63,I9,64:64)-SUMIF(63:63,C9,64:64)+100</f>
        <v>100</v>
      </c>
      <c r="K9" s="38"/>
      <c r="L9" s="2487"/>
      <c r="M9" s="2439"/>
      <c r="N9" s="2439"/>
      <c r="O9" s="2439"/>
      <c r="P9" s="3377" t="s">
        <v>1684</v>
      </c>
      <c r="Q9" s="530" t="str">
        <f t="shared" ref="Q9:Q15" si="6">B9</f>
        <v>用途</v>
      </c>
      <c r="R9" s="664" t="s">
        <v>14</v>
      </c>
      <c r="S9" s="665">
        <f t="shared" si="0"/>
        <v>100</v>
      </c>
      <c r="T9" s="664" t="s">
        <v>14</v>
      </c>
      <c r="U9" s="665">
        <f t="shared" si="1"/>
        <v>100</v>
      </c>
      <c r="V9" s="664" t="s">
        <v>14</v>
      </c>
      <c r="W9" s="665">
        <f t="shared" si="2"/>
        <v>100</v>
      </c>
      <c r="X9" s="666"/>
      <c r="Y9" s="3327" t="s">
        <v>1685</v>
      </c>
      <c r="Z9" s="50" t="str">
        <f t="shared" ref="Z9:Z15" si="7">Q9</f>
        <v>用途</v>
      </c>
      <c r="AA9" s="50">
        <f t="shared" si="3"/>
        <v>1</v>
      </c>
      <c r="AB9" s="50">
        <f t="shared" si="4"/>
        <v>1</v>
      </c>
      <c r="AC9" s="50">
        <f t="shared" si="5"/>
        <v>1</v>
      </c>
    </row>
    <row r="10" spans="1:29" s="366" customFormat="1" ht="28.8">
      <c r="A10" s="363"/>
      <c r="B10" s="364" t="s">
        <v>1686</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7"/>
      <c r="Q10" s="530" t="str">
        <f t="shared" si="6"/>
        <v>土地使用年限（年）</v>
      </c>
      <c r="R10" s="664" t="s">
        <v>14</v>
      </c>
      <c r="S10" s="665">
        <f t="shared" si="0"/>
        <v>100</v>
      </c>
      <c r="T10" s="664" t="s">
        <v>14</v>
      </c>
      <c r="U10" s="665">
        <f t="shared" si="1"/>
        <v>100</v>
      </c>
      <c r="V10" s="664" t="s">
        <v>14</v>
      </c>
      <c r="W10" s="665">
        <f t="shared" si="2"/>
        <v>100</v>
      </c>
      <c r="X10" s="666"/>
      <c r="Y10" s="3327"/>
      <c r="Z10" s="50" t="str">
        <f t="shared" si="7"/>
        <v>土地使用年限（年）</v>
      </c>
      <c r="AA10" s="50">
        <f t="shared" si="3"/>
        <v>1</v>
      </c>
      <c r="AB10" s="50">
        <f t="shared" si="4"/>
        <v>1</v>
      </c>
      <c r="AC10" s="50">
        <f t="shared" si="5"/>
        <v>1</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7"/>
      <c r="Q11" s="530" t="str">
        <f t="shared" si="6"/>
        <v>容积率</v>
      </c>
      <c r="R11" s="664" t="s">
        <v>14</v>
      </c>
      <c r="S11" s="665">
        <f t="shared" si="0"/>
        <v>100</v>
      </c>
      <c r="T11" s="664" t="s">
        <v>14</v>
      </c>
      <c r="U11" s="665">
        <f t="shared" si="1"/>
        <v>100</v>
      </c>
      <c r="V11" s="664" t="s">
        <v>14</v>
      </c>
      <c r="W11" s="665">
        <f t="shared" si="2"/>
        <v>100</v>
      </c>
      <c r="X11" s="666"/>
      <c r="Y11" s="332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7"/>
      <c r="Q12" s="530">
        <f t="shared" si="6"/>
        <v>111</v>
      </c>
      <c r="R12" s="664" t="s">
        <v>14</v>
      </c>
      <c r="S12" s="665">
        <f t="shared" si="0"/>
        <v>100</v>
      </c>
      <c r="T12" s="664" t="s">
        <v>14</v>
      </c>
      <c r="U12" s="665">
        <f t="shared" si="1"/>
        <v>100</v>
      </c>
      <c r="V12" s="664" t="s">
        <v>14</v>
      </c>
      <c r="W12" s="665">
        <f t="shared" si="2"/>
        <v>100</v>
      </c>
      <c r="X12" s="666"/>
      <c r="Y12" s="332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7"/>
      <c r="Q13" s="530">
        <f t="shared" si="6"/>
        <v>111</v>
      </c>
      <c r="R13" s="664" t="s">
        <v>14</v>
      </c>
      <c r="S13" s="665">
        <f t="shared" si="0"/>
        <v>100</v>
      </c>
      <c r="T13" s="664" t="s">
        <v>14</v>
      </c>
      <c r="U13" s="665">
        <f t="shared" si="1"/>
        <v>100</v>
      </c>
      <c r="V13" s="664" t="s">
        <v>14</v>
      </c>
      <c r="W13" s="665">
        <f t="shared" si="2"/>
        <v>100</v>
      </c>
      <c r="X13" s="666"/>
      <c r="Y13" s="3327"/>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7"/>
      <c r="Q14" s="530">
        <f t="shared" si="6"/>
        <v>111</v>
      </c>
      <c r="R14" s="664" t="s">
        <v>14</v>
      </c>
      <c r="S14" s="665">
        <f t="shared" si="0"/>
        <v>100</v>
      </c>
      <c r="T14" s="664" t="s">
        <v>14</v>
      </c>
      <c r="U14" s="665">
        <f t="shared" si="1"/>
        <v>100</v>
      </c>
      <c r="V14" s="664" t="s">
        <v>14</v>
      </c>
      <c r="W14" s="665">
        <f t="shared" si="2"/>
        <v>100</v>
      </c>
      <c r="X14" s="666"/>
      <c r="Y14" s="3327"/>
      <c r="Z14" s="50">
        <f t="shared" si="7"/>
        <v>111</v>
      </c>
      <c r="AA14" s="50">
        <f t="shared" si="3"/>
        <v>1</v>
      </c>
      <c r="AB14" s="50">
        <f t="shared" si="4"/>
        <v>1</v>
      </c>
      <c r="AC14" s="50">
        <f t="shared" si="5"/>
        <v>1</v>
      </c>
    </row>
    <row r="15" spans="1:29" ht="69">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392" t="s">
        <v>1689</v>
      </c>
      <c r="Q15" s="1263" t="str">
        <f t="shared" si="6"/>
        <v>商业繁华度</v>
      </c>
      <c r="R15" s="667" t="s">
        <v>14</v>
      </c>
      <c r="S15" s="668">
        <f t="shared" si="0"/>
        <v>100</v>
      </c>
      <c r="T15" s="667" t="s">
        <v>14</v>
      </c>
      <c r="U15" s="668">
        <f t="shared" si="1"/>
        <v>100</v>
      </c>
      <c r="V15" s="667" t="s">
        <v>14</v>
      </c>
      <c r="W15" s="668">
        <f t="shared" si="2"/>
        <v>100</v>
      </c>
      <c r="X15" s="1265"/>
      <c r="Y15" s="3394" t="s">
        <v>1689</v>
      </c>
      <c r="Z15" s="1264" t="str">
        <f t="shared" si="7"/>
        <v>商业繁华度</v>
      </c>
      <c r="AA15" s="1264">
        <f t="shared" si="3"/>
        <v>1</v>
      </c>
      <c r="AB15" s="1264">
        <f t="shared" si="4"/>
        <v>1</v>
      </c>
      <c r="AC15" s="1264">
        <f t="shared" si="5"/>
        <v>1</v>
      </c>
    </row>
    <row r="16" spans="1:29" ht="15">
      <c r="A16" s="367"/>
      <c r="B16" s="385"/>
      <c r="C16" s="386" t="s">
        <v>3445</v>
      </c>
      <c r="D16" s="387"/>
      <c r="E16" s="386" t="s">
        <v>3445</v>
      </c>
      <c r="F16" s="388"/>
      <c r="G16" s="386" t="s">
        <v>3445</v>
      </c>
      <c r="H16" s="389"/>
      <c r="I16" s="386" t="s">
        <v>3445</v>
      </c>
      <c r="J16" s="387"/>
      <c r="K16" s="541"/>
      <c r="L16" s="2491"/>
      <c r="M16" s="2486"/>
      <c r="N16" s="2486"/>
      <c r="O16" s="2486"/>
      <c r="P16" s="3393"/>
      <c r="Q16" s="1263"/>
      <c r="R16" s="667"/>
      <c r="S16" s="668"/>
      <c r="T16" s="667"/>
      <c r="U16" s="668"/>
      <c r="V16" s="667"/>
      <c r="W16" s="668"/>
      <c r="X16" s="1265"/>
      <c r="Y16" s="3395"/>
      <c r="Z16" s="1264"/>
      <c r="AA16" s="1264">
        <v>1</v>
      </c>
      <c r="AB16" s="1264">
        <v>1</v>
      </c>
      <c r="AC16" s="1264">
        <v>1</v>
      </c>
    </row>
    <row r="17" spans="1:29" ht="82.8">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93"/>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
      <c r="A18" s="367"/>
      <c r="B18" s="395"/>
      <c r="C18" s="1755" t="s">
        <v>3443</v>
      </c>
      <c r="D18" s="389"/>
      <c r="E18" s="1757" t="s">
        <v>3443</v>
      </c>
      <c r="F18" s="392"/>
      <c r="G18" s="1756" t="s">
        <v>3443</v>
      </c>
      <c r="H18" s="387"/>
      <c r="I18" s="1757" t="s">
        <v>3443</v>
      </c>
      <c r="J18" s="387"/>
      <c r="K18" s="541"/>
      <c r="L18" s="2491"/>
      <c r="M18" s="2486"/>
      <c r="N18" s="2486"/>
      <c r="O18" s="2486"/>
      <c r="P18" s="3393"/>
      <c r="Q18" s="1263"/>
      <c r="R18" s="667"/>
      <c r="S18" s="668"/>
      <c r="T18" s="667"/>
      <c r="U18" s="668"/>
      <c r="V18" s="667"/>
      <c r="W18" s="668"/>
      <c r="X18" s="1265"/>
      <c r="Y18" s="3395"/>
      <c r="Z18" s="1264"/>
      <c r="AA18" s="1264">
        <v>1</v>
      </c>
      <c r="AB18" s="1264">
        <v>1</v>
      </c>
      <c r="AC18" s="1264">
        <v>1</v>
      </c>
    </row>
    <row r="19" spans="1:29" ht="41.4">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93"/>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
      <c r="A20" s="367"/>
      <c r="B20" s="395"/>
      <c r="C20" s="386" t="s">
        <v>3443</v>
      </c>
      <c r="D20" s="387"/>
      <c r="E20" s="1752" t="s">
        <v>3443</v>
      </c>
      <c r="F20" s="388"/>
      <c r="G20" s="1751" t="s">
        <v>3443</v>
      </c>
      <c r="H20" s="387"/>
      <c r="I20" s="1752" t="s">
        <v>3443</v>
      </c>
      <c r="J20" s="387"/>
      <c r="K20" s="541"/>
      <c r="L20" s="2491"/>
      <c r="M20" s="2486"/>
      <c r="N20" s="2486"/>
      <c r="O20" s="2486"/>
      <c r="P20" s="3393"/>
      <c r="Q20" s="1263"/>
      <c r="R20" s="667"/>
      <c r="S20" s="668"/>
      <c r="T20" s="667"/>
      <c r="U20" s="668"/>
      <c r="V20" s="667"/>
      <c r="W20" s="668"/>
      <c r="X20" s="1265"/>
      <c r="Y20" s="3395"/>
      <c r="Z20" s="1264"/>
      <c r="AA20" s="1264">
        <v>1</v>
      </c>
      <c r="AB20" s="1264">
        <v>1</v>
      </c>
      <c r="AC20" s="1264">
        <v>1</v>
      </c>
    </row>
    <row r="21" spans="1:29" ht="27.6">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3"/>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
      <c r="A22" s="367"/>
      <c r="B22" s="586"/>
      <c r="C22" s="1755" t="s">
        <v>3459</v>
      </c>
      <c r="D22" s="387"/>
      <c r="E22" s="386" t="s">
        <v>3459</v>
      </c>
      <c r="F22" s="388"/>
      <c r="G22" s="386" t="s">
        <v>3459</v>
      </c>
      <c r="H22" s="387"/>
      <c r="I22" s="386" t="s">
        <v>3459</v>
      </c>
      <c r="J22" s="387"/>
      <c r="K22" s="1064"/>
      <c r="L22" s="2491"/>
      <c r="M22" s="2486"/>
      <c r="N22" s="2486"/>
      <c r="O22" s="2486"/>
      <c r="P22" s="3393"/>
      <c r="Q22" s="1263"/>
      <c r="R22" s="667"/>
      <c r="S22" s="668"/>
      <c r="T22" s="667"/>
      <c r="U22" s="668"/>
      <c r="V22" s="667"/>
      <c r="W22" s="668"/>
      <c r="X22" s="1265"/>
      <c r="Y22" s="3395"/>
      <c r="Z22" s="1264"/>
      <c r="AA22" s="1264">
        <v>1</v>
      </c>
      <c r="AB22" s="1264">
        <v>1</v>
      </c>
      <c r="AC22" s="1264">
        <v>1</v>
      </c>
    </row>
    <row r="23" spans="1:29" ht="55.2">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93"/>
      <c r="Q23" s="1263" t="str">
        <f>B23</f>
        <v>自然及人文环境</v>
      </c>
      <c r="R23" s="667" t="s">
        <v>14</v>
      </c>
      <c r="S23" s="668">
        <f>F23</f>
        <v>100</v>
      </c>
      <c r="T23" s="667" t="s">
        <v>14</v>
      </c>
      <c r="U23" s="668">
        <f>H23</f>
        <v>100</v>
      </c>
      <c r="V23" s="667" t="s">
        <v>14</v>
      </c>
      <c r="W23" s="668">
        <f>J23</f>
        <v>100</v>
      </c>
      <c r="X23" s="1265"/>
      <c r="Y23" s="3395"/>
      <c r="Z23" s="1264" t="str">
        <f>Q23</f>
        <v>自然及人文环境</v>
      </c>
      <c r="AA23" s="1264">
        <f t="shared" si="3"/>
        <v>1</v>
      </c>
      <c r="AB23" s="1264">
        <f t="shared" si="4"/>
        <v>1</v>
      </c>
      <c r="AC23" s="1264">
        <f t="shared" si="5"/>
        <v>1</v>
      </c>
    </row>
    <row r="24" spans="1:29" ht="15">
      <c r="A24" s="367"/>
      <c r="B24" s="395"/>
      <c r="C24" s="386" t="s">
        <v>3443</v>
      </c>
      <c r="D24" s="387"/>
      <c r="E24" s="1752" t="s">
        <v>3443</v>
      </c>
      <c r="F24" s="388"/>
      <c r="G24" s="1751" t="s">
        <v>3443</v>
      </c>
      <c r="H24" s="387"/>
      <c r="I24" s="1752" t="s">
        <v>3443</v>
      </c>
      <c r="J24" s="387"/>
      <c r="K24" s="541"/>
      <c r="L24" s="2491"/>
      <c r="M24" s="2486"/>
      <c r="N24" s="2486"/>
      <c r="O24" s="2486"/>
      <c r="P24" s="3393"/>
      <c r="Q24" s="1263"/>
      <c r="R24" s="667"/>
      <c r="S24" s="668"/>
      <c r="T24" s="667"/>
      <c r="U24" s="668"/>
      <c r="V24" s="667"/>
      <c r="W24" s="668"/>
      <c r="X24" s="1265"/>
      <c r="Y24" s="3395"/>
      <c r="Z24" s="1264"/>
      <c r="AA24" s="1264">
        <v>1</v>
      </c>
      <c r="AB24" s="1264">
        <v>1</v>
      </c>
      <c r="AC24" s="1264">
        <v>1</v>
      </c>
    </row>
    <row r="25" spans="1:29" ht="15">
      <c r="A25" s="367"/>
      <c r="B25" s="364" t="s">
        <v>1778</v>
      </c>
      <c r="C25" s="542" t="s">
        <v>3440</v>
      </c>
      <c r="D25" s="374">
        <v>100</v>
      </c>
      <c r="E25" s="542" t="s">
        <v>3440</v>
      </c>
      <c r="F25" s="400">
        <f>SUMIF(86:86,E25,87:87)-SUMIF(86:86,C25,87:87)+100</f>
        <v>100</v>
      </c>
      <c r="G25" s="542" t="s">
        <v>3440</v>
      </c>
      <c r="H25" s="374">
        <f>SUMIF(86:86,G25,87:87)-SUMIF(86:86,C25,87:87)+100</f>
        <v>100</v>
      </c>
      <c r="I25" s="542" t="s">
        <v>3440</v>
      </c>
      <c r="J25" s="374">
        <f>SUMIF(86:86,I25,87:87)-SUMIF(86:86,C25,87:87)+100</f>
        <v>100</v>
      </c>
      <c r="K25" s="538">
        <v>5</v>
      </c>
      <c r="L25" s="2491"/>
      <c r="M25" s="2486"/>
      <c r="N25" s="2486"/>
      <c r="O25" s="2486"/>
      <c r="P25" s="3393"/>
      <c r="Q25" s="1263" t="str">
        <f t="shared" ref="Q25:Q46" si="11">B25</f>
        <v>临街状况</v>
      </c>
      <c r="R25" s="667" t="s">
        <v>14</v>
      </c>
      <c r="S25" s="668">
        <f>F25</f>
        <v>100</v>
      </c>
      <c r="T25" s="667" t="s">
        <v>14</v>
      </c>
      <c r="U25" s="668">
        <f>H25</f>
        <v>100</v>
      </c>
      <c r="V25" s="667" t="s">
        <v>14</v>
      </c>
      <c r="W25" s="668">
        <f>J25</f>
        <v>100</v>
      </c>
      <c r="X25" s="1265"/>
      <c r="Y25" s="3395"/>
      <c r="Z25" s="1264" t="str">
        <f>Q25</f>
        <v>临街状况</v>
      </c>
      <c r="AA25" s="1264">
        <f t="shared" si="3"/>
        <v>1</v>
      </c>
      <c r="AB25" s="1264">
        <f t="shared" si="4"/>
        <v>1</v>
      </c>
      <c r="AC25" s="1264">
        <f t="shared" si="5"/>
        <v>1</v>
      </c>
    </row>
    <row r="26" spans="1:29" ht="15">
      <c r="A26" s="367"/>
      <c r="B26" s="1066" t="s">
        <v>1779</v>
      </c>
      <c r="C26" s="3152" t="s">
        <v>3444</v>
      </c>
      <c r="D26" s="374">
        <v>100</v>
      </c>
      <c r="E26" s="3152" t="s">
        <v>3444</v>
      </c>
      <c r="F26" s="400">
        <f>SUMIF(88:88,E26,89:89)-SUMIF(88:88,C26,89:89)+100</f>
        <v>100</v>
      </c>
      <c r="G26" s="3152" t="s">
        <v>3574</v>
      </c>
      <c r="H26" s="374">
        <f>SUMIF(88:88,G26,89:89)-SUMIF(88:88,C26,89:89)+100</f>
        <v>100</v>
      </c>
      <c r="I26" s="3152" t="s">
        <v>3444</v>
      </c>
      <c r="J26" s="374">
        <f>SUMIF(88:88,I26,89:89)-SUMIF(88:88,C26,89:89)+100</f>
        <v>100</v>
      </c>
      <c r="K26" s="539"/>
      <c r="L26" s="2491"/>
      <c r="M26" s="2486"/>
      <c r="N26" s="2486"/>
      <c r="O26" s="2486"/>
      <c r="P26" s="3393"/>
      <c r="Q26" s="1263" t="str">
        <f t="shared" si="11"/>
        <v>平面位置/可视性</v>
      </c>
      <c r="R26" s="667" t="s">
        <v>14</v>
      </c>
      <c r="S26" s="668">
        <f>F26</f>
        <v>100</v>
      </c>
      <c r="T26" s="667" t="s">
        <v>14</v>
      </c>
      <c r="U26" s="668">
        <f>H26</f>
        <v>100</v>
      </c>
      <c r="V26" s="667" t="s">
        <v>14</v>
      </c>
      <c r="W26" s="668">
        <f>J26</f>
        <v>100</v>
      </c>
      <c r="X26" s="1265"/>
      <c r="Y26" s="3395"/>
      <c r="Z26" s="1264" t="str">
        <f>Q26</f>
        <v>平面位置/可视性</v>
      </c>
      <c r="AA26" s="1264">
        <f t="shared" si="3"/>
        <v>1</v>
      </c>
      <c r="AB26" s="1264">
        <f t="shared" si="4"/>
        <v>1</v>
      </c>
      <c r="AC26" s="1264">
        <f t="shared" si="5"/>
        <v>1</v>
      </c>
    </row>
    <row r="27" spans="1:29" s="102" customFormat="1" ht="15">
      <c r="A27" s="370"/>
      <c r="B27" s="390" t="s">
        <v>1780</v>
      </c>
      <c r="C27" s="1807" t="s">
        <v>3445</v>
      </c>
      <c r="D27" s="401">
        <v>100</v>
      </c>
      <c r="E27" s="1807" t="s">
        <v>3445</v>
      </c>
      <c r="F27" s="395">
        <f>SUMIF(90:90,E27,91:91)-SUMIF(90:90,C27,91:91)+100</f>
        <v>100</v>
      </c>
      <c r="G27" s="1807" t="s">
        <v>3445</v>
      </c>
      <c r="H27" s="401">
        <f>SUMIF(90:90,G27,91:91)-SUMIF(90:90,C27,91:91)+100</f>
        <v>100</v>
      </c>
      <c r="I27" s="1807" t="s">
        <v>3445</v>
      </c>
      <c r="J27" s="401">
        <f>SUMIF(90:90,I27,91:91)-SUMIF(90:90,C27,91:91)+100</f>
        <v>100</v>
      </c>
      <c r="K27" s="538">
        <v>5</v>
      </c>
      <c r="L27" s="2487"/>
      <c r="M27" s="2439"/>
      <c r="N27" s="2439"/>
      <c r="O27" s="2439"/>
      <c r="P27" s="3393"/>
      <c r="Q27" s="530" t="str">
        <f t="shared" si="11"/>
        <v>人流量</v>
      </c>
      <c r="R27" s="664" t="s">
        <v>14</v>
      </c>
      <c r="S27" s="665">
        <f>F27</f>
        <v>100</v>
      </c>
      <c r="T27" s="664" t="s">
        <v>14</v>
      </c>
      <c r="U27" s="665">
        <f>H27</f>
        <v>100</v>
      </c>
      <c r="V27" s="664" t="s">
        <v>14</v>
      </c>
      <c r="W27" s="665">
        <f>J27</f>
        <v>100</v>
      </c>
      <c r="X27" s="666"/>
      <c r="Y27" s="3395"/>
      <c r="Z27" s="50" t="str">
        <f>Q27</f>
        <v>人流量</v>
      </c>
      <c r="AA27" s="1264">
        <f>D27/F27</f>
        <v>1</v>
      </c>
      <c r="AB27" s="1264">
        <f>D27/H27</f>
        <v>1</v>
      </c>
      <c r="AC27" s="1264">
        <f>D27/J27</f>
        <v>1</v>
      </c>
    </row>
    <row r="28" spans="1:29" ht="15">
      <c r="A28" s="367"/>
      <c r="B28" s="364" t="s">
        <v>1781</v>
      </c>
      <c r="C28" s="542" t="s">
        <v>3536</v>
      </c>
      <c r="D28" s="374">
        <v>100</v>
      </c>
      <c r="E28" s="542" t="s">
        <v>3527</v>
      </c>
      <c r="F28" s="400">
        <f>SUMIF(92:92,E28,93:93)-SUMIF(92:92,C28,93:93)+100</f>
        <v>118</v>
      </c>
      <c r="G28" s="542" t="s">
        <v>3527</v>
      </c>
      <c r="H28" s="374">
        <f>SUMIF(92:92,G28,93:93)-SUMIF(92:92,C28,93:93)+100</f>
        <v>118</v>
      </c>
      <c r="I28" s="542" t="s">
        <v>3527</v>
      </c>
      <c r="J28" s="374">
        <f>SUMIF(92:92,I28,93:93)-SUMIF(92:92,C28,93:93)+100</f>
        <v>118</v>
      </c>
      <c r="K28" s="539"/>
      <c r="L28" s="2491"/>
      <c r="M28" s="2486"/>
      <c r="N28" s="2486"/>
      <c r="O28" s="2486"/>
      <c r="P28" s="3393"/>
      <c r="Q28" s="1263" t="str">
        <f t="shared" si="11"/>
        <v>楼层</v>
      </c>
      <c r="R28" s="667" t="s">
        <v>14</v>
      </c>
      <c r="S28" s="668">
        <f t="shared" ref="S28:S46" si="12">F28</f>
        <v>118</v>
      </c>
      <c r="T28" s="667" t="s">
        <v>14</v>
      </c>
      <c r="U28" s="668">
        <f t="shared" ref="U28:U46" si="13">H28</f>
        <v>118</v>
      </c>
      <c r="V28" s="667" t="s">
        <v>14</v>
      </c>
      <c r="W28" s="668">
        <f t="shared" ref="W28:W46" si="14">J28</f>
        <v>118</v>
      </c>
      <c r="X28" s="1265"/>
      <c r="Y28" s="3395"/>
      <c r="Z28" s="1264" t="str">
        <f t="shared" ref="Z28:Z46" si="15">Q28</f>
        <v>楼层</v>
      </c>
      <c r="AA28" s="1264">
        <f t="shared" si="3"/>
        <v>0.84745762711864403</v>
      </c>
      <c r="AB28" s="1264">
        <f t="shared" si="4"/>
        <v>0.84745762711864403</v>
      </c>
      <c r="AC28" s="1264">
        <f t="shared" si="5"/>
        <v>0.84745762711864403</v>
      </c>
    </row>
    <row r="29" spans="1:29" ht="15">
      <c r="A29" s="367"/>
      <c r="B29" s="3156"/>
      <c r="C29" s="3152"/>
      <c r="D29" s="374">
        <v>100</v>
      </c>
      <c r="E29" s="3152"/>
      <c r="F29" s="400">
        <f>SUMIF(94:94,E29,95:95)-SUMIF(94:94,C29,95:95)+100</f>
        <v>100</v>
      </c>
      <c r="G29" s="3152"/>
      <c r="H29" s="374">
        <f>SUMIF(94:94,G29,95:95)-SUMIF(94:94,C29,95:95)+100</f>
        <v>100</v>
      </c>
      <c r="I29" s="3152"/>
      <c r="J29" s="374">
        <f>SUMIF(94:94,I29,95:95)-SUMIF(94:94,C29,95:95)+100</f>
        <v>100</v>
      </c>
      <c r="K29" s="539"/>
      <c r="L29" s="2491"/>
      <c r="M29" s="2486"/>
      <c r="N29" s="2486"/>
      <c r="O29" s="2486"/>
      <c r="P29" s="3393"/>
      <c r="Q29" s="1263">
        <f t="shared" si="11"/>
        <v>0</v>
      </c>
      <c r="R29" s="667" t="s">
        <v>14</v>
      </c>
      <c r="S29" s="668">
        <f t="shared" si="12"/>
        <v>100</v>
      </c>
      <c r="T29" s="667" t="s">
        <v>14</v>
      </c>
      <c r="U29" s="668">
        <f t="shared" si="13"/>
        <v>100</v>
      </c>
      <c r="V29" s="667" t="s">
        <v>14</v>
      </c>
      <c r="W29" s="668">
        <f t="shared" si="14"/>
        <v>100</v>
      </c>
      <c r="X29" s="1265"/>
      <c r="Y29" s="3395"/>
      <c r="Z29" s="1264">
        <f t="shared" si="15"/>
        <v>0</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3"/>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3"/>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264">
        <f t="shared" si="5"/>
        <v>1</v>
      </c>
    </row>
    <row r="32" spans="1:29" ht="15">
      <c r="A32" s="379" t="s">
        <v>1692</v>
      </c>
      <c r="B32" s="60" t="s">
        <v>1782</v>
      </c>
      <c r="C32" s="1764" t="s">
        <v>3455</v>
      </c>
      <c r="D32" s="405">
        <v>100</v>
      </c>
      <c r="E32" s="1764" t="s">
        <v>3455</v>
      </c>
      <c r="F32" s="400">
        <f>SUMIF(100:100,E32,101:101)-SUMIF(100:100,C32,101:101)+100</f>
        <v>100</v>
      </c>
      <c r="G32" s="1764" t="s">
        <v>3455</v>
      </c>
      <c r="H32" s="374">
        <f>SUMIF(100:100,G32,101:101)-SUMIF(100:100,C32,101:101)+100</f>
        <v>100</v>
      </c>
      <c r="I32" s="1764" t="s">
        <v>3455</v>
      </c>
      <c r="J32" s="405">
        <f>SUMIF(100:100,I32,101:101)-SUMIF(100:100,C32,101:101)+100</f>
        <v>100</v>
      </c>
      <c r="K32" s="538">
        <v>5</v>
      </c>
      <c r="L32" s="2491"/>
      <c r="M32" s="3154" t="s">
        <v>3554</v>
      </c>
      <c r="N32" s="2486">
        <v>2013</v>
      </c>
      <c r="O32" s="2486">
        <f>ROUND(1-(1-0)*(2024-N32)/60,2)</f>
        <v>0.82</v>
      </c>
      <c r="P32" s="3396" t="s">
        <v>1694</v>
      </c>
      <c r="Q32" s="1263" t="str">
        <f t="shared" si="11"/>
        <v>商业类型</v>
      </c>
      <c r="R32" s="667" t="s">
        <v>14</v>
      </c>
      <c r="S32" s="668">
        <f t="shared" si="12"/>
        <v>100</v>
      </c>
      <c r="T32" s="667" t="s">
        <v>14</v>
      </c>
      <c r="U32" s="668">
        <f t="shared" si="13"/>
        <v>100</v>
      </c>
      <c r="V32" s="667" t="s">
        <v>14</v>
      </c>
      <c r="W32" s="668">
        <f t="shared" si="14"/>
        <v>100</v>
      </c>
      <c r="X32" s="1265"/>
      <c r="Y32" s="3399" t="s">
        <v>1694</v>
      </c>
      <c r="Z32" s="1264" t="str">
        <f t="shared" si="15"/>
        <v>商业类型</v>
      </c>
      <c r="AA32" s="1264">
        <f t="shared" si="3"/>
        <v>1</v>
      </c>
      <c r="AB32" s="1264">
        <f t="shared" si="4"/>
        <v>1</v>
      </c>
      <c r="AC32" s="1264">
        <f t="shared" si="5"/>
        <v>1</v>
      </c>
    </row>
    <row r="33" spans="1:29" s="408" customFormat="1" ht="15">
      <c r="A33" s="406"/>
      <c r="B33" s="364" t="s">
        <v>1695</v>
      </c>
      <c r="C33" s="407">
        <f>'数据-汇总表'!E19</f>
        <v>154.41</v>
      </c>
      <c r="D33" s="119">
        <v>100</v>
      </c>
      <c r="E33" s="369">
        <v>102.15</v>
      </c>
      <c r="F33" s="364">
        <f>LOOKUP(E33,103:103,104:104)-LOOKUP(C33,103:103,104:104)+100</f>
        <v>100</v>
      </c>
      <c r="G33" s="368">
        <f>案例!A4</f>
        <v>45</v>
      </c>
      <c r="H33" s="119">
        <f>LOOKUP(G33,103:103,104:104)-LOOKUP(C33,103:103,104:104)+100</f>
        <v>100</v>
      </c>
      <c r="I33" s="368">
        <f>案例!N78</f>
        <v>190.35</v>
      </c>
      <c r="J33" s="119">
        <f>LOOKUP(I33,103:103,104:104)-LOOKUP(C33,103:103,104:104)+100</f>
        <v>100</v>
      </c>
      <c r="K33" s="539"/>
      <c r="L33" s="2490"/>
      <c r="M33" s="3155" t="s">
        <v>3555</v>
      </c>
      <c r="N33" s="2492">
        <v>2016</v>
      </c>
      <c r="O33" s="2486">
        <f>ROUND(1-(1-0)*(2024-N33)/60,2)</f>
        <v>0.87</v>
      </c>
      <c r="P33" s="3397"/>
      <c r="Q33" s="531" t="str">
        <f t="shared" si="11"/>
        <v>项目建筑规模</v>
      </c>
      <c r="R33" s="669" t="s">
        <v>14</v>
      </c>
      <c r="S33" s="670">
        <f t="shared" si="12"/>
        <v>100</v>
      </c>
      <c r="T33" s="669" t="s">
        <v>14</v>
      </c>
      <c r="U33" s="670">
        <f t="shared" si="13"/>
        <v>100</v>
      </c>
      <c r="V33" s="669" t="s">
        <v>14</v>
      </c>
      <c r="W33" s="670">
        <f t="shared" si="14"/>
        <v>100</v>
      </c>
      <c r="X33" s="671"/>
      <c r="Y33" s="3399"/>
      <c r="Z33" s="672" t="str">
        <f t="shared" si="15"/>
        <v>项目建筑规模</v>
      </c>
      <c r="AA33" s="1264">
        <f t="shared" si="3"/>
        <v>1</v>
      </c>
      <c r="AB33" s="1264">
        <f t="shared" si="4"/>
        <v>1</v>
      </c>
      <c r="AC33" s="1264">
        <f t="shared" si="5"/>
        <v>1</v>
      </c>
    </row>
    <row r="34" spans="1:29" ht="15">
      <c r="A34" s="409"/>
      <c r="B34" s="364" t="s">
        <v>1696</v>
      </c>
      <c r="C34" s="399" t="s">
        <v>3402</v>
      </c>
      <c r="D34" s="374">
        <v>100</v>
      </c>
      <c r="E34" s="399" t="s">
        <v>3402</v>
      </c>
      <c r="F34" s="400">
        <f>SUMIF(105:105,E34,106:106)-SUMIF(105:105,C34,106:106)+100</f>
        <v>100</v>
      </c>
      <c r="G34" s="399" t="s">
        <v>3402</v>
      </c>
      <c r="H34" s="374">
        <f>SUMIF(105:105,G34,106:106)-SUMIF(105:105,C34,106:106)+100</f>
        <v>100</v>
      </c>
      <c r="I34" s="399" t="s">
        <v>3402</v>
      </c>
      <c r="J34" s="374">
        <f>SUMIF(105:105,I34,106:106)-SUMIF(105:105,C34,106:106)+100</f>
        <v>100</v>
      </c>
      <c r="K34" s="538">
        <v>1</v>
      </c>
      <c r="L34" s="2491"/>
      <c r="M34" s="3154" t="s">
        <v>3556</v>
      </c>
      <c r="N34" s="2486">
        <v>2007</v>
      </c>
      <c r="O34" s="2486">
        <f>ROUND(1-(1-0)*(2024-N34)/60,2)</f>
        <v>0.72</v>
      </c>
      <c r="P34" s="3397"/>
      <c r="Q34" s="1263" t="str">
        <f t="shared" si="11"/>
        <v>建筑结构</v>
      </c>
      <c r="R34" s="667" t="s">
        <v>14</v>
      </c>
      <c r="S34" s="668">
        <f t="shared" si="12"/>
        <v>100</v>
      </c>
      <c r="T34" s="667" t="s">
        <v>14</v>
      </c>
      <c r="U34" s="668">
        <f t="shared" si="13"/>
        <v>100</v>
      </c>
      <c r="V34" s="667" t="s">
        <v>14</v>
      </c>
      <c r="W34" s="668">
        <f t="shared" si="14"/>
        <v>100</v>
      </c>
      <c r="X34" s="1265"/>
      <c r="Y34" s="3399"/>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3154" t="s">
        <v>3547</v>
      </c>
      <c r="N35" s="2486">
        <v>2012</v>
      </c>
      <c r="O35" s="2486">
        <f>ROUND(1-(1-0)*(2024-N35)/60,2)</f>
        <v>0.8</v>
      </c>
      <c r="P35" s="3397"/>
      <c r="Q35" s="1263" t="str">
        <f t="shared" si="11"/>
        <v>公共部分装修</v>
      </c>
      <c r="R35" s="667" t="s">
        <v>14</v>
      </c>
      <c r="S35" s="668">
        <f t="shared" si="12"/>
        <v>100</v>
      </c>
      <c r="T35" s="667" t="s">
        <v>14</v>
      </c>
      <c r="U35" s="668">
        <f t="shared" si="13"/>
        <v>100</v>
      </c>
      <c r="V35" s="667" t="s">
        <v>14</v>
      </c>
      <c r="W35" s="668">
        <f t="shared" si="14"/>
        <v>100</v>
      </c>
      <c r="X35" s="1265"/>
      <c r="Y35" s="3399"/>
      <c r="Z35" s="1264" t="str">
        <f t="shared" si="15"/>
        <v>公共部分装修</v>
      </c>
      <c r="AA35" s="1264">
        <f t="shared" si="3"/>
        <v>1</v>
      </c>
      <c r="AB35" s="1264">
        <f t="shared" si="4"/>
        <v>1</v>
      </c>
      <c r="AC35" s="1264">
        <f t="shared" si="5"/>
        <v>1</v>
      </c>
    </row>
    <row r="36" spans="1:29" ht="15">
      <c r="A36" s="409"/>
      <c r="B36" s="364" t="s">
        <v>1784</v>
      </c>
      <c r="C36" s="411">
        <f>'数据-取费表'!N6</f>
        <v>0.74</v>
      </c>
      <c r="D36" s="374">
        <v>100</v>
      </c>
      <c r="E36" s="411">
        <v>0.8</v>
      </c>
      <c r="F36" s="400">
        <f>LOOKUP(E36,110:110,111:111)-LOOKUP(C36,110:110,111:111)+100</f>
        <v>102</v>
      </c>
      <c r="G36" s="411">
        <f>C36</f>
        <v>0.74</v>
      </c>
      <c r="H36" s="400">
        <f>LOOKUP(G36,110:110,111:111)-LOOKUP(C36,110:110,111:111)+100</f>
        <v>100</v>
      </c>
      <c r="I36" s="411">
        <v>0.85</v>
      </c>
      <c r="J36" s="374">
        <f>LOOKUP(I36,110:110,111:111)-LOOKUP(C36,110:110,111:111)+100</f>
        <v>102</v>
      </c>
      <c r="K36" s="538">
        <v>2</v>
      </c>
      <c r="L36" s="2491"/>
      <c r="M36" s="3154" t="s">
        <v>3571</v>
      </c>
      <c r="N36" s="2486">
        <v>2009</v>
      </c>
      <c r="O36" s="2486">
        <f>ROUND(1-(1-0)*(2024-N36)/60,2)</f>
        <v>0.75</v>
      </c>
      <c r="P36" s="3397"/>
      <c r="Q36" s="1263" t="str">
        <f t="shared" si="11"/>
        <v>成新度</v>
      </c>
      <c r="R36" s="667" t="s">
        <v>14</v>
      </c>
      <c r="S36" s="668">
        <f t="shared" si="12"/>
        <v>102</v>
      </c>
      <c r="T36" s="667" t="s">
        <v>14</v>
      </c>
      <c r="U36" s="668">
        <f t="shared" si="13"/>
        <v>100</v>
      </c>
      <c r="V36" s="667" t="s">
        <v>14</v>
      </c>
      <c r="W36" s="668">
        <f t="shared" si="14"/>
        <v>102</v>
      </c>
      <c r="X36" s="1265"/>
      <c r="Y36" s="3399"/>
      <c r="Z36" s="1264" t="str">
        <f t="shared" si="15"/>
        <v>成新度</v>
      </c>
      <c r="AA36" s="1264">
        <f t="shared" si="3"/>
        <v>0.98039215686274506</v>
      </c>
      <c r="AB36" s="1264">
        <f t="shared" si="4"/>
        <v>1</v>
      </c>
      <c r="AC36" s="1264">
        <f t="shared" si="5"/>
        <v>0.98039215686274506</v>
      </c>
    </row>
    <row r="37" spans="1:29" s="102" customFormat="1" ht="15">
      <c r="A37" s="410"/>
      <c r="B37" s="364" t="s">
        <v>1785</v>
      </c>
      <c r="C37" s="1760" t="s">
        <v>3461</v>
      </c>
      <c r="D37" s="119">
        <v>100</v>
      </c>
      <c r="E37" s="1760" t="s">
        <v>3461</v>
      </c>
      <c r="F37" s="400">
        <f>SUMIF(112:112,E37,113:113)-SUMIF(112:112,C37,113:113)+100</f>
        <v>100</v>
      </c>
      <c r="G37" s="1760" t="s">
        <v>3461</v>
      </c>
      <c r="H37" s="374">
        <f>SUMIF(112:112,G37,113:113)-SUMIF(112:112,C37,113:113)+100</f>
        <v>100</v>
      </c>
      <c r="I37" s="1760" t="s">
        <v>3459</v>
      </c>
      <c r="J37" s="374">
        <f>SUMIF(112:112,I37,113:113)-SUMIF(112:112,C37,113:113)+100</f>
        <v>101</v>
      </c>
      <c r="K37" s="538">
        <v>1</v>
      </c>
      <c r="L37" s="2487"/>
      <c r="M37" s="2439"/>
      <c r="N37" s="2439"/>
      <c r="O37" s="2439"/>
      <c r="P37" s="3397"/>
      <c r="Q37" s="530" t="str">
        <f t="shared" si="11"/>
        <v>市政基础设施</v>
      </c>
      <c r="R37" s="664" t="s">
        <v>14</v>
      </c>
      <c r="S37" s="665">
        <f t="shared" si="12"/>
        <v>100</v>
      </c>
      <c r="T37" s="664" t="s">
        <v>14</v>
      </c>
      <c r="U37" s="665">
        <f t="shared" si="13"/>
        <v>100</v>
      </c>
      <c r="V37" s="664" t="s">
        <v>14</v>
      </c>
      <c r="W37" s="665">
        <f t="shared" si="14"/>
        <v>101</v>
      </c>
      <c r="X37" s="666"/>
      <c r="Y37" s="3399"/>
      <c r="Z37" s="50" t="str">
        <f t="shared" si="15"/>
        <v>市政基础设施</v>
      </c>
      <c r="AA37" s="50">
        <f t="shared" si="3"/>
        <v>1</v>
      </c>
      <c r="AB37" s="50">
        <f t="shared" si="4"/>
        <v>1</v>
      </c>
      <c r="AC37" s="50">
        <f t="shared" si="5"/>
        <v>0.99009900990099009</v>
      </c>
    </row>
    <row r="38" spans="1:29" ht="15">
      <c r="A38" s="409"/>
      <c r="B38" s="364" t="s">
        <v>1786</v>
      </c>
      <c r="C38" s="1760" t="s">
        <v>3464</v>
      </c>
      <c r="D38" s="374">
        <v>100</v>
      </c>
      <c r="E38" s="1760" t="s">
        <v>3466</v>
      </c>
      <c r="F38" s="400">
        <f>SUMIF(114:114,E38,115:115)-SUMIF(114:114,C38,115:115)+100</f>
        <v>95</v>
      </c>
      <c r="G38" s="1760" t="s">
        <v>3464</v>
      </c>
      <c r="H38" s="374">
        <f>SUMIF(114:114,G38,115:115)-SUMIF(114:114,C38,115:115)+100</f>
        <v>100</v>
      </c>
      <c r="I38" s="1760" t="s">
        <v>3464</v>
      </c>
      <c r="J38" s="374">
        <f>SUMIF(114:114,I38,115:115)-SUMIF(114:114,C38,115:115)+100</f>
        <v>100</v>
      </c>
      <c r="K38" s="538">
        <v>5</v>
      </c>
      <c r="L38" s="2491"/>
      <c r="M38" s="2486"/>
      <c r="N38" s="2486"/>
      <c r="O38" s="2486"/>
      <c r="P38" s="3397" t="s">
        <v>1694</v>
      </c>
      <c r="Q38" s="1263" t="str">
        <f t="shared" si="11"/>
        <v>业态</v>
      </c>
      <c r="R38" s="667" t="s">
        <v>14</v>
      </c>
      <c r="S38" s="668">
        <f t="shared" si="12"/>
        <v>95</v>
      </c>
      <c r="T38" s="667" t="s">
        <v>14</v>
      </c>
      <c r="U38" s="668">
        <f t="shared" si="13"/>
        <v>100</v>
      </c>
      <c r="V38" s="667" t="s">
        <v>14</v>
      </c>
      <c r="W38" s="668">
        <f t="shared" si="14"/>
        <v>100</v>
      </c>
      <c r="X38" s="1265"/>
      <c r="Y38" s="3399" t="s">
        <v>1694</v>
      </c>
      <c r="Z38" s="1264" t="str">
        <f t="shared" si="15"/>
        <v>业态</v>
      </c>
      <c r="AA38" s="1264">
        <f t="shared" si="3"/>
        <v>1.0526315789473684</v>
      </c>
      <c r="AB38" s="1264">
        <f t="shared" si="4"/>
        <v>1</v>
      </c>
      <c r="AC38" s="1264">
        <f t="shared" si="5"/>
        <v>1</v>
      </c>
    </row>
    <row r="39" spans="1:29" ht="27.6">
      <c r="A39" s="409"/>
      <c r="B39" s="364" t="s">
        <v>1787</v>
      </c>
      <c r="C39" s="1760" t="s">
        <v>3468</v>
      </c>
      <c r="D39" s="374">
        <v>100</v>
      </c>
      <c r="E39" s="1760" t="s">
        <v>3578</v>
      </c>
      <c r="F39" s="400">
        <f>SUMIF(116:116,E39,117:117)-SUMIF(116:116,C39,117:117)+100</f>
        <v>112</v>
      </c>
      <c r="G39" s="1760" t="s">
        <v>3468</v>
      </c>
      <c r="H39" s="374">
        <f>SUMIF(116:116,G39,117:117)-SUMIF(116:116,C39,117:117)+100</f>
        <v>100</v>
      </c>
      <c r="I39" s="1760" t="s">
        <v>3579</v>
      </c>
      <c r="J39" s="374">
        <f>SUMIF(116:116,I39,117:117)-SUMIF(116:116,C39,117:117)+100</f>
        <v>103</v>
      </c>
      <c r="K39" s="538">
        <v>3</v>
      </c>
      <c r="L39" s="2491"/>
      <c r="M39" s="2486"/>
      <c r="N39" s="2486"/>
      <c r="O39" s="2486"/>
      <c r="P39" s="3397"/>
      <c r="Q39" s="1263" t="str">
        <f t="shared" si="11"/>
        <v>层高</v>
      </c>
      <c r="R39" s="667" t="s">
        <v>14</v>
      </c>
      <c r="S39" s="668">
        <f t="shared" si="12"/>
        <v>112</v>
      </c>
      <c r="T39" s="667" t="s">
        <v>14</v>
      </c>
      <c r="U39" s="668">
        <f t="shared" si="13"/>
        <v>100</v>
      </c>
      <c r="V39" s="667" t="s">
        <v>14</v>
      </c>
      <c r="W39" s="668">
        <f t="shared" si="14"/>
        <v>103</v>
      </c>
      <c r="X39" s="1265"/>
      <c r="Y39" s="3399"/>
      <c r="Z39" s="1264" t="str">
        <f t="shared" si="15"/>
        <v>层高</v>
      </c>
      <c r="AA39" s="1264">
        <f t="shared" si="3"/>
        <v>0.8928571428571429</v>
      </c>
      <c r="AB39" s="1264">
        <f t="shared" si="4"/>
        <v>1</v>
      </c>
      <c r="AC39" s="1264">
        <f t="shared" si="5"/>
        <v>0.970873786407767</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7"/>
      <c r="Q40" s="1263" t="str">
        <f t="shared" si="11"/>
        <v>单套建筑面积</v>
      </c>
      <c r="R40" s="667" t="s">
        <v>14</v>
      </c>
      <c r="S40" s="668">
        <f t="shared" si="12"/>
        <v>100</v>
      </c>
      <c r="T40" s="667" t="s">
        <v>14</v>
      </c>
      <c r="U40" s="668">
        <f t="shared" si="13"/>
        <v>100</v>
      </c>
      <c r="V40" s="667" t="s">
        <v>14</v>
      </c>
      <c r="W40" s="668">
        <f t="shared" si="14"/>
        <v>100</v>
      </c>
      <c r="X40" s="1265"/>
      <c r="Y40" s="3399"/>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7"/>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4">
        <f t="shared" si="3"/>
        <v>1</v>
      </c>
      <c r="AB41" s="1264">
        <f t="shared" si="4"/>
        <v>1</v>
      </c>
      <c r="AC41" s="1264">
        <f t="shared" si="5"/>
        <v>1</v>
      </c>
    </row>
    <row r="42" spans="1:29" ht="15">
      <c r="A42" s="409"/>
      <c r="B42" s="364" t="s">
        <v>1790</v>
      </c>
      <c r="C42" s="1760" t="s">
        <v>3473</v>
      </c>
      <c r="D42" s="374">
        <v>100</v>
      </c>
      <c r="E42" s="1760" t="s">
        <v>3583</v>
      </c>
      <c r="F42" s="400">
        <f>SUMIF(122:122,E42,123:123)-SUMIF(122:122,C42,123:123)+100</f>
        <v>102</v>
      </c>
      <c r="G42" s="1760" t="s">
        <v>3473</v>
      </c>
      <c r="H42" s="374">
        <f>SUMIF(122:122,G42,123:123)-SUMIF(122:122,C42,123:123)+100</f>
        <v>100</v>
      </c>
      <c r="I42" s="1760" t="s">
        <v>3473</v>
      </c>
      <c r="J42" s="374">
        <f>SUMIF(122:122,I42,123:123)-SUMIF(122:122,C42,123:123)+100</f>
        <v>100</v>
      </c>
      <c r="K42" s="538">
        <v>2</v>
      </c>
      <c r="L42" s="2491"/>
      <c r="M42" s="2486"/>
      <c r="N42" s="2486"/>
      <c r="O42" s="2486"/>
      <c r="P42" s="3397"/>
      <c r="Q42" s="1263" t="str">
        <f t="shared" si="11"/>
        <v>内部装修</v>
      </c>
      <c r="R42" s="667" t="s">
        <v>14</v>
      </c>
      <c r="S42" s="668">
        <f t="shared" si="12"/>
        <v>102</v>
      </c>
      <c r="T42" s="667" t="s">
        <v>14</v>
      </c>
      <c r="U42" s="668">
        <f t="shared" si="13"/>
        <v>100</v>
      </c>
      <c r="V42" s="667" t="s">
        <v>14</v>
      </c>
      <c r="W42" s="668">
        <f t="shared" si="14"/>
        <v>100</v>
      </c>
      <c r="X42" s="1265"/>
      <c r="Y42" s="3399"/>
      <c r="Z42" s="1264" t="str">
        <f t="shared" si="15"/>
        <v>内部装修</v>
      </c>
      <c r="AA42" s="1264">
        <f t="shared" si="3"/>
        <v>0.98039215686274506</v>
      </c>
      <c r="AB42" s="1264">
        <f t="shared" si="4"/>
        <v>1</v>
      </c>
      <c r="AC42" s="1264">
        <f t="shared" si="5"/>
        <v>1</v>
      </c>
    </row>
    <row r="43" spans="1:29" ht="28.8">
      <c r="A43" s="409"/>
      <c r="B43" s="364" t="s">
        <v>1705</v>
      </c>
      <c r="C43" s="1760" t="s">
        <v>3443</v>
      </c>
      <c r="D43" s="374">
        <v>100</v>
      </c>
      <c r="E43" s="1760" t="s">
        <v>3443</v>
      </c>
      <c r="F43" s="400">
        <f>SUMIF(124:124,E43,125:125)-SUMIF(124:124,C43,125:125)+100</f>
        <v>100</v>
      </c>
      <c r="G43" s="1760" t="s">
        <v>3443</v>
      </c>
      <c r="H43" s="374">
        <f>SUMIF(124:124,G43,125:125)-SUMIF(124:124,C43,125:125)+100</f>
        <v>100</v>
      </c>
      <c r="I43" s="1760" t="s">
        <v>3443</v>
      </c>
      <c r="J43" s="374">
        <f>SUMIF(124:124,I43,125:125)-SUMIF(124:124,C43,125:125)+100</f>
        <v>100</v>
      </c>
      <c r="K43" s="538">
        <v>2</v>
      </c>
      <c r="L43" s="2491"/>
      <c r="M43" s="2486"/>
      <c r="N43" s="2486"/>
      <c r="O43" s="2486"/>
      <c r="P43" s="3397"/>
      <c r="Q43" s="1263" t="str">
        <f t="shared" si="11"/>
        <v>内部装修维护情况</v>
      </c>
      <c r="R43" s="667" t="s">
        <v>14</v>
      </c>
      <c r="S43" s="668">
        <f t="shared" si="12"/>
        <v>100</v>
      </c>
      <c r="T43" s="667" t="s">
        <v>14</v>
      </c>
      <c r="U43" s="668">
        <f t="shared" si="13"/>
        <v>100</v>
      </c>
      <c r="V43" s="667" t="s">
        <v>14</v>
      </c>
      <c r="W43" s="668">
        <f t="shared" si="14"/>
        <v>100</v>
      </c>
      <c r="X43" s="1265"/>
      <c r="Y43" s="339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3162"/>
      <c r="M44" s="2439"/>
      <c r="N44" s="3163"/>
      <c r="O44" s="2439"/>
      <c r="P44" s="3397"/>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7"/>
      <c r="Q45" s="1263">
        <f t="shared" si="11"/>
        <v>111</v>
      </c>
      <c r="R45" s="667" t="s">
        <v>14</v>
      </c>
      <c r="S45" s="668">
        <f t="shared" si="12"/>
        <v>100</v>
      </c>
      <c r="T45" s="667" t="s">
        <v>14</v>
      </c>
      <c r="U45" s="668">
        <f t="shared" si="13"/>
        <v>100</v>
      </c>
      <c r="V45" s="667" t="s">
        <v>14</v>
      </c>
      <c r="W45" s="668">
        <f t="shared" si="14"/>
        <v>100</v>
      </c>
      <c r="X45" s="1265"/>
      <c r="Y45" s="339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3164"/>
      <c r="N46" s="2486"/>
      <c r="O46" s="2486"/>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264">
        <f t="shared" si="5"/>
        <v>1</v>
      </c>
    </row>
    <row r="47" spans="1:29" ht="14.4">
      <c r="A47" s="416" t="s">
        <v>1706</v>
      </c>
      <c r="B47" s="417"/>
      <c r="C47" s="1081" t="s">
        <v>0</v>
      </c>
      <c r="D47" s="418"/>
      <c r="E47" s="419">
        <v>7.78</v>
      </c>
      <c r="F47" s="420"/>
      <c r="G47" s="421">
        <f>案例!C3</f>
        <v>7.41</v>
      </c>
      <c r="H47" s="422"/>
      <c r="I47" s="419">
        <f>案例!N85</f>
        <v>7.2</v>
      </c>
      <c r="J47" s="422"/>
      <c r="K47" s="674"/>
      <c r="L47" s="2493"/>
      <c r="M47" s="2486"/>
      <c r="N47" s="2486"/>
      <c r="O47" s="2486"/>
      <c r="P47" s="3401" t="str">
        <f>A47</f>
        <v>成交单价（元/平方米）</v>
      </c>
      <c r="Q47" s="3401"/>
      <c r="R47" s="3362">
        <f>E47</f>
        <v>7.78</v>
      </c>
      <c r="S47" s="3362"/>
      <c r="T47" s="3362">
        <f>G47</f>
        <v>7.41</v>
      </c>
      <c r="U47" s="3362"/>
      <c r="V47" s="3362">
        <f>I47</f>
        <v>7.2</v>
      </c>
      <c r="W47" s="3362"/>
      <c r="X47" s="385"/>
      <c r="Y47" s="673"/>
      <c r="Z47" s="385"/>
      <c r="AA47" s="385"/>
      <c r="AB47" s="385"/>
      <c r="AC47" s="385"/>
    </row>
    <row r="48" spans="1:29" ht="15" thickBot="1">
      <c r="A48" s="423" t="s">
        <v>1707</v>
      </c>
      <c r="B48" s="424"/>
      <c r="C48" s="1082">
        <f>R49</f>
        <v>5.6</v>
      </c>
      <c r="D48" s="2141" t="s">
        <v>2136</v>
      </c>
      <c r="E48" s="1083">
        <f>R48</f>
        <v>5.6</v>
      </c>
      <c r="F48" s="2142"/>
      <c r="G48" s="1082">
        <f>T48</f>
        <v>5.9</v>
      </c>
      <c r="H48" s="2142"/>
      <c r="I48" s="1083">
        <f>V48</f>
        <v>5.4</v>
      </c>
      <c r="J48" s="2142"/>
      <c r="K48" s="2144">
        <f>F48+H48+J48</f>
        <v>0</v>
      </c>
      <c r="L48" s="2493"/>
      <c r="M48" s="2486"/>
      <c r="N48" s="2486"/>
      <c r="O48" s="2486"/>
      <c r="P48" s="3401" t="str">
        <f>A48</f>
        <v>比较价值（元/平方米）</v>
      </c>
      <c r="Q48" s="3401"/>
      <c r="R48" s="3362">
        <f>IF(F1="售价",ROUND(PRODUCT(R47,AA7:AA46),0),ROUND(PRODUCT(R47,AA7:AA46),1))</f>
        <v>5.6</v>
      </c>
      <c r="S48" s="3362"/>
      <c r="T48" s="3362">
        <f>IF(F1="售价",ROUND(PRODUCT(T47,AB7:AB46),0),ROUND(PRODUCT(T47,AB7:AB46),1))</f>
        <v>5.9</v>
      </c>
      <c r="U48" s="3362"/>
      <c r="V48" s="3362">
        <f>IF(F1="售价",ROUND(PRODUCT(V47,AC7:AC46),0),ROUND(PRODUCT(V47,AC7:AC46),1))</f>
        <v>5.4</v>
      </c>
      <c r="W48" s="3362"/>
      <c r="X48" s="385"/>
      <c r="Y48" s="385"/>
      <c r="Z48" s="385"/>
      <c r="AA48" s="385"/>
      <c r="AB48" s="385"/>
      <c r="AC48" s="385"/>
    </row>
    <row r="49" spans="1:29" ht="15" thickBot="1">
      <c r="A49" s="427" t="s">
        <v>1708</v>
      </c>
      <c r="B49" s="428"/>
      <c r="C49" s="351">
        <f>R49</f>
        <v>5.6</v>
      </c>
      <c r="D49" s="351"/>
      <c r="E49" s="351"/>
      <c r="F49" s="351"/>
      <c r="G49" s="351"/>
      <c r="H49" s="351"/>
      <c r="I49" s="351"/>
      <c r="J49" s="351"/>
      <c r="K49" s="675"/>
      <c r="L49" s="2493"/>
      <c r="M49" s="2486"/>
      <c r="N49" s="2486"/>
      <c r="O49" s="2486"/>
      <c r="P49" s="3402" t="str">
        <f>A49</f>
        <v>估价对象XX用房的比较价值（楼面单价，元/平方米）</v>
      </c>
      <c r="Q49" s="3403"/>
      <c r="R49" s="3404">
        <f>IF(F1="售价",ROUND(IF(D48="简单平均",AVERAGE(R48:V48),R48*F48+T48*H48+V48*J48),0),ROUND(IF(D48="简单平均",AVERAGE(R48:V48),R48*F48+T48*H48+V48*J48),1))</f>
        <v>5.6</v>
      </c>
      <c r="S49" s="3404"/>
      <c r="T49" s="3404"/>
      <c r="U49" s="3404"/>
      <c r="V49" s="3404"/>
      <c r="W49" s="340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1709</v>
      </c>
      <c r="D52" s="433"/>
      <c r="E52" s="434">
        <f>IF(E47&lt;E48,E48/E47-1,E47/E48-1)</f>
        <v>0.38928571428571446</v>
      </c>
      <c r="F52" s="435" t="str">
        <f>IF(OR(E52&gt;=0.3,E52&lt;=-0.3),"超过30%","")</f>
        <v>超过30%</v>
      </c>
      <c r="G52" s="434">
        <f>IF(G47&lt;G48,G48/G47-1,G47/G48-1)</f>
        <v>0.25593220338983036</v>
      </c>
      <c r="H52" s="435" t="str">
        <f>IF(OR(G52&gt;=0.3,G52&lt;=-0.3),"超过30%","")</f>
        <v/>
      </c>
      <c r="I52" s="434">
        <f>IF(I47&lt;I48,I48/I47-1,I47/I48-1)</f>
        <v>0.33333333333333326</v>
      </c>
      <c r="J52" s="435" t="str">
        <f>IF(OR(I52&gt;=0.3,I52&lt;=-0.3),"超过30%","")</f>
        <v>超过30%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1710</v>
      </c>
      <c r="D53" s="436"/>
      <c r="E53" s="434">
        <f>IF(E48&lt;G48,G48/E48-1,E48/G48-1)</f>
        <v>5.3571428571428603E-2</v>
      </c>
      <c r="F53" s="435" t="str">
        <f>IF(OR(E53&gt;=0.2,E53&lt;=-0.2),"超过20%","")</f>
        <v/>
      </c>
      <c r="G53" s="434">
        <f>IF(G48&lt;I48,I48/G48-1,G48/I48-1)</f>
        <v>9.259259259259256E-2</v>
      </c>
      <c r="H53" s="435" t="str">
        <f>IF(OR(G53&gt;=0.2,G53&lt;=-0.2),"超过20%","")</f>
        <v/>
      </c>
      <c r="I53" s="434">
        <f>IF(I48&lt;E48,E48/I48-1,I48/E48-1)</f>
        <v>3.7037037037036979E-2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1711</v>
      </c>
      <c r="D54" s="436"/>
      <c r="E54" s="434">
        <f>IF(E47&lt;G47,G47/E47-1,E47/G47-1)</f>
        <v>4.9932523616734059E-2</v>
      </c>
      <c r="F54" s="435" t="str">
        <f>IF(OR(E54&gt;=0.3,E54&lt;=-0.3),"超过30%","")</f>
        <v/>
      </c>
      <c r="G54" s="434">
        <f>IF(G47&lt;I47,I47/G47-1,G47/I47-1)</f>
        <v>2.9166666666666563E-2</v>
      </c>
      <c r="H54" s="435" t="str">
        <f>IF(OR(G54&gt;=0.3,G54&lt;=-0.3),"超过30%","")</f>
        <v/>
      </c>
      <c r="I54" s="434">
        <f>IF(I47&lt;E47,E47/I47-1,I47/E47-1)</f>
        <v>8.0555555555555491E-2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1712</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1677</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1714</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1679</v>
      </c>
      <c r="B61" s="444"/>
      <c r="C61" s="456" t="s">
        <v>1716</v>
      </c>
      <c r="D61" s="3146" t="s">
        <v>3437</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106</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1717</v>
      </c>
      <c r="B63" s="460" t="s">
        <v>1683</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1686</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1687</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1688</v>
      </c>
      <c r="B76" s="460" t="s">
        <v>1718</v>
      </c>
      <c r="C76" s="504" t="s">
        <v>1719</v>
      </c>
      <c r="D76" s="504" t="s">
        <v>1720</v>
      </c>
      <c r="E76" s="504" t="s">
        <v>1721</v>
      </c>
      <c r="F76" s="504" t="s">
        <v>1722</v>
      </c>
      <c r="G76" s="504" t="s">
        <v>1723</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1724</v>
      </c>
      <c r="C78" s="509" t="s">
        <v>1719</v>
      </c>
      <c r="D78" s="509" t="s">
        <v>1720</v>
      </c>
      <c r="E78" s="509" t="s">
        <v>1721</v>
      </c>
      <c r="F78" s="509" t="s">
        <v>1722</v>
      </c>
      <c r="G78" s="509" t="s">
        <v>1723</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1725</v>
      </c>
      <c r="C80" s="509" t="s">
        <v>1719</v>
      </c>
      <c r="D80" s="509" t="s">
        <v>1720</v>
      </c>
      <c r="E80" s="509" t="s">
        <v>1721</v>
      </c>
      <c r="F80" s="509" t="s">
        <v>1722</v>
      </c>
      <c r="G80" s="509" t="s">
        <v>1723</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1777</v>
      </c>
      <c r="C82" s="581" t="s">
        <v>1797</v>
      </c>
      <c r="D82" s="581" t="s">
        <v>1798</v>
      </c>
      <c r="E82" s="581" t="s">
        <v>1799</v>
      </c>
      <c r="F82" s="581" t="s">
        <v>1800</v>
      </c>
      <c r="G82" s="581" t="s">
        <v>1801</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1731</v>
      </c>
      <c r="C84" s="509" t="s">
        <v>1719</v>
      </c>
      <c r="D84" s="509" t="s">
        <v>1720</v>
      </c>
      <c r="E84" s="509" t="s">
        <v>1721</v>
      </c>
      <c r="F84" s="509" t="s">
        <v>1722</v>
      </c>
      <c r="G84" s="509" t="s">
        <v>1723</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1802</v>
      </c>
      <c r="C86" s="3148" t="s">
        <v>3439</v>
      </c>
      <c r="D86" s="3148" t="s">
        <v>3441</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1"/>
      <c r="O87" s="2521"/>
      <c r="P87" s="2512"/>
      <c r="Q87" s="2507"/>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48" t="s">
        <v>3446</v>
      </c>
      <c r="D88" s="3148" t="s">
        <v>3447</v>
      </c>
      <c r="E88" s="3148" t="s">
        <v>3448</v>
      </c>
      <c r="F88" s="3149" t="s">
        <v>3449</v>
      </c>
      <c r="G88" s="3148" t="s">
        <v>3450</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v>100</v>
      </c>
      <c r="D89" s="467">
        <f>C89-5</f>
        <v>95</v>
      </c>
      <c r="E89" s="467">
        <f t="shared" ref="E89:G89" si="21">D89-5</f>
        <v>90</v>
      </c>
      <c r="F89" s="467">
        <f t="shared" si="21"/>
        <v>85</v>
      </c>
      <c r="G89" s="467">
        <f t="shared" si="21"/>
        <v>80</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 thickTop="1">
      <c r="A90" s="484"/>
      <c r="B90" s="469" t="str">
        <f>B27</f>
        <v>人流量</v>
      </c>
      <c r="C90" s="3148" t="s">
        <v>3451</v>
      </c>
      <c r="D90" s="3148" t="s">
        <v>3452</v>
      </c>
      <c r="E90" s="3148" t="s">
        <v>3448</v>
      </c>
      <c r="F90" s="3148" t="s">
        <v>3453</v>
      </c>
      <c r="G90" s="3148" t="s">
        <v>3454</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3533</v>
      </c>
      <c r="D92" s="485" t="s">
        <v>3534</v>
      </c>
      <c r="E92" s="485" t="s">
        <v>3535</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f>面积信息!Q9</f>
        <v>118</v>
      </c>
      <c r="D93" s="467">
        <f>面积信息!Q10</f>
        <v>82</v>
      </c>
      <c r="E93" s="467">
        <f>面积信息!Q11</f>
        <v>100</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f>B29</f>
        <v>0</v>
      </c>
      <c r="C94" s="3148" t="s">
        <v>3559</v>
      </c>
      <c r="D94" s="3148" t="s">
        <v>3558</v>
      </c>
      <c r="E94" s="3148" t="s">
        <v>3557</v>
      </c>
      <c r="F94" s="3148" t="s">
        <v>3560</v>
      </c>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f>C95-2</f>
        <v>98</v>
      </c>
      <c r="E95" s="467">
        <f t="shared" ref="E95:F95" si="23">D95-2</f>
        <v>96</v>
      </c>
      <c r="F95" s="467">
        <f t="shared" si="23"/>
        <v>94</v>
      </c>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1692</v>
      </c>
      <c r="B100" s="460" t="s">
        <v>1803</v>
      </c>
      <c r="C100" s="3150" t="s">
        <v>3456</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4">C101-$K32</f>
        <v>95</v>
      </c>
      <c r="E101" s="475">
        <f t="shared" si="24"/>
        <v>90</v>
      </c>
      <c r="F101" s="475">
        <f t="shared" si="24"/>
        <v>85</v>
      </c>
      <c r="G101" s="475">
        <f t="shared" si="24"/>
        <v>80</v>
      </c>
      <c r="H101" s="475">
        <f t="shared" si="24"/>
        <v>75</v>
      </c>
      <c r="I101" s="475">
        <f t="shared" si="24"/>
        <v>70</v>
      </c>
      <c r="J101" s="475">
        <f t="shared" si="24"/>
        <v>65</v>
      </c>
      <c r="K101" s="475">
        <f t="shared" si="24"/>
        <v>60</v>
      </c>
      <c r="L101" s="475">
        <f t="shared" si="24"/>
        <v>55</v>
      </c>
      <c r="M101" s="476">
        <f t="shared" si="24"/>
        <v>50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1735</v>
      </c>
      <c r="C102" s="509" t="str">
        <f>C103&amp;"(含)"&amp;"-"&amp;D103</f>
        <v>0(含)-200</v>
      </c>
      <c r="D102" s="509" t="str">
        <f t="shared" ref="D102:L102" si="25">D103&amp;"(含)"&amp;"-"&amp;E103</f>
        <v>200(含)-</v>
      </c>
      <c r="E102" s="509" t="str">
        <f t="shared" si="25"/>
        <v>(含)-</v>
      </c>
      <c r="F102" s="509" t="str">
        <f t="shared" si="25"/>
        <v>(含)-</v>
      </c>
      <c r="G102" s="509" t="str">
        <f t="shared" si="25"/>
        <v>(含)-</v>
      </c>
      <c r="H102" s="509" t="str">
        <f t="shared" si="25"/>
        <v>(含)-</v>
      </c>
      <c r="I102" s="509" t="str">
        <f t="shared" si="25"/>
        <v>(含)-</v>
      </c>
      <c r="J102" s="509" t="str">
        <f t="shared" si="25"/>
        <v>(含)-</v>
      </c>
      <c r="K102" s="509" t="str">
        <f t="shared" si="25"/>
        <v>(含)-</v>
      </c>
      <c r="L102" s="509" t="str">
        <f t="shared" si="25"/>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200</v>
      </c>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1736</v>
      </c>
      <c r="C105" s="3148" t="s">
        <v>3457</v>
      </c>
      <c r="D105" s="3148" t="s">
        <v>3458</v>
      </c>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1738</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102</v>
      </c>
      <c r="E111" s="475">
        <f t="shared" ref="E111:M111" si="28">D111+$K36</f>
        <v>104</v>
      </c>
      <c r="F111" s="475">
        <f t="shared" si="28"/>
        <v>106</v>
      </c>
      <c r="G111" s="475">
        <f t="shared" si="28"/>
        <v>108</v>
      </c>
      <c r="H111" s="475">
        <f t="shared" si="28"/>
        <v>110</v>
      </c>
      <c r="I111" s="475">
        <f t="shared" si="28"/>
        <v>112</v>
      </c>
      <c r="J111" s="475">
        <f t="shared" si="28"/>
        <v>114</v>
      </c>
      <c r="K111" s="475">
        <f t="shared" si="28"/>
        <v>116</v>
      </c>
      <c r="L111" s="475">
        <f t="shared" si="28"/>
        <v>118</v>
      </c>
      <c r="M111" s="475">
        <f t="shared" si="28"/>
        <v>120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1740</v>
      </c>
      <c r="C112" s="3148" t="s">
        <v>3460</v>
      </c>
      <c r="D112" s="3148" t="s">
        <v>3462</v>
      </c>
      <c r="E112" s="3148" t="s">
        <v>3463</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1804</v>
      </c>
      <c r="C114" s="3148" t="s">
        <v>3465</v>
      </c>
      <c r="D114" s="3148" t="s">
        <v>3467</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29.4" thickTop="1">
      <c r="A116" s="409"/>
      <c r="B116" s="469" t="s">
        <v>1805</v>
      </c>
      <c r="C116" s="3148" t="s">
        <v>3580</v>
      </c>
      <c r="D116" s="3148"/>
      <c r="E116" s="485"/>
      <c r="F116" s="485" t="s">
        <v>3581</v>
      </c>
      <c r="G116" s="3148" t="s">
        <v>3582</v>
      </c>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97</v>
      </c>
      <c r="E117" s="475">
        <f>D117-$K39</f>
        <v>94</v>
      </c>
      <c r="F117" s="475">
        <f>E117-$K39</f>
        <v>91</v>
      </c>
      <c r="G117" s="475">
        <f>F117-$K39</f>
        <v>88</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1806</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1807</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1742</v>
      </c>
      <c r="C122" s="3148" t="s">
        <v>3471</v>
      </c>
      <c r="D122" s="3148" t="s">
        <v>3472</v>
      </c>
      <c r="E122" s="3148" t="s">
        <v>3474</v>
      </c>
      <c r="F122" s="3151" t="s">
        <v>3475</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1743</v>
      </c>
      <c r="C124" s="509" t="s">
        <v>1719</v>
      </c>
      <c r="D124" s="509" t="s">
        <v>1720</v>
      </c>
      <c r="E124" s="509" t="s">
        <v>1721</v>
      </c>
      <c r="F124" s="509" t="s">
        <v>1722</v>
      </c>
      <c r="G124" s="509" t="s">
        <v>1723</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72" priority="14" stopIfTrue="1">
      <formula>$F$52="超过30%"</formula>
    </cfRule>
  </conditionalFormatting>
  <conditionalFormatting sqref="E53">
    <cfRule type="expression" dxfId="71" priority="13" stopIfTrue="1">
      <formula>$F$53="超过20%"</formula>
    </cfRule>
  </conditionalFormatting>
  <conditionalFormatting sqref="E54">
    <cfRule type="expression" dxfId="70" priority="12" stopIfTrue="1">
      <formula>$F$54="超过30%"</formula>
    </cfRule>
  </conditionalFormatting>
  <conditionalFormatting sqref="F7:F46 H7:H46 J7:J46">
    <cfRule type="cellIs" dxfId="69" priority="1" operator="notEqual">
      <formula>100</formula>
    </cfRule>
  </conditionalFormatting>
  <conditionalFormatting sqref="F48">
    <cfRule type="expression" dxfId="68" priority="4">
      <formula>$D$48="简单平均"</formula>
    </cfRule>
  </conditionalFormatting>
  <conditionalFormatting sqref="F52:F54 H52:H54">
    <cfRule type="containsText" dxfId="67" priority="15" stopIfTrue="1" operator="containsText" text="超过">
      <formula>NOT(ISERROR(SEARCH("超过",F52)))</formula>
    </cfRule>
  </conditionalFormatting>
  <conditionalFormatting sqref="G52">
    <cfRule type="expression" dxfId="66" priority="10" stopIfTrue="1">
      <formula>$H$52="超过30%"</formula>
    </cfRule>
  </conditionalFormatting>
  <conditionalFormatting sqref="G53">
    <cfRule type="expression" dxfId="65" priority="9" stopIfTrue="1">
      <formula>$H$53="超过20%"</formula>
    </cfRule>
  </conditionalFormatting>
  <conditionalFormatting sqref="G54">
    <cfRule type="expression" dxfId="64" priority="11" stopIfTrue="1">
      <formula>$H$54="超过30%"</formula>
    </cfRule>
  </conditionalFormatting>
  <conditionalFormatting sqref="H48">
    <cfRule type="expression" dxfId="63" priority="3">
      <formula>$D$48="简单平均"</formula>
    </cfRule>
  </conditionalFormatting>
  <conditionalFormatting sqref="I52">
    <cfRule type="expression" dxfId="62" priority="7" stopIfTrue="1">
      <formula>$J$52="超过30%"</formula>
    </cfRule>
  </conditionalFormatting>
  <conditionalFormatting sqref="I53">
    <cfRule type="expression" dxfId="61" priority="6" stopIfTrue="1">
      <formula>$J$53="超过20%"</formula>
    </cfRule>
  </conditionalFormatting>
  <conditionalFormatting sqref="I54">
    <cfRule type="expression" dxfId="60" priority="5" stopIfTrue="1">
      <formula>$J$54="超过30%"</formula>
    </cfRule>
  </conditionalFormatting>
  <conditionalFormatting sqref="J48">
    <cfRule type="expression" dxfId="59" priority="2">
      <formula>$D$48="简单平均"</formula>
    </cfRule>
  </conditionalFormatting>
  <conditionalFormatting sqref="J52:J54">
    <cfRule type="containsText" dxfId="58" priority="8" stopIfTrue="1" operator="containsText" text="超过">
      <formula>NOT(ISERROR(SEARCH("超过",J52)))</formula>
    </cfRule>
  </conditionalFormatting>
  <dataValidations count="25">
    <dataValidation type="list" allowBlank="1" showInputMessage="1" showErrorMessage="1" sqref="E1" xr:uid="{00000000-0002-0000-2200-000000000000}">
      <formula1>"项目模式,单套模式"</formula1>
    </dataValidation>
    <dataValidation type="list" allowBlank="1" showInputMessage="1" showErrorMessage="1" sqref="D48" xr:uid="{00000000-0002-0000-2200-000001000000}">
      <formula1>"简单平均,加权平均"</formula1>
    </dataValidation>
    <dataValidation type="list" allowBlank="1" showInputMessage="1" showErrorMessage="1" sqref="F2" xr:uid="{00000000-0002-0000-2200-000002000000}">
      <formula1>估价方法</formula1>
    </dataValidation>
    <dataValidation type="list" allowBlank="1" showInputMessage="1" showErrorMessage="1" sqref="C2" xr:uid="{00000000-0002-0000-2200-000003000000}">
      <formula1>"需扣减承租人权益,——"</formula1>
    </dataValidation>
    <dataValidation type="list" allowBlank="1" showInputMessage="1" showErrorMessage="1" sqref="F1" xr:uid="{00000000-0002-0000-2200-000004000000}">
      <formula1>"售价,租金"</formula1>
    </dataValidation>
    <dataValidation type="list" allowBlank="1" showInputMessage="1" showErrorMessage="1" sqref="C22 E22 G22 I22" xr:uid="{00000000-0002-0000-2200-000005000000}">
      <formula1>基础设施水平</formula1>
    </dataValidation>
    <dataValidation type="list" allowBlank="1" showInputMessage="1" showErrorMessage="1" sqref="C16 E16 G16 I16" xr:uid="{00000000-0002-0000-2200-000006000000}">
      <formula1>商业繁华度</formula1>
    </dataValidation>
    <dataValidation type="list" allowBlank="1" showInputMessage="1" showErrorMessage="1" sqref="C8 E8 G8 I8" xr:uid="{00000000-0002-0000-2200-000007000000}">
      <formula1>商业交易情况</formula1>
    </dataValidation>
    <dataValidation type="list" allowBlank="1" showInputMessage="1" showErrorMessage="1" sqref="C39 E39 G39 I39" xr:uid="{00000000-0002-0000-2200-000008000000}">
      <formula1>商业层高</formula1>
    </dataValidation>
    <dataValidation type="list" allowBlank="1" showInputMessage="1" showErrorMessage="1" sqref="C38 E38 G38 I38" xr:uid="{00000000-0002-0000-2200-000009000000}">
      <formula1>商业业态</formula1>
    </dataValidation>
    <dataValidation type="list" allowBlank="1" showInputMessage="1" showErrorMessage="1" sqref="E9 G9 I9" xr:uid="{00000000-0002-0000-2200-00000A000000}">
      <formula1>商业用途</formula1>
    </dataValidation>
    <dataValidation type="list" allowBlank="1" showInputMessage="1" showErrorMessage="1" sqref="C42 E42 G42 I42" xr:uid="{00000000-0002-0000-2200-00000B000000}">
      <formula1>商业内部装修</formula1>
    </dataValidation>
    <dataValidation type="list" allowBlank="1" showInputMessage="1" showErrorMessage="1" sqref="C41 E41 G41 I41" xr:uid="{00000000-0002-0000-2200-00000C000000}">
      <formula1>商业进深比</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35 E35 G35 I35" xr:uid="{00000000-0002-0000-2200-00000E000000}">
      <formula1>商业公共部分装修</formula1>
    </dataValidation>
    <dataValidation type="list" allowBlank="1" showInputMessage="1" showErrorMessage="1" sqref="C34 E34 G34 I34" xr:uid="{00000000-0002-0000-2200-00000F000000}">
      <formula1>商业建筑结构</formula1>
    </dataValidation>
    <dataValidation type="list" allowBlank="1" showInputMessage="1" showErrorMessage="1" sqref="C32 E32 G32 I32" xr:uid="{00000000-0002-0000-2200-000010000000}">
      <formula1>商业类型</formula1>
    </dataValidation>
    <dataValidation type="list" allowBlank="1" showInputMessage="1" showErrorMessage="1" sqref="C28 E28 G28 I28" xr:uid="{00000000-0002-0000-2200-000011000000}">
      <formula1>商业楼层</formula1>
    </dataValidation>
    <dataValidation type="list" allowBlank="1" showInputMessage="1" showErrorMessage="1" sqref="C27 E27 G27 I27" xr:uid="{00000000-0002-0000-2200-000012000000}">
      <formula1>商业人流量</formula1>
    </dataValidation>
    <dataValidation type="list" allowBlank="1" showInputMessage="1" showErrorMessage="1" sqref="C25 E25 G25 I25" xr:uid="{00000000-0002-0000-2200-000013000000}">
      <formula1>商业临街状况</formula1>
    </dataValidation>
    <dataValidation type="list" allowBlank="1" showInputMessage="1" showErrorMessage="1" sqref="E24 G24 I24 C24" xr:uid="{00000000-0002-0000-2200-000014000000}">
      <formula1>环境</formula1>
    </dataValidation>
    <dataValidation type="list" allowBlank="1" showInputMessage="1" showErrorMessage="1" sqref="E18 G18 I18 C18" xr:uid="{00000000-0002-0000-2200-000015000000}">
      <formula1>交通便捷度</formula1>
    </dataValidation>
    <dataValidation type="list" allowBlank="1" showInputMessage="1" showErrorMessage="1" sqref="E20 I20 G20 C20" xr:uid="{00000000-0002-0000-2200-000016000000}">
      <formula1>公共配套设施</formula1>
    </dataValidation>
    <dataValidation type="list" allowBlank="1" showInputMessage="1" showErrorMessage="1" sqref="C43 E43 G43 I43" xr:uid="{00000000-0002-0000-2200-000017000000}">
      <formula1>内部装修维护情况</formula1>
    </dataValidation>
    <dataValidation type="list" allowBlank="1" showInputMessage="1" showErrorMessage="1" sqref="D1" xr:uid="{00000000-0002-0000-22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70" zoomScaleNormal="70" zoomScaleSheetLayoutView="70" workbookViewId="0">
      <selection activeCell="J21" sqref="J2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1459</v>
      </c>
      <c r="B1" s="1374" t="s">
        <v>3502</v>
      </c>
      <c r="C1" s="1717" t="s">
        <v>1561</v>
      </c>
      <c r="D1" s="190"/>
      <c r="E1" s="190"/>
      <c r="F1" s="190"/>
      <c r="G1" s="1062">
        <f>MATCH(B1,'数据-取费表'!A6:A16,0)+5</f>
        <v>6</v>
      </c>
      <c r="H1" s="998" t="str">
        <f>IF(ISERROR(FIND("住宅",B1)),"非住宅","住宅")</f>
        <v>非住宅</v>
      </c>
    </row>
    <row r="2" spans="1:8" s="192" customFormat="1" ht="18" customHeight="1">
      <c r="A2" s="193" t="s">
        <v>1460</v>
      </c>
      <c r="B2" s="3121">
        <f ca="1">ROUND(IF(D2="——",C52/10000,C52/10000-E2),4)</f>
        <v>312.5018</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20238</v>
      </c>
      <c r="C3" s="191" t="s">
        <v>1463</v>
      </c>
      <c r="D3" s="191"/>
      <c r="E3" s="191"/>
      <c r="F3" s="191"/>
      <c r="G3" s="191"/>
    </row>
    <row r="4" spans="1:8" s="200" customFormat="1" ht="16.2">
      <c r="A4" s="197" t="s">
        <v>1464</v>
      </c>
      <c r="B4" s="198"/>
      <c r="C4" s="198"/>
      <c r="D4" s="198"/>
      <c r="E4" s="198"/>
      <c r="F4" s="198"/>
      <c r="G4" s="199"/>
    </row>
    <row r="5" spans="1:8" s="206" customFormat="1" ht="13.5" customHeight="1">
      <c r="A5" s="247" t="s">
        <v>1465</v>
      </c>
      <c r="B5" s="202" t="s">
        <v>1466</v>
      </c>
      <c r="C5" s="203">
        <f ca="1">C6+C7+C8</f>
        <v>1866882.7850000001</v>
      </c>
      <c r="D5" s="203" t="s">
        <v>1467</v>
      </c>
      <c r="E5" s="204" t="s">
        <v>1468</v>
      </c>
      <c r="F5" s="204" t="s">
        <v>1469</v>
      </c>
      <c r="G5" s="205"/>
    </row>
    <row r="6" spans="1:8" s="206" customFormat="1" ht="13.5" customHeight="1">
      <c r="A6" s="732" t="s">
        <v>1470</v>
      </c>
      <c r="B6" s="207" t="s">
        <v>1471</v>
      </c>
      <c r="C6" s="208">
        <f>基准地价修正!U2*基准地价修正!T2+基准地价修正!U3*基准地价修正!T3</f>
        <v>1781659.7850000001</v>
      </c>
      <c r="D6" s="209"/>
      <c r="E6" s="210"/>
      <c r="F6" s="210"/>
      <c r="G6" s="211"/>
    </row>
    <row r="7" spans="1:8" s="206" customFormat="1" ht="13.5" customHeight="1">
      <c r="A7" s="732" t="s">
        <v>1472</v>
      </c>
      <c r="B7" s="207" t="s">
        <v>1473</v>
      </c>
      <c r="C7" s="212">
        <f>ROUND(C6*F7,0)</f>
        <v>54341</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30882</v>
      </c>
      <c r="D8" s="214"/>
      <c r="E8" s="212"/>
      <c r="F8" s="213"/>
      <c r="G8" s="1714" t="s">
        <v>3513</v>
      </c>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1478</v>
      </c>
      <c r="C10" s="217">
        <f ca="1">ROUND(D10*E10,0)</f>
        <v>30882</v>
      </c>
      <c r="D10" s="795">
        <f ca="1">IF(B1="",'数据-汇总表'!E6,IF(INDIRECT("'数据-取费表'!c"&amp;$G$1)="住宅",INDIRECT("'数据-取费表'!s"&amp;$G$1),INDIRECT("'数据-取费表'!k"&amp;$G$1)+INDIRECT("'数据-取费表'!s"&amp;$G$1)))</f>
        <v>154.41</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154.41</v>
      </c>
      <c r="E19" s="203">
        <f>'数据-取费表'!B31</f>
        <v>200</v>
      </c>
      <c r="F19" s="223"/>
      <c r="G19" s="1714" t="s">
        <v>3514</v>
      </c>
    </row>
    <row r="20" spans="1:7" s="206" customFormat="1" ht="13.5" customHeight="1">
      <c r="A20" s="247" t="s">
        <v>1572</v>
      </c>
      <c r="B20" s="202" t="s">
        <v>1573</v>
      </c>
      <c r="C20" s="224">
        <f ca="1">ROUND((C5+C19)*F20,0)</f>
        <v>37338</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118698</v>
      </c>
      <c r="D22" s="227">
        <f ca="1">C26</f>
        <v>5.9999999999999995E-4</v>
      </c>
      <c r="E22" s="228" t="s">
        <v>1577</v>
      </c>
      <c r="F22" s="229">
        <f ca="1">'数据-取费表'!B40</f>
        <v>3.1E-2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117541</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1157</v>
      </c>
      <c r="D25" s="230"/>
      <c r="E25" s="233"/>
      <c r="F25" s="231"/>
      <c r="G25" s="234" t="s">
        <v>1586</v>
      </c>
    </row>
    <row r="26" spans="1:7" s="206" customFormat="1">
      <c r="A26" s="734" t="s">
        <v>350</v>
      </c>
      <c r="B26" s="207" t="s">
        <v>1509</v>
      </c>
      <c r="C26" s="230">
        <f ca="1">ROUND(IF('数据-取费表'!B22&lt;=1,F21*F22*'数据-取费表'!B22/2,F21*(POWER((1+F22),'数据-取费表'!B22/2)-1)),4)</f>
        <v>5.9999999999999995E-4</v>
      </c>
      <c r="D26" s="230"/>
      <c r="E26" s="233"/>
      <c r="F26" s="231"/>
      <c r="G26" s="235"/>
    </row>
    <row r="27" spans="1:7" s="206" customFormat="1" ht="26.4">
      <c r="A27" s="247" t="s">
        <v>1510</v>
      </c>
      <c r="B27" s="236" t="s">
        <v>1511</v>
      </c>
      <c r="C27" s="237">
        <f ca="1">C28</f>
        <v>380844</v>
      </c>
      <c r="D27" s="227">
        <f ca="1">C29</f>
        <v>4.0000000000000001E-3</v>
      </c>
      <c r="E27" s="228" t="s">
        <v>1512</v>
      </c>
      <c r="F27" s="238">
        <f ca="1">IF(B1="",'数据-取费表'!Q16,INDIRECT("'数据-取费表'!q"&amp;$G$1))</f>
        <v>0.2</v>
      </c>
      <c r="G27" s="239" t="s">
        <v>1513</v>
      </c>
    </row>
    <row r="28" spans="1:7" s="206" customFormat="1" ht="13.5" customHeight="1">
      <c r="A28" s="734" t="s">
        <v>346</v>
      </c>
      <c r="B28" s="240" t="s">
        <v>1514</v>
      </c>
      <c r="C28" s="241">
        <f ca="1">ROUND((C5+C19+C20)*F27,0)</f>
        <v>380844</v>
      </c>
      <c r="D28" s="227"/>
      <c r="E28" s="228"/>
      <c r="F28" s="238"/>
      <c r="G28" s="239"/>
    </row>
    <row r="29" spans="1:7" s="206" customFormat="1" ht="13.5" customHeight="1">
      <c r="A29" s="734" t="s">
        <v>347</v>
      </c>
      <c r="B29" s="240" t="s">
        <v>1515</v>
      </c>
      <c r="C29" s="230">
        <f ca="1">ROUND(C21*F27,4)</f>
        <v>4.0000000000000001E-3</v>
      </c>
      <c r="D29" s="227"/>
      <c r="E29" s="228"/>
      <c r="F29" s="238"/>
      <c r="G29" s="239"/>
    </row>
    <row r="30" spans="1:7" s="206" customFormat="1" ht="13.5" customHeight="1">
      <c r="A30" s="247" t="s">
        <v>1516</v>
      </c>
      <c r="B30" s="202" t="s">
        <v>1517</v>
      </c>
      <c r="C30" s="227">
        <f>ROUND(F30/(1+'数据-取费表'!C42),4)</f>
        <v>5.2400000000000002E-2</v>
      </c>
      <c r="D30" s="228" t="s">
        <v>1512</v>
      </c>
      <c r="E30" s="233"/>
      <c r="F30" s="229">
        <f>'数据-取费表'!B41</f>
        <v>5.5000000000000007E-2</v>
      </c>
      <c r="G30" s="226" t="s">
        <v>1518</v>
      </c>
    </row>
    <row r="31" spans="1:7" ht="16.5" customHeight="1">
      <c r="A31" s="201">
        <v>1</v>
      </c>
      <c r="B31" s="202" t="s">
        <v>1519</v>
      </c>
      <c r="C31" s="203">
        <f ca="1">ROUND((C5+C19+C20+C22+C27)/(1-C21-D22-D27-C30),0)</f>
        <v>2604293</v>
      </c>
      <c r="D31" s="222"/>
      <c r="E31" s="203"/>
      <c r="F31" s="242"/>
      <c r="G31" s="226" t="s">
        <v>1520</v>
      </c>
    </row>
    <row r="32" spans="1:7" s="200" customFormat="1" ht="16.2">
      <c r="A32" s="244" t="s">
        <v>1587</v>
      </c>
      <c r="B32" s="245"/>
      <c r="C32" s="245"/>
      <c r="D32" s="245"/>
      <c r="E32" s="245"/>
      <c r="F32" s="245"/>
      <c r="G32" s="246"/>
    </row>
    <row r="33" spans="1:7" s="206" customFormat="1" ht="13.5" customHeight="1">
      <c r="A33" s="247" t="s">
        <v>337</v>
      </c>
      <c r="B33" s="202" t="s">
        <v>1588</v>
      </c>
      <c r="C33" s="248">
        <f ca="1">SUM(C34:C38)</f>
        <v>517274</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463230</v>
      </c>
      <c r="D34" s="209"/>
      <c r="E34" s="212"/>
      <c r="F34" s="249"/>
      <c r="G34" s="211"/>
    </row>
    <row r="35" spans="1:7" ht="13.5" customHeight="1">
      <c r="A35" s="734" t="s">
        <v>351</v>
      </c>
      <c r="B35" s="207" t="s">
        <v>1525</v>
      </c>
      <c r="C35" s="212">
        <f ca="1">ROUND(C34*F35,0)</f>
        <v>13897</v>
      </c>
      <c r="D35" s="212"/>
      <c r="E35" s="212"/>
      <c r="F35" s="251">
        <f>'数据-取费表'!B33</f>
        <v>0.03</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4" t="s">
        <v>353</v>
      </c>
      <c r="B37" s="207" t="s">
        <v>1529</v>
      </c>
      <c r="C37" s="241">
        <f ca="1">ROUND(E37*D37,0)</f>
        <v>30882</v>
      </c>
      <c r="D37" s="209">
        <f ca="1">D19</f>
        <v>154.41</v>
      </c>
      <c r="E37" s="241">
        <f>'数据-取费表'!B35</f>
        <v>200</v>
      </c>
      <c r="F37" s="251"/>
      <c r="G37" s="253"/>
    </row>
    <row r="38" spans="1:7" ht="13.5" customHeight="1">
      <c r="A38" s="734" t="s">
        <v>354</v>
      </c>
      <c r="B38" s="207" t="s">
        <v>1531</v>
      </c>
      <c r="C38" s="212">
        <f ca="1">ROUND(C34*F38,0)</f>
        <v>9265</v>
      </c>
      <c r="D38" s="212"/>
      <c r="E38" s="212"/>
      <c r="F38" s="251">
        <f>'数据-取费表'!B36</f>
        <v>0.02</v>
      </c>
      <c r="G38" s="211" t="s">
        <v>1526</v>
      </c>
    </row>
    <row r="39" spans="1:7" s="206" customFormat="1" ht="13.5" customHeight="1">
      <c r="A39" s="247" t="s">
        <v>1532</v>
      </c>
      <c r="B39" s="202" t="s">
        <v>1533</v>
      </c>
      <c r="C39" s="224">
        <f ca="1">ROUND(C33*F20,0)</f>
        <v>10345</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16356</v>
      </c>
      <c r="D41" s="227">
        <f ca="1">C44</f>
        <v>5.9999999999999995E-4</v>
      </c>
      <c r="E41" s="228" t="s">
        <v>1537</v>
      </c>
      <c r="F41" s="229">
        <f ca="1">F22</f>
        <v>3.1E-2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16035</v>
      </c>
      <c r="D42" s="230"/>
      <c r="E42" s="230"/>
      <c r="F42" s="231"/>
      <c r="G42" s="3351" t="s">
        <v>1589</v>
      </c>
    </row>
    <row r="43" spans="1:7" ht="13.5" customHeight="1">
      <c r="A43" s="734" t="s">
        <v>347</v>
      </c>
      <c r="B43" s="207" t="s">
        <v>1543</v>
      </c>
      <c r="C43" s="230">
        <f ca="1">ROUND(IF('数据-取费表'!B22&lt;=1,C39*F22*'数据-取费表'!B20/2,C39*(POWER((1+F22),'数据-取费表'!B20/2)-1)),0)</f>
        <v>321</v>
      </c>
      <c r="D43" s="230"/>
      <c r="E43" s="230"/>
      <c r="F43" s="231"/>
      <c r="G43" s="3352"/>
    </row>
    <row r="44" spans="1:7" ht="13.5" customHeight="1">
      <c r="A44" s="734" t="s">
        <v>348</v>
      </c>
      <c r="B44" s="207" t="s">
        <v>1544</v>
      </c>
      <c r="C44" s="230">
        <f ca="1">ROUND(IF('数据-取费表'!B22&lt;=1,C40*F22*'数据-取费表'!B20/2,C40*(POWER((1+F22),'数据-取费表'!B20/2)-1)),4)</f>
        <v>5.9999999999999995E-4</v>
      </c>
      <c r="D44" s="230"/>
      <c r="E44" s="230"/>
      <c r="F44" s="231"/>
      <c r="G44" s="3353"/>
    </row>
    <row r="45" spans="1:7" s="206" customFormat="1" ht="13.5" customHeight="1">
      <c r="A45" s="247" t="s">
        <v>1545</v>
      </c>
      <c r="B45" s="236" t="s">
        <v>1511</v>
      </c>
      <c r="C45" s="237">
        <f ca="1">C46</f>
        <v>105524</v>
      </c>
      <c r="D45" s="227">
        <f ca="1">C47</f>
        <v>4.0000000000000001E-3</v>
      </c>
      <c r="E45" s="228" t="s">
        <v>1537</v>
      </c>
      <c r="F45" s="238">
        <f ca="1">F27</f>
        <v>0.2</v>
      </c>
      <c r="G45" s="239" t="s">
        <v>1546</v>
      </c>
    </row>
    <row r="46" spans="1:7" s="206" customFormat="1" ht="13.5" customHeight="1">
      <c r="A46" s="734" t="s">
        <v>346</v>
      </c>
      <c r="B46" s="240" t="s">
        <v>1547</v>
      </c>
      <c r="C46" s="241">
        <f ca="1">ROUND((C33+C39)*F27,0)</f>
        <v>105524</v>
      </c>
      <c r="D46" s="255"/>
      <c r="E46" s="228"/>
      <c r="F46" s="238"/>
      <c r="G46" s="239"/>
    </row>
    <row r="47" spans="1:7" s="206" customFormat="1" ht="13.5" customHeight="1">
      <c r="A47" s="734" t="s">
        <v>347</v>
      </c>
      <c r="B47" s="240" t="s">
        <v>1548</v>
      </c>
      <c r="C47" s="230">
        <f ca="1">ROUND(C40*F27,4)</f>
        <v>4.0000000000000001E-3</v>
      </c>
      <c r="D47" s="255"/>
      <c r="E47" s="228"/>
      <c r="F47" s="238"/>
      <c r="G47" s="239"/>
    </row>
    <row r="48" spans="1:7" s="206" customFormat="1" ht="13.5" customHeight="1">
      <c r="A48" s="247" t="s">
        <v>1510</v>
      </c>
      <c r="B48" s="202" t="s">
        <v>1549</v>
      </c>
      <c r="C48" s="254">
        <f>ROUND(F30/(1+'数据-取费表'!C42),4)</f>
        <v>5.2400000000000002E-2</v>
      </c>
      <c r="D48" s="228" t="s">
        <v>1537</v>
      </c>
      <c r="E48" s="224"/>
      <c r="F48" s="229">
        <f>F30</f>
        <v>5.5000000000000007E-2</v>
      </c>
      <c r="G48" s="226" t="s">
        <v>1550</v>
      </c>
    </row>
    <row r="49" spans="1:7" ht="16.5" customHeight="1">
      <c r="A49" s="247" t="s">
        <v>1516</v>
      </c>
      <c r="B49" s="202" t="s">
        <v>1590</v>
      </c>
      <c r="C49" s="224">
        <f ca="1">ROUND((C33+C39+C41+C45)/(1-C40-D41-D45-C48),0)</f>
        <v>703683</v>
      </c>
      <c r="D49" s="224"/>
      <c r="E49" s="224"/>
      <c r="F49" s="256"/>
      <c r="G49" s="226" t="s">
        <v>1552</v>
      </c>
    </row>
    <row r="50" spans="1:7" s="250" customFormat="1">
      <c r="A50" s="247" t="s">
        <v>1553</v>
      </c>
      <c r="B50" s="202" t="s">
        <v>1554</v>
      </c>
      <c r="C50" s="224"/>
      <c r="D50" s="224"/>
      <c r="E50" s="224"/>
      <c r="F50" s="256">
        <f>IF('数据-取费表'!B24=0,'数据-取费表'!N16,1)</f>
        <v>0.74</v>
      </c>
      <c r="G50" s="239"/>
    </row>
    <row r="51" spans="1:7" ht="16.5" customHeight="1">
      <c r="A51" s="247" t="s">
        <v>1556</v>
      </c>
      <c r="B51" s="202" t="s">
        <v>1591</v>
      </c>
      <c r="C51" s="224">
        <f ca="1">ROUND(C49*F50,0)</f>
        <v>520725</v>
      </c>
      <c r="D51" s="224"/>
      <c r="E51" s="224"/>
      <c r="F51" s="256"/>
      <c r="G51" s="226" t="s">
        <v>1558</v>
      </c>
    </row>
    <row r="52" spans="1:7" s="200" customFormat="1" ht="16.8" thickBot="1">
      <c r="A52" s="257" t="s">
        <v>1559</v>
      </c>
      <c r="B52" s="258"/>
      <c r="C52" s="259">
        <f ca="1">C31+C51</f>
        <v>3125018</v>
      </c>
      <c r="D52" s="258"/>
      <c r="E52" s="258"/>
      <c r="F52" s="258"/>
      <c r="G52" s="260"/>
    </row>
    <row r="55" spans="1:7" ht="15">
      <c r="B55" s="262" t="s">
        <v>1560</v>
      </c>
      <c r="C55" s="263"/>
    </row>
    <row r="56" spans="1:7">
      <c r="B56" s="265" t="s">
        <v>801</v>
      </c>
      <c r="C56" s="267">
        <f ca="1">1-C57</f>
        <v>0.83299999999999996</v>
      </c>
    </row>
    <row r="57" spans="1:7">
      <c r="B57" s="265" t="s">
        <v>802</v>
      </c>
      <c r="C57" s="266">
        <f ca="1">ROUND(C51/C52,3)</f>
        <v>0.16700000000000001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Normal="80" zoomScaleSheetLayoutView="100" workbookViewId="0">
      <selection activeCell="Q6" sqref="Q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6">
      <c r="A2" s="193" t="s">
        <v>1932</v>
      </c>
      <c r="B2" s="196">
        <f>C30</f>
        <v>179</v>
      </c>
      <c r="C2" s="1846" t="s">
        <v>1933</v>
      </c>
      <c r="D2" s="162" t="s">
        <v>1934</v>
      </c>
      <c r="E2" s="3119" t="s">
        <v>672</v>
      </c>
      <c r="F2" s="162" t="s">
        <v>1935</v>
      </c>
      <c r="G2" s="163" t="str">
        <f>IF(E2="商业",项目基本情况!B37,IF(E2="办公",项目基本情况!C37,IF(E2="住宅",项目基本情况!D37,IF(E2="工业",项目基本情况!E37,项目基本情况!F37))))</f>
        <v>六级</v>
      </c>
      <c r="H2" s="162" t="s">
        <v>1936</v>
      </c>
      <c r="I2" s="163" t="str">
        <f>IF(E2="商业",项目基本情况!B38,IF(E2="办公",项目基本情况!C38,IF(E2="住宅",项目基本情况!D38,IF(E2="工业",项目基本情况!E38,项目基本情况!F38))))</f>
        <v>Ⅵ-兴1</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12905</v>
      </c>
      <c r="U2" s="1130">
        <f>面积信息!L8</f>
        <v>77.204999999999998</v>
      </c>
      <c r="V2" s="3062">
        <f>ROUND(T2*U2/10000,0)</f>
        <v>100</v>
      </c>
      <c r="W2" s="1133"/>
      <c r="X2" s="1133"/>
      <c r="Y2" s="1133"/>
      <c r="Z2" s="1133"/>
      <c r="AA2" s="1133"/>
      <c r="AB2" s="1133"/>
      <c r="AC2" s="1134"/>
      <c r="AD2" s="1135"/>
      <c r="AE2" s="1135"/>
      <c r="AF2" s="1135"/>
      <c r="AG2" s="1135"/>
      <c r="AH2" s="1135"/>
      <c r="AI2" s="1135"/>
      <c r="AJ2" s="1136"/>
    </row>
    <row r="3" spans="1:36" ht="15.6">
      <c r="A3" s="195" t="s">
        <v>1938</v>
      </c>
      <c r="B3" s="196" t="e">
        <f>ROUND(B2*10000/D1,0)</f>
        <v>#DIV/0!</v>
      </c>
      <c r="C3" s="1846" t="s">
        <v>1939</v>
      </c>
      <c r="D3" s="162" t="s">
        <v>1940</v>
      </c>
      <c r="E3" s="3117" t="s">
        <v>2439</v>
      </c>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10172</v>
      </c>
      <c r="U3" s="1130">
        <f>面积信息!L9</f>
        <v>77.204999999999998</v>
      </c>
      <c r="V3" s="3062">
        <f t="shared" ref="V3:V16" si="1">ROUND(T3*U3/10000,0)</f>
        <v>79</v>
      </c>
      <c r="W3" s="1133"/>
      <c r="X3" s="1133"/>
      <c r="Y3" s="1133"/>
      <c r="Z3" s="1133"/>
      <c r="AA3" s="1133"/>
      <c r="AB3" s="1133"/>
      <c r="AC3" s="1134"/>
      <c r="AD3" s="1135"/>
      <c r="AE3" s="1135"/>
      <c r="AF3" s="1135"/>
      <c r="AG3" s="1135"/>
      <c r="AH3" s="1135"/>
      <c r="AI3" s="1135"/>
      <c r="AJ3" s="1136"/>
    </row>
    <row r="4" spans="1:36" ht="15.6">
      <c r="A4" s="3464"/>
      <c r="B4" s="3465"/>
      <c r="C4" s="3465"/>
      <c r="D4" s="3466"/>
      <c r="E4" s="3466"/>
      <c r="F4" s="3466"/>
      <c r="G4" s="3466"/>
      <c r="H4" s="3466"/>
      <c r="I4" s="3466"/>
      <c r="J4" s="3467"/>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8597</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1945</v>
      </c>
      <c r="C5" s="709">
        <f>ROUND(IF(E2="商业",C6*C7*C17+C20,(IF(E2="住宅",C6*C13*C17+C20,IF(E2="办公",C6*C12*C17+C20,C6+C20)))),0)</f>
        <v>11160</v>
      </c>
      <c r="D5" s="1252">
        <f>ROUND(C6*C17+C20,0)</f>
        <v>11160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7582</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1947</v>
      </c>
      <c r="B6" s="1860" t="s">
        <v>1948</v>
      </c>
      <c r="C6" s="710">
        <f>SUMIF(L1:L12,G2,M1:M12)</f>
        <v>11180</v>
      </c>
      <c r="D6" s="1861"/>
      <c r="E6" s="1862"/>
      <c r="F6" s="1862"/>
      <c r="G6" s="1863"/>
      <c r="H6" s="1863"/>
      <c r="I6" s="1863"/>
      <c r="J6" s="1864"/>
      <c r="K6" s="1292"/>
      <c r="L6" s="1847" t="s">
        <v>1949</v>
      </c>
      <c r="M6" s="811">
        <f>SUMPRODUCT((区片价!B127:B189=I2)*(区片价!C3:G3=E2)*(区片价!C127:G189))</f>
        <v>11180</v>
      </c>
      <c r="N6" s="813">
        <f>SUMPRODUCT((因素修正幅度!B127:B189=I2)*(因素修正幅度!C3:G3=E2)*(因素修正幅度!C127:G189))</f>
        <v>0.13</v>
      </c>
      <c r="O6" s="1056"/>
      <c r="P6" s="1056"/>
      <c r="Q6" s="1056"/>
      <c r="R6" s="1129">
        <v>5</v>
      </c>
      <c r="S6" s="3062">
        <f>ROUND(SUMPRODUCT((B106:B110=R6)*(C105:N105=G2)*(C106:N110)),4)</f>
        <v>0.84799999999999998</v>
      </c>
      <c r="T6" s="3062">
        <f t="shared" si="0"/>
        <v>7286</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1950</v>
      </c>
      <c r="C7" s="711">
        <f>IF(C8="不临65条商业街",1,ROUND(1+(1.6*E8+1.2*E9+0.8*E10+0.4*E11)*C9,4))</f>
        <v>1</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1953</v>
      </c>
      <c r="X7" s="1131" t="str">
        <f>G2</f>
        <v>六级</v>
      </c>
      <c r="Y7" s="1131" t="s">
        <v>1954</v>
      </c>
      <c r="Z7" s="1132">
        <f>G3</f>
        <v>0</v>
      </c>
      <c r="AA7" s="1133"/>
      <c r="AB7" s="1133"/>
      <c r="AC7" s="1134"/>
      <c r="AD7" s="1135"/>
      <c r="AE7" s="1135"/>
      <c r="AF7" s="1135"/>
      <c r="AG7" s="1135"/>
      <c r="AH7" s="1135"/>
      <c r="AI7" s="1135"/>
      <c r="AJ7" s="1136"/>
    </row>
    <row r="8" spans="1:36" ht="26.4">
      <c r="A8" s="3008"/>
      <c r="B8" s="162" t="s">
        <v>1955</v>
      </c>
      <c r="C8" s="1870" t="s">
        <v>3476</v>
      </c>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61" t="s">
        <v>1958</v>
      </c>
      <c r="X8" s="3462"/>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08"/>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3"/>
      <c r="X9" s="3063" t="s">
        <v>3267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1980</v>
      </c>
      <c r="C13" s="711">
        <f>ROUND(C16*D16*E16*F16*G16*H16*I16*J16,4)</f>
        <v>0</v>
      </c>
      <c r="D13" s="1879" t="s">
        <v>1981</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1983</v>
      </c>
      <c r="C14" s="1884" t="s">
        <v>1984</v>
      </c>
      <c r="D14" s="1261" t="s">
        <v>1985</v>
      </c>
      <c r="E14" s="27" t="s">
        <v>1986</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1987</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8" t="s">
        <v>3254</v>
      </c>
      <c r="B20" s="159" t="s">
        <v>1992</v>
      </c>
      <c r="C20" s="3030">
        <f>ROUND(IF(F21="与级别开发程度一致",0,(G21-E21)/C21),0)</f>
        <v>-20</v>
      </c>
      <c r="D20" s="3045" t="s">
        <v>1996</v>
      </c>
      <c r="E20" s="3046"/>
      <c r="F20" s="3474" t="s">
        <v>1993</v>
      </c>
      <c r="G20" s="3475"/>
      <c r="H20" s="3031" t="s">
        <v>3478</v>
      </c>
      <c r="I20" s="3031" t="s">
        <v>3479</v>
      </c>
      <c r="J20" s="3032" t="s">
        <v>3480</v>
      </c>
      <c r="K20" s="1889" t="s">
        <v>3481</v>
      </c>
      <c r="L20" s="1889" t="s">
        <v>3482</v>
      </c>
      <c r="M20" s="1889" t="s">
        <v>3483</v>
      </c>
      <c r="N20" s="1889" t="s">
        <v>3484</v>
      </c>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9"/>
      <c r="B21" s="2002" t="s">
        <v>1995</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3477</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1998</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1999</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6" t="s">
        <v>2000</v>
      </c>
      <c r="E23" s="717">
        <v>44197</v>
      </c>
      <c r="F23" s="1896" t="s">
        <v>2001</v>
      </c>
      <c r="G23" s="718">
        <f>'数据-取费表'!B2</f>
        <v>45635</v>
      </c>
      <c r="H23" s="3047" t="s">
        <v>3255</v>
      </c>
      <c r="I23" s="3048" t="str">
        <f>IF(H23="季度增幅（自定义）",SUMIF(N25:N28,E2,O25:O28),"")</f>
        <v/>
      </c>
      <c r="J23" s="3140" t="s">
        <v>3485</v>
      </c>
      <c r="K23" s="1061"/>
      <c r="L23" s="1897" t="s">
        <v>2002</v>
      </c>
      <c r="M23" s="1241">
        <f>ROUND(SUMIF(地价!B2:G2,E2,地价!B16:G16),0)</f>
        <v>350</v>
      </c>
      <c r="N23" s="1898" t="s">
        <v>2003</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2004</v>
      </c>
      <c r="C24" s="720">
        <f>ROUND(POWER(1+G24,J24-I24)*(POWER(1+G24,I24)-1)/(POWER(1+G24,J24)-1),4)</f>
        <v>0.7107</v>
      </c>
      <c r="D24" s="1902" t="s">
        <v>2005</v>
      </c>
      <c r="E24" s="1248">
        <f>存贷款利率!E27/100</f>
        <v>4.3499999999999997E-2</v>
      </c>
      <c r="F24" s="1902" t="s">
        <v>1997</v>
      </c>
      <c r="G24" s="724">
        <f>SUMIF(M30:Q30,E2,M33:Q33)</f>
        <v>5.5E-2</v>
      </c>
      <c r="H24" s="1902" t="s">
        <v>2006</v>
      </c>
      <c r="I24" s="725">
        <f>SUMIF('数据-取费表'!C6:C15,E2,'数据-取费表'!F6:F15)/COUNTIF('数据-取费表'!C6:C15,E2)</f>
        <v>18.43</v>
      </c>
      <c r="J24" s="726">
        <f>IF(E2="住宅",70,IF(E2="商业",40,50))</f>
        <v>40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3486</v>
      </c>
      <c r="C25" s="461">
        <f>IF(B25="容积率修正",IF(G3&lt;10,D26,J26),C27)</f>
        <v>0</v>
      </c>
      <c r="D25" s="1909"/>
      <c r="E25" s="1909"/>
      <c r="F25" s="1909"/>
      <c r="G25" s="1909"/>
      <c r="H25" s="1909"/>
      <c r="I25" s="1909"/>
      <c r="J25" s="1910"/>
      <c r="K25" s="1061"/>
      <c r="L25" s="2551"/>
      <c r="M25" s="2551"/>
      <c r="N25" s="1911" t="s">
        <v>2011</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2012</v>
      </c>
      <c r="B26" s="1912" t="s">
        <v>2013</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1"/>
      <c r="M26" s="2551"/>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2018</v>
      </c>
      <c r="C28" s="716">
        <f>SUMIF(A47:A101,E2,B47:B101)</f>
        <v>1.0452999999999999</v>
      </c>
      <c r="D28" s="1894"/>
      <c r="E28" s="1919"/>
      <c r="F28" s="1919"/>
      <c r="G28" s="1919"/>
      <c r="H28" s="1919"/>
      <c r="I28" s="1919"/>
      <c r="J28" s="1920"/>
      <c r="K28" s="1061"/>
      <c r="L28" s="2551"/>
      <c r="M28" s="2551"/>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2020</v>
      </c>
      <c r="C29" s="721"/>
      <c r="D29" s="1868"/>
      <c r="E29" s="1868"/>
      <c r="F29" s="1923"/>
      <c r="G29" s="1868"/>
      <c r="H29" s="1868"/>
      <c r="I29" s="1868"/>
      <c r="J29" s="1869"/>
      <c r="K29" s="1056"/>
      <c r="L29" s="1844"/>
      <c r="M29" s="1844"/>
      <c r="N29" s="2548" t="s">
        <v>2021</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2022</v>
      </c>
      <c r="C30" s="2145">
        <f>IF(B25="容积率修正",E33+SUM(E37:E42),SUM(V2:V16)+SUM(E37:E42))</f>
        <v>179</v>
      </c>
      <c r="D30" s="1925"/>
      <c r="E30" s="1842"/>
      <c r="F30" s="1926"/>
      <c r="G30" s="1842"/>
      <c r="H30" s="1842"/>
      <c r="I30" s="1842"/>
      <c r="J30" s="1927"/>
      <c r="K30" s="1056"/>
      <c r="L30" s="3054" t="s">
        <v>1934</v>
      </c>
      <c r="M30" s="3055" t="s">
        <v>1988</v>
      </c>
      <c r="N30" s="3055" t="s">
        <v>1989</v>
      </c>
      <c r="O30" s="3055" t="s">
        <v>1990</v>
      </c>
      <c r="P30" s="3055" t="s">
        <v>1991</v>
      </c>
      <c r="Q30" s="3058"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2023</v>
      </c>
      <c r="C31" s="722">
        <f>E34+SUM(I37:I42)</f>
        <v>0</v>
      </c>
      <c r="D31" s="1929"/>
      <c r="E31" s="1930"/>
      <c r="F31" s="1931"/>
      <c r="G31" s="1930"/>
      <c r="H31" s="1930"/>
      <c r="I31" s="1930"/>
      <c r="J31" s="1932"/>
      <c r="K31" s="1056"/>
      <c r="L31" s="3056" t="s">
        <v>1994</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2024</v>
      </c>
      <c r="C32" s="1935" t="s">
        <v>2025</v>
      </c>
      <c r="D32" s="1935" t="s">
        <v>2026</v>
      </c>
      <c r="E32" s="1936" t="s">
        <v>2027</v>
      </c>
      <c r="F32" s="1937"/>
      <c r="G32" s="1881"/>
      <c r="H32" s="1881"/>
      <c r="I32" s="1881"/>
      <c r="J32" s="1882"/>
      <c r="K32" s="1056"/>
      <c r="L32" s="3057" t="s">
        <v>1997</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2028</v>
      </c>
      <c r="C33" s="167">
        <f>ROUND(C5*C22*C23*C24*C25*C28,0)</f>
        <v>0</v>
      </c>
      <c r="D33" s="1940"/>
      <c r="E33" s="727">
        <f>ROUND(C33*D33/10000,0)</f>
        <v>0</v>
      </c>
      <c r="F33" s="3049" t="s">
        <v>3259</v>
      </c>
      <c r="G33" s="1941"/>
      <c r="H33" s="1941"/>
      <c r="I33" s="1941"/>
      <c r="J33" s="1942"/>
      <c r="K33" s="1056"/>
      <c r="L33" s="3052" t="s">
        <v>3262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2029</v>
      </c>
      <c r="C34" s="179" t="e">
        <f>ROUND(IF(E2="工业",C33*M42,IF(B25="楼层修正",SUM(V2:V16)*M41*10000/D34,C33*M41)),0)</f>
        <v>#DIV/0!</v>
      </c>
      <c r="D34" s="1945"/>
      <c r="E34" s="727">
        <f>ROUND(IF(B25="楼层修正",SUM(V2:V16)*M40,C34*D34/10000),0)</f>
        <v>0</v>
      </c>
      <c r="F34" s="1946" t="s">
        <v>2030</v>
      </c>
      <c r="G34" s="1947"/>
      <c r="H34" s="1947"/>
      <c r="I34" s="1947"/>
      <c r="J34" s="1948"/>
      <c r="K34" s="1056"/>
      <c r="L34" s="3052" t="s">
        <v>3263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0" t="s">
        <v>3260</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2025</v>
      </c>
      <c r="D36" s="433" t="s">
        <v>2026</v>
      </c>
      <c r="E36" s="433" t="s">
        <v>2027</v>
      </c>
      <c r="F36" s="333" t="s">
        <v>2033</v>
      </c>
      <c r="G36" s="1954" t="s">
        <v>2025</v>
      </c>
      <c r="H36" s="1954" t="s">
        <v>2026</v>
      </c>
      <c r="I36" s="1954" t="s">
        <v>2027</v>
      </c>
      <c r="J36" s="235"/>
      <c r="K36" s="1964" t="s">
        <v>3264</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2"/>
      <c r="B37" s="1955" t="s">
        <v>2034</v>
      </c>
      <c r="C37" s="167">
        <f>ROUND(D5*C22*C23*C24*C28*F37,0)</f>
        <v>5155</v>
      </c>
      <c r="D37" s="1940"/>
      <c r="E37" s="163">
        <f>ROUND(C37*D37/10000,0)</f>
        <v>0</v>
      </c>
      <c r="F37" s="163">
        <f>SUMIF(修正!A57:A68,G2,修正!B57:B68)</f>
        <v>0.6</v>
      </c>
      <c r="G37" s="163">
        <f>ROUND(IF(E2="工业",C37*$M$42,C37*$M$41),0)</f>
        <v>1289</v>
      </c>
      <c r="H37" s="163">
        <f>D37</f>
        <v>0</v>
      </c>
      <c r="I37" s="163">
        <f>ROUND(G37*H37/10000,0)</f>
        <v>0</v>
      </c>
      <c r="J37" s="2753"/>
      <c r="K37" s="3060" t="s">
        <v>3265</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3"/>
      <c r="B38" s="1884" t="s">
        <v>2035</v>
      </c>
      <c r="C38" s="167">
        <f>ROUND(D5*C22*C23*C24*C28*F38,0)</f>
        <v>2578</v>
      </c>
      <c r="D38" s="1940"/>
      <c r="E38" s="163">
        <f t="shared" ref="E38:E42" si="4">ROUND(C38*D38/10000,0)</f>
        <v>0</v>
      </c>
      <c r="F38" s="163">
        <f>SUMIF(修正!A57:A68,G2,修正!C57:C68)</f>
        <v>0.3</v>
      </c>
      <c r="G38" s="163">
        <f>ROUND(IF(E2="工业",C38*$M$42,C38*$M$41),0)</f>
        <v>645</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3"/>
      <c r="B39" s="1884" t="s">
        <v>3258</v>
      </c>
      <c r="C39" s="167">
        <f>ROUND(D5*C22*C23*C24*C28*F39,0)</f>
        <v>2148</v>
      </c>
      <c r="D39" s="1940"/>
      <c r="E39" s="163">
        <f t="shared" si="4"/>
        <v>0</v>
      </c>
      <c r="F39" s="163">
        <f>SUMIF(修正!A57:A68,G2,修正!D57:D68)</f>
        <v>0.25</v>
      </c>
      <c r="G39" s="163">
        <f>ROUND(IF(E2="工业",C39*$M$42,C39*$M$41),0)</f>
        <v>537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f>ROUND(D5*C22*C23*C24*C28*F40,0)</f>
        <v>2148</v>
      </c>
      <c r="D40" s="1940"/>
      <c r="E40" s="163">
        <f t="shared" si="4"/>
        <v>0</v>
      </c>
      <c r="F40" s="167">
        <f>SUMIF(修正!A57:A68,G2,修正!E57:E68)</f>
        <v>0.25</v>
      </c>
      <c r="G40" s="163">
        <f>ROUND(IF(E2="工业",C40*$M$42,C40*$M$41),0)</f>
        <v>537</v>
      </c>
      <c r="H40" s="163">
        <f t="shared" si="5"/>
        <v>0</v>
      </c>
      <c r="I40" s="163">
        <f t="shared" si="6"/>
        <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f>ROUND(D5*C22*C23*C44*C28*F41,0)</f>
        <v>2036</v>
      </c>
      <c r="D41" s="1940"/>
      <c r="E41" s="163">
        <f t="shared" si="4"/>
        <v>0</v>
      </c>
      <c r="F41" s="167">
        <f>SUMIF(修正!A57:A68,G2,修正!F57:F68)</f>
        <v>0.25</v>
      </c>
      <c r="G41" s="163">
        <f>ROUND(IF(E2="工业",C41*$M$42,C41*$M$41),0)</f>
        <v>509</v>
      </c>
      <c r="H41" s="163">
        <f t="shared" si="5"/>
        <v>0</v>
      </c>
      <c r="I41" s="163">
        <f t="shared" si="6"/>
        <v>0</v>
      </c>
      <c r="J41" s="939"/>
      <c r="L41" s="3061" t="s">
        <v>3266</v>
      </c>
      <c r="M41" s="1959">
        <v>0.25</v>
      </c>
      <c r="Z41" s="1057"/>
      <c r="AA41" s="1057"/>
      <c r="AB41" s="1057"/>
      <c r="AC41" s="1057"/>
      <c r="AD41" s="1057"/>
      <c r="AE41" s="1057"/>
      <c r="AF41" s="1057"/>
      <c r="AG41" s="1057"/>
      <c r="AH41" s="1057"/>
      <c r="AI41" s="1057"/>
      <c r="AJ41" s="1057"/>
    </row>
    <row r="42" spans="1:37" s="1056" customFormat="1" ht="13.8" thickBot="1">
      <c r="A42" s="1943"/>
      <c r="B42" s="1960" t="s">
        <v>2039</v>
      </c>
      <c r="C42" s="179">
        <f>ROUND(D5*C22*C23*C44*C28*F42,0)</f>
        <v>1221</v>
      </c>
      <c r="D42" s="1945"/>
      <c r="E42" s="179">
        <f t="shared" si="4"/>
        <v>0</v>
      </c>
      <c r="F42" s="723">
        <f>SUMIF(修正!A57:A68,G2,修正!G57:G68)</f>
        <v>0.15</v>
      </c>
      <c r="G42" s="179">
        <f>ROUND(IF(E2="工业",C42*$M$42,C42*$M$41),0)</f>
        <v>305</v>
      </c>
      <c r="H42" s="179">
        <f t="shared" si="5"/>
        <v>0</v>
      </c>
      <c r="I42" s="179">
        <f t="shared" si="6"/>
        <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2120</v>
      </c>
      <c r="C44" s="333">
        <f>ROUND(POWER(1+E44,H44-G44)*(POWER(1+E44,G44)-1)/(POWER(1+E44,H44)-1),4)</f>
        <v>0.67349999999999999</v>
      </c>
      <c r="D44" s="163" t="s">
        <v>1997</v>
      </c>
      <c r="E44" s="1991">
        <f>G24</f>
        <v>5.5E-2</v>
      </c>
      <c r="F44" s="163" t="s">
        <v>2006</v>
      </c>
      <c r="G44" s="175">
        <f>项目基本情况!D15</f>
        <v>18.43</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2041</v>
      </c>
      <c r="B48" s="1968">
        <f>1+E50</f>
        <v>1.0452999999999999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9.6">
      <c r="A50" s="1970" t="s">
        <v>2050</v>
      </c>
      <c r="B50" s="1973" t="str">
        <f>估价对象房地状况!C4</f>
        <v>估价对象位于XX商圈，周边商业氛围成熟，人流量大，商业繁华度好</v>
      </c>
      <c r="C50" s="1887" t="s">
        <v>3445</v>
      </c>
      <c r="D50" s="1002">
        <f t="shared" ref="D50:D58" si="7">SUMIF($J$49:$N$49,C50,J50:N50)</f>
        <v>0</v>
      </c>
      <c r="E50" s="702">
        <f>ROUND(SUM(D50:D58),4)</f>
        <v>4.53E-2</v>
      </c>
      <c r="F50" s="1675">
        <f>IF(E2="商业",SUMIF(L1:L12,G2,N1:N12),"——")</f>
        <v>0.13</v>
      </c>
      <c r="G50" s="1000">
        <v>1.95E-2</v>
      </c>
      <c r="H50" s="1003">
        <f t="shared" ref="H50:H58" si="8">IFERROR(ROUNDDOWN($F$50*I50/2,4),"——")</f>
        <v>1.95E-2</v>
      </c>
      <c r="I50" s="3067">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52.8">
      <c r="A51" s="1970" t="s">
        <v>2051</v>
      </c>
      <c r="B51" s="1262" t="str">
        <f>估价对象房地状况!C18</f>
        <v>估价对象周边道路状况、公共交通通达情况、停车便捷程度，综合评价交通便捷度较好</v>
      </c>
      <c r="C51" s="1887" t="s">
        <v>3443</v>
      </c>
      <c r="D51" s="1002">
        <f t="shared" si="7"/>
        <v>1.43E-2</v>
      </c>
      <c r="E51" s="703"/>
      <c r="F51" s="1675"/>
      <c r="G51" s="1000">
        <v>1.43E-2</v>
      </c>
      <c r="H51" s="1003">
        <f t="shared" si="8"/>
        <v>1.43E-2</v>
      </c>
      <c r="I51" s="3067">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48">
      <c r="A52" s="3069" t="s">
        <v>3268</v>
      </c>
      <c r="B52" s="1262">
        <f>估价对象房地状况!C19</f>
        <v>0</v>
      </c>
      <c r="C52" s="1887" t="s">
        <v>3443</v>
      </c>
      <c r="D52" s="1002">
        <f t="shared" si="7"/>
        <v>7.7999999999999996E-3</v>
      </c>
      <c r="E52" s="703"/>
      <c r="F52" s="1675"/>
      <c r="G52" s="1000">
        <v>7.7999999999999996E-3</v>
      </c>
      <c r="H52" s="1003">
        <f t="shared" si="8"/>
        <v>7.7999999999999996E-3</v>
      </c>
      <c r="I52" s="3067">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7.200000000000003">
      <c r="A53" s="1970" t="s">
        <v>2052</v>
      </c>
      <c r="B53" s="1974" t="s">
        <v>2053</v>
      </c>
      <c r="C53" s="1887" t="s">
        <v>3443</v>
      </c>
      <c r="D53" s="1002">
        <f t="shared" si="7"/>
        <v>3.2000000000000002E-3</v>
      </c>
      <c r="E53" s="703"/>
      <c r="F53" s="1675"/>
      <c r="G53" s="1000">
        <v>3.2000000000000002E-3</v>
      </c>
      <c r="H53" s="1003">
        <f t="shared" si="8"/>
        <v>3.2000000000000002E-3</v>
      </c>
      <c r="I53" s="3067">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t="s">
        <v>3445</v>
      </c>
      <c r="D54" s="1002">
        <f t="shared" si="7"/>
        <v>0</v>
      </c>
      <c r="E54" s="703"/>
      <c r="F54" s="1675"/>
      <c r="G54" s="1000">
        <v>5.1999999999999998E-3</v>
      </c>
      <c r="H54" s="1003">
        <f t="shared" si="8"/>
        <v>5.1999999999999998E-3</v>
      </c>
      <c r="I54" s="3067">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36">
      <c r="A55" s="1970" t="s">
        <v>2055</v>
      </c>
      <c r="B55" s="1975" t="s">
        <v>2056</v>
      </c>
      <c r="C55" s="1887" t="s">
        <v>3443</v>
      </c>
      <c r="D55" s="1002">
        <f t="shared" si="7"/>
        <v>3.2000000000000002E-3</v>
      </c>
      <c r="E55" s="703"/>
      <c r="F55" s="1675"/>
      <c r="G55" s="1000">
        <v>3.2000000000000002E-3</v>
      </c>
      <c r="H55" s="1003">
        <f t="shared" si="8"/>
        <v>3.2000000000000002E-3</v>
      </c>
      <c r="I55" s="3067">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6.4">
      <c r="A56" s="1976" t="s">
        <v>2057</v>
      </c>
      <c r="B56" s="1240" t="str">
        <f>估价对象房地状况!C21</f>
        <v>估价对象所在区域公共配套设施齐备情况</v>
      </c>
      <c r="C56" s="1887" t="s">
        <v>3443</v>
      </c>
      <c r="D56" s="1002">
        <f t="shared" si="7"/>
        <v>3.2000000000000002E-3</v>
      </c>
      <c r="E56" s="703"/>
      <c r="F56" s="1675"/>
      <c r="G56" s="1000">
        <v>3.2000000000000002E-3</v>
      </c>
      <c r="H56" s="1003">
        <f t="shared" si="8"/>
        <v>3.2000000000000002E-3</v>
      </c>
      <c r="I56" s="3067">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6.4">
      <c r="A57" s="1976" t="s">
        <v>2058</v>
      </c>
      <c r="B57" s="1262" t="str">
        <f>估价对象房地状况!C22</f>
        <v>估价对象所在区域基础设施水平</v>
      </c>
      <c r="C57" s="1887" t="s">
        <v>3442</v>
      </c>
      <c r="D57" s="1002">
        <f t="shared" si="7"/>
        <v>1.04E-2</v>
      </c>
      <c r="E57" s="703"/>
      <c r="F57" s="1675"/>
      <c r="G57" s="1000">
        <v>5.1999999999999998E-3</v>
      </c>
      <c r="H57" s="1003">
        <f t="shared" si="8"/>
        <v>5.1999999999999998E-3</v>
      </c>
      <c r="I57" s="3067">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40.200000000000003" thickBot="1">
      <c r="A58" s="1977" t="s">
        <v>2059</v>
      </c>
      <c r="B58" s="1978" t="str">
        <f>估价对象房地状况!C20</f>
        <v>区域自然环境：；人文环境；综合评价环境状况一般</v>
      </c>
      <c r="C58" s="1887" t="s">
        <v>3443</v>
      </c>
      <c r="D58" s="1002">
        <f t="shared" si="7"/>
        <v>3.2000000000000002E-3</v>
      </c>
      <c r="E58" s="704"/>
      <c r="F58" s="1675"/>
      <c r="G58" s="1000">
        <v>3.2000000000000002E-3</v>
      </c>
      <c r="H58" s="1003">
        <f t="shared" si="8"/>
        <v>3.2000000000000002E-3</v>
      </c>
      <c r="I58" s="3068">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4.4">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9.6">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3268</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2052</v>
      </c>
      <c r="B64" s="1974" t="s">
        <v>2053</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2055</v>
      </c>
      <c r="B66" s="1975" t="s">
        <v>2056</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2057</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2058</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2.8">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2065</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2057</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2058</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2055</v>
      </c>
      <c r="B78" s="1975" t="s">
        <v>2056</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2059</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2066</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2067</v>
      </c>
      <c r="B81" s="1968">
        <f>1+E83</f>
        <v>1</v>
      </c>
      <c r="C81" s="699"/>
      <c r="D81" s="699"/>
      <c r="E81" s="700"/>
      <c r="F81" s="1969"/>
      <c r="G81" s="3"/>
      <c r="H81" s="3"/>
      <c r="I81" s="3"/>
      <c r="J81" s="4"/>
      <c r="K81" s="4"/>
      <c r="L81" s="4"/>
      <c r="M81" s="4"/>
      <c r="N81" s="4"/>
      <c r="Z81" s="1845"/>
      <c r="AA81" s="1895"/>
      <c r="AG81" s="1058"/>
      <c r="AK81" s="1895"/>
    </row>
    <row r="82" spans="1:37" ht="25.2">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9.6">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2065</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2057</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2058</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2055</v>
      </c>
      <c r="B89" s="1975" t="s">
        <v>2069</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3270</v>
      </c>
      <c r="B92" s="2309"/>
      <c r="C92" s="2309" t="s">
        <v>3279</v>
      </c>
      <c r="D92" s="2309" t="s">
        <v>3280</v>
      </c>
      <c r="E92" s="3051" t="s">
        <v>3281</v>
      </c>
      <c r="F92" s="3081" t="s">
        <v>3282</v>
      </c>
      <c r="G92" s="2309" t="s">
        <v>3283</v>
      </c>
      <c r="H92" s="3088" t="s">
        <v>3286</v>
      </c>
      <c r="I92" s="2309" t="s">
        <v>3287</v>
      </c>
      <c r="J92" s="2150" t="s">
        <v>3288</v>
      </c>
      <c r="K92" s="2150" t="s">
        <v>3289</v>
      </c>
      <c r="L92" s="2150" t="s">
        <v>3290</v>
      </c>
      <c r="M92" s="2150" t="s">
        <v>3291</v>
      </c>
      <c r="N92" s="2150" t="s">
        <v>3292</v>
      </c>
    </row>
    <row r="93" spans="1:37" ht="24">
      <c r="A93" s="3069" t="s">
        <v>3271</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3272</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3268</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3273</v>
      </c>
      <c r="B96" s="3085" t="s">
        <v>3284</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3274</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3275</v>
      </c>
      <c r="B98" s="3086" t="s">
        <v>3285</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3276</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3277</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3278</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0" t="s">
        <v>3293</v>
      </c>
      <c r="B103" s="3470"/>
      <c r="C103" s="3470"/>
      <c r="D103" s="3470"/>
      <c r="E103" s="3470"/>
      <c r="F103" s="3470"/>
      <c r="G103" s="3470"/>
      <c r="H103" s="3470"/>
      <c r="I103" s="3470"/>
      <c r="J103" s="3470"/>
      <c r="K103" s="1667"/>
      <c r="L103" s="1667"/>
      <c r="M103" s="1667"/>
      <c r="N103" s="1667"/>
    </row>
    <row r="104" spans="1:14">
      <c r="A104" s="3471" t="s">
        <v>3294</v>
      </c>
      <c r="B104" s="3471" t="s">
        <v>3295</v>
      </c>
      <c r="C104" s="3089" t="s">
        <v>3296</v>
      </c>
      <c r="D104" s="3090"/>
      <c r="E104" s="3090"/>
      <c r="F104" s="3090"/>
      <c r="G104" s="3090"/>
      <c r="H104" s="3090"/>
      <c r="I104" s="3090"/>
      <c r="J104" s="3091"/>
      <c r="K104" s="3092"/>
      <c r="L104" s="3092"/>
      <c r="M104" s="3092"/>
      <c r="N104" s="3092"/>
    </row>
    <row r="105" spans="1:14">
      <c r="A105" s="3471"/>
      <c r="B105" s="3471"/>
      <c r="C105" s="3093" t="s">
        <v>3297</v>
      </c>
      <c r="D105" s="3093" t="s">
        <v>3298</v>
      </c>
      <c r="E105" s="3093" t="s">
        <v>3299</v>
      </c>
      <c r="F105" s="3093" t="s">
        <v>3300</v>
      </c>
      <c r="G105" s="3093" t="s">
        <v>3301</v>
      </c>
      <c r="H105" s="3093" t="s">
        <v>3302</v>
      </c>
      <c r="I105" s="3093" t="s">
        <v>3303</v>
      </c>
      <c r="J105" s="3093" t="s">
        <v>3304</v>
      </c>
      <c r="K105" s="3093" t="s">
        <v>3305</v>
      </c>
      <c r="L105" s="3093" t="s">
        <v>3306</v>
      </c>
      <c r="M105" s="3093" t="s">
        <v>3307</v>
      </c>
      <c r="N105" s="3093" t="s">
        <v>3308</v>
      </c>
    </row>
    <row r="106" spans="1:14">
      <c r="A106" s="3457" t="s">
        <v>3309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8"/>
      <c r="B111" s="3093" t="s">
        <v>3267</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0" t="s">
        <v>3310</v>
      </c>
      <c r="B113" s="3460"/>
      <c r="C113" s="3460"/>
      <c r="D113" s="3460"/>
      <c r="E113" s="3460"/>
      <c r="F113" s="3460"/>
      <c r="G113" s="3460"/>
      <c r="H113" s="3460"/>
      <c r="I113" s="3460"/>
      <c r="J113" s="346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3311</v>
      </c>
      <c r="B116" s="3113">
        <f>G3</f>
        <v>0</v>
      </c>
      <c r="C116" s="3098" t="s">
        <v>3312</v>
      </c>
      <c r="D116" s="3099">
        <f>SUMPRODUCT((A118:A122=F116)*(B117:M117=H116)*B118:M122)</f>
        <v>0.94899999999999995</v>
      </c>
      <c r="E116" s="162" t="s">
        <v>3313</v>
      </c>
      <c r="F116" s="3100" t="str">
        <f>E2</f>
        <v>商业</v>
      </c>
      <c r="G116" s="162" t="s">
        <v>3314</v>
      </c>
      <c r="H116" s="3100" t="str">
        <f>G2</f>
        <v>六级</v>
      </c>
      <c r="I116" s="162"/>
      <c r="J116" s="3101"/>
      <c r="K116" s="3101"/>
      <c r="L116" s="3101"/>
      <c r="M116" s="3101"/>
      <c r="N116" s="3096"/>
    </row>
    <row r="117" spans="1:14">
      <c r="A117" s="3102"/>
      <c r="B117" s="3103" t="s">
        <v>3315</v>
      </c>
      <c r="C117" s="3103" t="s">
        <v>3316</v>
      </c>
      <c r="D117" s="3103" t="s">
        <v>3317</v>
      </c>
      <c r="E117" s="3104" t="s">
        <v>3318</v>
      </c>
      <c r="F117" s="3104" t="s">
        <v>3319</v>
      </c>
      <c r="G117" s="3104" t="s">
        <v>3320</v>
      </c>
      <c r="H117" s="3105" t="s">
        <v>3321</v>
      </c>
      <c r="I117" s="3105" t="s">
        <v>3322</v>
      </c>
      <c r="J117" s="3106" t="s">
        <v>3323</v>
      </c>
      <c r="K117" s="3106" t="s">
        <v>3324</v>
      </c>
      <c r="L117" s="3106" t="s">
        <v>3325</v>
      </c>
      <c r="M117" s="3107" t="s">
        <v>3326</v>
      </c>
      <c r="N117" s="3096"/>
    </row>
    <row r="118" spans="1:14">
      <c r="A118" s="3056" t="s">
        <v>3327</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3328</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3329</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3330</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6" priority="6" stopIfTrue="1" operator="notEqual">
      <formula>"——"</formula>
    </cfRule>
  </conditionalFormatting>
  <conditionalFormatting sqref="F61">
    <cfRule type="cellIs" dxfId="45" priority="5" stopIfTrue="1" operator="notEqual">
      <formula>"——"</formula>
    </cfRule>
  </conditionalFormatting>
  <conditionalFormatting sqref="F72">
    <cfRule type="cellIs" dxfId="44" priority="4" stopIfTrue="1" operator="notEqual">
      <formula>"——"</formula>
    </cfRule>
  </conditionalFormatting>
  <conditionalFormatting sqref="F83">
    <cfRule type="cellIs" dxfId="43" priority="3" stopIfTrue="1" operator="notEqual">
      <formula>"——"</formula>
    </cfRule>
  </conditionalFormatting>
  <conditionalFormatting sqref="H50:H58 H61:H69 H72:H80 H83:H91">
    <cfRule type="cellIs" dxfId="42" priority="2" operator="notEqual">
      <formula>"——"</formula>
    </cfRule>
  </conditionalFormatting>
  <conditionalFormatting sqref="H93:H101">
    <cfRule type="cellIs" dxfId="41" priority="1" operator="notEqual">
      <formula>"——"</formula>
    </cfRule>
  </conditionalFormatting>
  <dataValidations count="12">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E2" xr:uid="{00000000-0002-0000-2600-000004000000}">
      <formula1>"商业,办公,住宅,工业,公共服务"</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61:C69 C72:C80 C50:C58 C83:C91 C93:C101" xr:uid="{00000000-0002-0000-2600-000008000000}">
      <formula1>五等判定</formula1>
    </dataValidation>
    <dataValidation type="list" allowBlank="1" showInputMessage="1" showErrorMessage="1" sqref="H23" xr:uid="{00000000-0002-0000-2600-000009000000}">
      <formula1>"地价指数,季度增幅（自定义）,按公示增长率计算"</formula1>
    </dataValidation>
    <dataValidation type="list" allowBlank="1" showInputMessage="1" showErrorMessage="1" sqref="H20:O20" xr:uid="{00000000-0002-0000-2600-00000A000000}">
      <formula1>七通一平</formula1>
    </dataValidation>
    <dataValidation type="list" allowBlank="1" showInputMessage="1" showErrorMessage="1" sqref="J23" xr:uid="{00000000-0002-0000-2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3" t="s">
        <v>2607</v>
      </c>
      <c r="B20" s="3476" t="s">
        <v>2628</v>
      </c>
      <c r="C20" s="2841" t="s">
        <v>2439</v>
      </c>
      <c r="D20" s="2842"/>
      <c r="E20" s="2843">
        <v>1</v>
      </c>
      <c r="F20" s="2844" t="s">
        <v>2440</v>
      </c>
      <c r="G20" s="2844"/>
    </row>
    <row r="21" spans="1:13" ht="19.5" customHeight="1">
      <c r="A21" s="3484"/>
      <c r="B21" s="3477"/>
      <c r="C21" s="2845" t="s">
        <v>2441</v>
      </c>
      <c r="D21" s="2846"/>
      <c r="E21" s="2847">
        <v>1</v>
      </c>
      <c r="F21" s="2844" t="s">
        <v>2442</v>
      </c>
      <c r="G21" s="2844"/>
    </row>
    <row r="22" spans="1:13" ht="19.5" customHeight="1">
      <c r="A22" s="3484"/>
      <c r="B22" s="3477"/>
      <c r="C22" s="2845" t="s">
        <v>2443</v>
      </c>
      <c r="D22" s="2846"/>
      <c r="E22" s="2847">
        <v>0.9</v>
      </c>
      <c r="F22" s="2844" t="s">
        <v>2444</v>
      </c>
      <c r="G22" s="2844"/>
    </row>
    <row r="23" spans="1:13" ht="19.5" customHeight="1">
      <c r="A23" s="3484"/>
      <c r="B23" s="3477"/>
      <c r="C23" s="2845" t="s">
        <v>2445</v>
      </c>
      <c r="D23" s="2846"/>
      <c r="E23" s="2847">
        <v>0.9</v>
      </c>
      <c r="F23" s="2844" t="s">
        <v>2446</v>
      </c>
      <c r="G23" s="2844"/>
    </row>
    <row r="24" spans="1:13" ht="19.5" customHeight="1">
      <c r="A24" s="3484"/>
      <c r="B24" s="3477"/>
      <c r="C24" s="2845" t="s">
        <v>2447</v>
      </c>
      <c r="D24" s="2846"/>
      <c r="E24" s="2847">
        <v>0.8</v>
      </c>
      <c r="F24" s="2844" t="s">
        <v>2448</v>
      </c>
      <c r="G24" s="2844"/>
    </row>
    <row r="25" spans="1:13" ht="19.5" customHeight="1" thickBot="1">
      <c r="A25" s="3485"/>
      <c r="B25" s="3478"/>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9" t="s">
        <v>2631</v>
      </c>
      <c r="B27" s="3476" t="s">
        <v>2612</v>
      </c>
      <c r="C27" s="2841" t="s">
        <v>2452</v>
      </c>
      <c r="D27" s="2842"/>
      <c r="E27" s="2843">
        <v>1</v>
      </c>
      <c r="F27" s="2844" t="s">
        <v>2453</v>
      </c>
      <c r="G27" s="2844"/>
    </row>
    <row r="28" spans="1:13" ht="19.5" customHeight="1">
      <c r="A28" s="3480"/>
      <c r="B28" s="3477"/>
      <c r="C28" s="2845" t="s">
        <v>2454</v>
      </c>
      <c r="D28" s="2846"/>
      <c r="E28" s="2847">
        <v>1</v>
      </c>
      <c r="F28" s="2844" t="s">
        <v>2455</v>
      </c>
      <c r="G28" s="2844"/>
    </row>
    <row r="29" spans="1:13" ht="19.5" customHeight="1">
      <c r="A29" s="3480"/>
      <c r="B29" s="3477"/>
      <c r="C29" s="2845" t="s">
        <v>2456</v>
      </c>
      <c r="D29" s="2846"/>
      <c r="E29" s="2847">
        <v>0.8</v>
      </c>
      <c r="F29" s="2844" t="s">
        <v>2457</v>
      </c>
      <c r="G29" s="2844"/>
    </row>
    <row r="30" spans="1:13" ht="19.5" customHeight="1">
      <c r="A30" s="3480"/>
      <c r="B30" s="3477"/>
      <c r="C30" s="2845" t="s">
        <v>2458</v>
      </c>
      <c r="D30" s="2846"/>
      <c r="E30" s="2847">
        <v>0.8</v>
      </c>
      <c r="F30" s="2844" t="s">
        <v>2459</v>
      </c>
      <c r="G30" s="2844"/>
    </row>
    <row r="31" spans="1:13" ht="19.5" customHeight="1">
      <c r="A31" s="3480"/>
      <c r="B31" s="3477"/>
      <c r="C31" s="2845" t="s">
        <v>2460</v>
      </c>
      <c r="D31" s="2846"/>
      <c r="E31" s="2847">
        <v>0.8</v>
      </c>
      <c r="F31" s="2844" t="s">
        <v>2461</v>
      </c>
      <c r="G31" s="2844"/>
    </row>
    <row r="32" spans="1:13" ht="19.5" customHeight="1">
      <c r="A32" s="3480"/>
      <c r="B32" s="3477"/>
      <c r="C32" s="2845" t="s">
        <v>2462</v>
      </c>
      <c r="D32" s="2846"/>
      <c r="E32" s="2847">
        <v>0.7</v>
      </c>
      <c r="F32" s="2844" t="s">
        <v>2463</v>
      </c>
      <c r="G32" s="2844"/>
    </row>
    <row r="33" spans="1:7" ht="19.5" customHeight="1">
      <c r="A33" s="3480"/>
      <c r="B33" s="3477"/>
      <c r="C33" s="2845" t="s">
        <v>2464</v>
      </c>
      <c r="D33" s="2846"/>
      <c r="E33" s="2847">
        <v>0.8</v>
      </c>
      <c r="F33" s="2844" t="s">
        <v>2465</v>
      </c>
      <c r="G33" s="2844"/>
    </row>
    <row r="34" spans="1:7" ht="19.5" customHeight="1">
      <c r="A34" s="3480"/>
      <c r="B34" s="3477"/>
      <c r="C34" s="2845" t="s">
        <v>2466</v>
      </c>
      <c r="D34" s="2846"/>
      <c r="E34" s="2847">
        <v>0.6</v>
      </c>
      <c r="F34" s="2844" t="s">
        <v>2467</v>
      </c>
      <c r="G34" s="2844"/>
    </row>
    <row r="35" spans="1:7" ht="19.5" customHeight="1">
      <c r="A35" s="3480"/>
      <c r="B35" s="3477"/>
      <c r="C35" s="2845" t="s">
        <v>2468</v>
      </c>
      <c r="D35" s="2846"/>
      <c r="E35" s="2847">
        <v>0.2</v>
      </c>
      <c r="F35" s="2844" t="s">
        <v>2469</v>
      </c>
      <c r="G35" s="2844"/>
    </row>
    <row r="36" spans="1:7" ht="19.5" customHeight="1">
      <c r="A36" s="3480"/>
      <c r="B36" s="3477"/>
      <c r="C36" s="2845" t="s">
        <v>2470</v>
      </c>
      <c r="D36" s="2846"/>
      <c r="E36" s="2847">
        <v>0.2</v>
      </c>
      <c r="F36" s="2844" t="s">
        <v>2471</v>
      </c>
      <c r="G36" s="2844"/>
    </row>
    <row r="37" spans="1:7" ht="19.5" customHeight="1">
      <c r="A37" s="3480"/>
      <c r="B37" s="3482" t="s">
        <v>2632</v>
      </c>
      <c r="C37" s="2845" t="s">
        <v>2472</v>
      </c>
      <c r="D37" s="2846"/>
      <c r="E37" s="2847">
        <v>0.6</v>
      </c>
      <c r="F37" s="2844" t="s">
        <v>2473</v>
      </c>
      <c r="G37" s="2844"/>
    </row>
    <row r="38" spans="1:7" ht="19.5" customHeight="1">
      <c r="A38" s="3480"/>
      <c r="B38" s="3477"/>
      <c r="C38" s="2845" t="s">
        <v>2474</v>
      </c>
      <c r="D38" s="2846"/>
      <c r="E38" s="2847">
        <v>0.6</v>
      </c>
      <c r="F38" s="2844" t="s">
        <v>2475</v>
      </c>
      <c r="G38" s="2844"/>
    </row>
    <row r="39" spans="1:7" ht="19.5" customHeight="1" thickBot="1">
      <c r="A39" s="3481"/>
      <c r="B39" s="3478"/>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83" t="s">
        <v>2610</v>
      </c>
      <c r="B41" s="3476" t="s">
        <v>2634</v>
      </c>
      <c r="C41" s="2841" t="s">
        <v>2479</v>
      </c>
      <c r="D41" s="2842"/>
      <c r="E41" s="2843">
        <v>1</v>
      </c>
      <c r="F41" s="2844" t="s">
        <v>2480</v>
      </c>
      <c r="G41" s="2844"/>
    </row>
    <row r="42" spans="1:7" ht="19.5" customHeight="1">
      <c r="A42" s="3484"/>
      <c r="B42" s="3477"/>
      <c r="C42" s="2845" t="s">
        <v>2481</v>
      </c>
      <c r="D42" s="2846"/>
      <c r="E42" s="2847">
        <v>1</v>
      </c>
      <c r="F42" s="2844" t="s">
        <v>2482</v>
      </c>
      <c r="G42" s="2844"/>
    </row>
    <row r="43" spans="1:7" ht="19.5" customHeight="1">
      <c r="A43" s="3484"/>
      <c r="B43" s="3486"/>
      <c r="C43" s="2845" t="s">
        <v>2483</v>
      </c>
      <c r="D43" s="2846"/>
      <c r="E43" s="2847">
        <v>1.5</v>
      </c>
      <c r="F43" s="2844" t="s">
        <v>2484</v>
      </c>
      <c r="G43" s="2844"/>
    </row>
    <row r="44" spans="1:7" ht="19.5" customHeight="1">
      <c r="A44" s="3484"/>
      <c r="B44" s="2856" t="s">
        <v>2635</v>
      </c>
      <c r="C44" s="2845" t="s">
        <v>2636</v>
      </c>
      <c r="D44" s="2846"/>
      <c r="E44" s="2847">
        <v>2</v>
      </c>
      <c r="F44" s="2844" t="s">
        <v>2485</v>
      </c>
      <c r="G44" s="2844"/>
    </row>
    <row r="45" spans="1:7" ht="19.5" customHeight="1">
      <c r="A45" s="3484"/>
      <c r="B45" s="3482" t="s">
        <v>2637</v>
      </c>
      <c r="C45" s="2845" t="s">
        <v>2486</v>
      </c>
      <c r="D45" s="2846"/>
      <c r="E45" s="2847">
        <v>1</v>
      </c>
      <c r="F45" s="2844" t="s">
        <v>2487</v>
      </c>
      <c r="G45" s="2844"/>
    </row>
    <row r="46" spans="1:7" ht="19.5" customHeight="1">
      <c r="A46" s="3484"/>
      <c r="B46" s="3477"/>
      <c r="C46" s="2845" t="s">
        <v>2488</v>
      </c>
      <c r="D46" s="2846"/>
      <c r="E46" s="2847">
        <v>1</v>
      </c>
      <c r="F46" s="2844" t="s">
        <v>2489</v>
      </c>
      <c r="G46" s="2844"/>
    </row>
    <row r="47" spans="1:7" ht="19.5" customHeight="1">
      <c r="A47" s="3484"/>
      <c r="B47" s="3477"/>
      <c r="C47" s="2845" t="s">
        <v>2490</v>
      </c>
      <c r="D47" s="2846"/>
      <c r="E47" s="2847">
        <v>1</v>
      </c>
      <c r="F47" s="2844" t="s">
        <v>2491</v>
      </c>
      <c r="G47" s="2844"/>
    </row>
    <row r="48" spans="1:7" ht="19.5" customHeight="1">
      <c r="A48" s="3484"/>
      <c r="B48" s="3477"/>
      <c r="C48" s="2845" t="s">
        <v>2492</v>
      </c>
      <c r="D48" s="2846"/>
      <c r="E48" s="2847">
        <v>1</v>
      </c>
      <c r="F48" s="2844" t="s">
        <v>2493</v>
      </c>
      <c r="G48" s="2844"/>
    </row>
    <row r="49" spans="1:7" ht="19.5" customHeight="1">
      <c r="A49" s="3484"/>
      <c r="B49" s="3477"/>
      <c r="C49" s="2845" t="s">
        <v>2494</v>
      </c>
      <c r="D49" s="2846"/>
      <c r="E49" s="2847">
        <v>1</v>
      </c>
      <c r="F49" s="2844" t="s">
        <v>2495</v>
      </c>
      <c r="G49" s="2844"/>
    </row>
    <row r="50" spans="1:7" ht="19.5" customHeight="1">
      <c r="A50" s="3484"/>
      <c r="B50" s="3477"/>
      <c r="C50" s="2845" t="s">
        <v>2496</v>
      </c>
      <c r="D50" s="2846"/>
      <c r="E50" s="2847">
        <v>1</v>
      </c>
      <c r="F50" s="2844" t="s">
        <v>2497</v>
      </c>
      <c r="G50" s="2844"/>
    </row>
    <row r="51" spans="1:7" ht="19.5" customHeight="1" thickBot="1">
      <c r="A51" s="3485"/>
      <c r="B51" s="3478"/>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82" t="s">
        <v>2651</v>
      </c>
      <c r="C73" s="2830" t="s">
        <v>2652</v>
      </c>
      <c r="D73" s="2830" t="s">
        <v>2653</v>
      </c>
      <c r="E73" s="2856">
        <v>0.2</v>
      </c>
      <c r="F73" s="2856">
        <v>25</v>
      </c>
    </row>
    <row r="74" spans="1:7" ht="24">
      <c r="A74" s="2856">
        <v>2</v>
      </c>
      <c r="B74" s="3477"/>
      <c r="C74" s="2830" t="s">
        <v>2654</v>
      </c>
      <c r="D74" s="2830" t="s">
        <v>2655</v>
      </c>
      <c r="E74" s="2856">
        <v>0.2</v>
      </c>
      <c r="F74" s="2856">
        <v>25</v>
      </c>
    </row>
    <row r="75" spans="1:7" ht="24">
      <c r="A75" s="2856">
        <v>3</v>
      </c>
      <c r="B75" s="3477"/>
      <c r="C75" s="2830" t="s">
        <v>2656</v>
      </c>
      <c r="D75" s="2830" t="s">
        <v>2657</v>
      </c>
      <c r="E75" s="2856">
        <v>0.2</v>
      </c>
      <c r="F75" s="2856">
        <v>25</v>
      </c>
    </row>
    <row r="76" spans="1:7" ht="14.4">
      <c r="A76" s="2856">
        <v>4</v>
      </c>
      <c r="B76" s="3477"/>
      <c r="C76" s="2830" t="s">
        <v>2658</v>
      </c>
      <c r="D76" s="2830" t="s">
        <v>2659</v>
      </c>
      <c r="E76" s="2856">
        <v>0.15</v>
      </c>
      <c r="F76" s="2856">
        <v>20</v>
      </c>
    </row>
    <row r="77" spans="1:7" ht="24">
      <c r="A77" s="2856">
        <v>5</v>
      </c>
      <c r="B77" s="3477"/>
      <c r="C77" s="2830" t="s">
        <v>2660</v>
      </c>
      <c r="D77" s="2830" t="s">
        <v>2661</v>
      </c>
      <c r="E77" s="2856">
        <v>0.15</v>
      </c>
      <c r="F77" s="2856">
        <v>20</v>
      </c>
    </row>
    <row r="78" spans="1:7" ht="24">
      <c r="A78" s="2856">
        <v>6</v>
      </c>
      <c r="B78" s="3477"/>
      <c r="C78" s="2830" t="s">
        <v>2662</v>
      </c>
      <c r="D78" s="2830" t="s">
        <v>2663</v>
      </c>
      <c r="E78" s="2856">
        <v>0.15</v>
      </c>
      <c r="F78" s="2856">
        <v>20</v>
      </c>
    </row>
    <row r="79" spans="1:7" ht="24">
      <c r="A79" s="2856">
        <v>7</v>
      </c>
      <c r="B79" s="3477"/>
      <c r="C79" s="2830" t="s">
        <v>2664</v>
      </c>
      <c r="D79" s="2830" t="s">
        <v>2665</v>
      </c>
      <c r="E79" s="2856">
        <v>0.15</v>
      </c>
      <c r="F79" s="2856">
        <v>20</v>
      </c>
    </row>
    <row r="80" spans="1:7" ht="24">
      <c r="A80" s="2856">
        <v>8</v>
      </c>
      <c r="B80" s="3477"/>
      <c r="C80" s="2830" t="s">
        <v>2666</v>
      </c>
      <c r="D80" s="2830" t="s">
        <v>2667</v>
      </c>
      <c r="E80" s="2856">
        <v>0.1</v>
      </c>
      <c r="F80" s="2856">
        <v>15</v>
      </c>
    </row>
    <row r="81" spans="1:6" ht="24">
      <c r="A81" s="2856">
        <v>9</v>
      </c>
      <c r="B81" s="3477"/>
      <c r="C81" s="2830" t="s">
        <v>2668</v>
      </c>
      <c r="D81" s="2830" t="s">
        <v>2669</v>
      </c>
      <c r="E81" s="2856">
        <v>0.1</v>
      </c>
      <c r="F81" s="2856">
        <v>15</v>
      </c>
    </row>
    <row r="82" spans="1:6" ht="24">
      <c r="A82" s="2856">
        <v>10</v>
      </c>
      <c r="B82" s="3477"/>
      <c r="C82" s="2830" t="s">
        <v>2670</v>
      </c>
      <c r="D82" s="2830" t="s">
        <v>2671</v>
      </c>
      <c r="E82" s="2856">
        <v>0.1</v>
      </c>
      <c r="F82" s="2856">
        <v>15</v>
      </c>
    </row>
    <row r="83" spans="1:6" ht="24">
      <c r="A83" s="2856">
        <v>11</v>
      </c>
      <c r="B83" s="3477"/>
      <c r="C83" s="2830" t="s">
        <v>2672</v>
      </c>
      <c r="D83" s="2830" t="s">
        <v>2673</v>
      </c>
      <c r="E83" s="2856">
        <v>0.1</v>
      </c>
      <c r="F83" s="2856">
        <v>15</v>
      </c>
    </row>
    <row r="84" spans="1:6" ht="24">
      <c r="A84" s="2856">
        <v>12</v>
      </c>
      <c r="B84" s="3477"/>
      <c r="C84" s="2830" t="s">
        <v>2674</v>
      </c>
      <c r="D84" s="2830" t="s">
        <v>2675</v>
      </c>
      <c r="E84" s="2856">
        <v>0.1</v>
      </c>
      <c r="F84" s="2856">
        <v>15</v>
      </c>
    </row>
    <row r="85" spans="1:6" ht="24">
      <c r="A85" s="2856">
        <v>13</v>
      </c>
      <c r="B85" s="3477"/>
      <c r="C85" s="2830" t="s">
        <v>2676</v>
      </c>
      <c r="D85" s="2830" t="s">
        <v>2677</v>
      </c>
      <c r="E85" s="2856">
        <v>0.1</v>
      </c>
      <c r="F85" s="2856">
        <v>15</v>
      </c>
    </row>
    <row r="86" spans="1:6" ht="24">
      <c r="A86" s="2856">
        <v>14</v>
      </c>
      <c r="B86" s="3477"/>
      <c r="C86" s="2830" t="s">
        <v>2678</v>
      </c>
      <c r="D86" s="2830" t="s">
        <v>2679</v>
      </c>
      <c r="E86" s="2856">
        <v>0.1</v>
      </c>
      <c r="F86" s="2856">
        <v>15</v>
      </c>
    </row>
    <row r="87" spans="1:6" ht="24">
      <c r="A87" s="2856">
        <v>15</v>
      </c>
      <c r="B87" s="3477"/>
      <c r="C87" s="2830" t="s">
        <v>2680</v>
      </c>
      <c r="D87" s="2830" t="s">
        <v>2681</v>
      </c>
      <c r="E87" s="2856">
        <v>0.1</v>
      </c>
      <c r="F87" s="2856">
        <v>15</v>
      </c>
    </row>
    <row r="88" spans="1:6" ht="24">
      <c r="A88" s="2856">
        <v>16</v>
      </c>
      <c r="B88" s="3477"/>
      <c r="C88" s="2830" t="s">
        <v>2682</v>
      </c>
      <c r="D88" s="2830" t="s">
        <v>2683</v>
      </c>
      <c r="E88" s="2856">
        <v>0.1</v>
      </c>
      <c r="F88" s="2856">
        <v>15</v>
      </c>
    </row>
    <row r="89" spans="1:6" ht="24">
      <c r="A89" s="2856">
        <v>17</v>
      </c>
      <c r="B89" s="3486"/>
      <c r="C89" s="2830" t="s">
        <v>2684</v>
      </c>
      <c r="D89" s="2830" t="s">
        <v>2685</v>
      </c>
      <c r="E89" s="2856">
        <v>0.1</v>
      </c>
      <c r="F89" s="2856">
        <v>15</v>
      </c>
    </row>
    <row r="90" spans="1:6" ht="14.4">
      <c r="A90" s="2856">
        <v>18</v>
      </c>
      <c r="B90" s="3482" t="s">
        <v>2686</v>
      </c>
      <c r="C90" s="2830" t="s">
        <v>2687</v>
      </c>
      <c r="D90" s="2830" t="s">
        <v>2688</v>
      </c>
      <c r="E90" s="2856">
        <v>0.2</v>
      </c>
      <c r="F90" s="2856">
        <v>25</v>
      </c>
    </row>
    <row r="91" spans="1:6" ht="24">
      <c r="A91" s="2856">
        <v>19</v>
      </c>
      <c r="B91" s="3477"/>
      <c r="C91" s="2830" t="s">
        <v>2689</v>
      </c>
      <c r="D91" s="2830" t="s">
        <v>2690</v>
      </c>
      <c r="E91" s="2856">
        <v>0.2</v>
      </c>
      <c r="F91" s="2856">
        <v>25</v>
      </c>
    </row>
    <row r="92" spans="1:6" ht="14.4">
      <c r="A92" s="2856">
        <v>20</v>
      </c>
      <c r="B92" s="3477"/>
      <c r="C92" s="2830" t="s">
        <v>2691</v>
      </c>
      <c r="D92" s="2830" t="s">
        <v>2692</v>
      </c>
      <c r="E92" s="2856">
        <v>0.15</v>
      </c>
      <c r="F92" s="2856">
        <v>20</v>
      </c>
    </row>
    <row r="93" spans="1:6" ht="24">
      <c r="A93" s="2856">
        <v>21</v>
      </c>
      <c r="B93" s="3477"/>
      <c r="C93" s="2830" t="s">
        <v>2693</v>
      </c>
      <c r="D93" s="2830" t="s">
        <v>2694</v>
      </c>
      <c r="E93" s="2856">
        <v>0.15</v>
      </c>
      <c r="F93" s="2856">
        <v>20</v>
      </c>
    </row>
    <row r="94" spans="1:6" ht="24">
      <c r="A94" s="2856">
        <v>22</v>
      </c>
      <c r="B94" s="3477"/>
      <c r="C94" s="2830" t="s">
        <v>2695</v>
      </c>
      <c r="D94" s="2830" t="s">
        <v>2696</v>
      </c>
      <c r="E94" s="2856">
        <v>0.15</v>
      </c>
      <c r="F94" s="2856">
        <v>20</v>
      </c>
    </row>
    <row r="95" spans="1:6" ht="36">
      <c r="A95" s="2856">
        <v>23</v>
      </c>
      <c r="B95" s="3477"/>
      <c r="C95" s="2830" t="s">
        <v>2697</v>
      </c>
      <c r="D95" s="2830" t="s">
        <v>2698</v>
      </c>
      <c r="E95" s="2856">
        <v>0.15</v>
      </c>
      <c r="F95" s="2856">
        <v>20</v>
      </c>
    </row>
    <row r="96" spans="1:6" ht="24">
      <c r="A96" s="2856">
        <v>24</v>
      </c>
      <c r="B96" s="3477"/>
      <c r="C96" s="2830" t="s">
        <v>2699</v>
      </c>
      <c r="D96" s="2830" t="s">
        <v>2700</v>
      </c>
      <c r="E96" s="2856">
        <v>0.1</v>
      </c>
      <c r="F96" s="2856">
        <v>15</v>
      </c>
    </row>
    <row r="97" spans="1:6" ht="24">
      <c r="A97" s="2856">
        <v>25</v>
      </c>
      <c r="B97" s="3477"/>
      <c r="C97" s="2830" t="s">
        <v>2701</v>
      </c>
      <c r="D97" s="2830" t="s">
        <v>2702</v>
      </c>
      <c r="E97" s="2856">
        <v>0.1</v>
      </c>
      <c r="F97" s="2856">
        <v>15</v>
      </c>
    </row>
    <row r="98" spans="1:6" ht="24">
      <c r="A98" s="2856">
        <v>26</v>
      </c>
      <c r="B98" s="3477"/>
      <c r="C98" s="2830" t="s">
        <v>2703</v>
      </c>
      <c r="D98" s="2830" t="s">
        <v>2704</v>
      </c>
      <c r="E98" s="2856">
        <v>0.1</v>
      </c>
      <c r="F98" s="2856">
        <v>15</v>
      </c>
    </row>
    <row r="99" spans="1:6" ht="24">
      <c r="A99" s="2856">
        <v>27</v>
      </c>
      <c r="B99" s="3477"/>
      <c r="C99" s="2830" t="s">
        <v>2705</v>
      </c>
      <c r="D99" s="2830" t="s">
        <v>2706</v>
      </c>
      <c r="E99" s="2856">
        <v>0.1</v>
      </c>
      <c r="F99" s="2856">
        <v>15</v>
      </c>
    </row>
    <row r="100" spans="1:6" ht="24">
      <c r="A100" s="2856">
        <v>28</v>
      </c>
      <c r="B100" s="3477"/>
      <c r="C100" s="2830" t="s">
        <v>2707</v>
      </c>
      <c r="D100" s="2830" t="s">
        <v>2708</v>
      </c>
      <c r="E100" s="2856">
        <v>0.1</v>
      </c>
      <c r="F100" s="2856">
        <v>15</v>
      </c>
    </row>
    <row r="101" spans="1:6" ht="24">
      <c r="A101" s="2856">
        <v>29</v>
      </c>
      <c r="B101" s="3477"/>
      <c r="C101" s="2830" t="s">
        <v>2709</v>
      </c>
      <c r="D101" s="2830" t="s">
        <v>2710</v>
      </c>
      <c r="E101" s="2856">
        <v>0.1</v>
      </c>
      <c r="F101" s="2856">
        <v>15</v>
      </c>
    </row>
    <row r="102" spans="1:6" ht="24">
      <c r="A102" s="2856">
        <v>30</v>
      </c>
      <c r="B102" s="3477"/>
      <c r="C102" s="2830" t="s">
        <v>2711</v>
      </c>
      <c r="D102" s="2830" t="s">
        <v>2712</v>
      </c>
      <c r="E102" s="2856">
        <v>0.1</v>
      </c>
      <c r="F102" s="2856">
        <v>15</v>
      </c>
    </row>
    <row r="103" spans="1:6" ht="24">
      <c r="A103" s="2856">
        <v>31</v>
      </c>
      <c r="B103" s="3477"/>
      <c r="C103" s="2830" t="s">
        <v>2713</v>
      </c>
      <c r="D103" s="2830" t="s">
        <v>2714</v>
      </c>
      <c r="E103" s="2856">
        <v>0.1</v>
      </c>
      <c r="F103" s="2856">
        <v>15</v>
      </c>
    </row>
    <row r="104" spans="1:6" ht="24">
      <c r="A104" s="2856">
        <v>32</v>
      </c>
      <c r="B104" s="3477"/>
      <c r="C104" s="2830" t="s">
        <v>2715</v>
      </c>
      <c r="D104" s="2830" t="s">
        <v>2716</v>
      </c>
      <c r="E104" s="2856">
        <v>0.1</v>
      </c>
      <c r="F104" s="2856">
        <v>15</v>
      </c>
    </row>
    <row r="105" spans="1:6" ht="24">
      <c r="A105" s="2856">
        <v>33</v>
      </c>
      <c r="B105" s="3477"/>
      <c r="C105" s="2830" t="s">
        <v>2717</v>
      </c>
      <c r="D105" s="2830" t="s">
        <v>2718</v>
      </c>
      <c r="E105" s="2856">
        <v>0.1</v>
      </c>
      <c r="F105" s="2856">
        <v>15</v>
      </c>
    </row>
    <row r="106" spans="1:6" ht="24">
      <c r="A106" s="2856">
        <v>34</v>
      </c>
      <c r="B106" s="3486"/>
      <c r="C106" s="2830" t="s">
        <v>2719</v>
      </c>
      <c r="D106" s="2830" t="s">
        <v>2720</v>
      </c>
      <c r="E106" s="2856">
        <v>0.1</v>
      </c>
      <c r="F106" s="2856">
        <v>15</v>
      </c>
    </row>
    <row r="107" spans="1:6" ht="36">
      <c r="A107" s="2856">
        <v>35</v>
      </c>
      <c r="B107" s="3482" t="s">
        <v>2721</v>
      </c>
      <c r="C107" s="2856" t="s">
        <v>2722</v>
      </c>
      <c r="D107" s="2830" t="s">
        <v>2723</v>
      </c>
      <c r="E107" s="2856">
        <v>0.15</v>
      </c>
      <c r="F107" s="2856">
        <v>20</v>
      </c>
    </row>
    <row r="108" spans="1:6" ht="24">
      <c r="A108" s="2856">
        <v>36</v>
      </c>
      <c r="B108" s="3477"/>
      <c r="C108" s="2856" t="s">
        <v>2724</v>
      </c>
      <c r="D108" s="2830" t="s">
        <v>2725</v>
      </c>
      <c r="E108" s="2856">
        <v>0.15</v>
      </c>
      <c r="F108" s="2856">
        <v>20</v>
      </c>
    </row>
    <row r="109" spans="1:6" ht="24">
      <c r="A109" s="2856">
        <v>37</v>
      </c>
      <c r="B109" s="3477"/>
      <c r="C109" s="2856" t="s">
        <v>2726</v>
      </c>
      <c r="D109" s="2830" t="s">
        <v>2727</v>
      </c>
      <c r="E109" s="2856">
        <v>0.15</v>
      </c>
      <c r="F109" s="2856">
        <v>20</v>
      </c>
    </row>
    <row r="110" spans="1:6" ht="24">
      <c r="A110" s="2856">
        <v>38</v>
      </c>
      <c r="B110" s="3477"/>
      <c r="C110" s="2856" t="s">
        <v>2728</v>
      </c>
      <c r="D110" s="2830" t="s">
        <v>2729</v>
      </c>
      <c r="E110" s="2856">
        <v>0.1</v>
      </c>
      <c r="F110" s="2856">
        <v>15</v>
      </c>
    </row>
    <row r="111" spans="1:6" ht="24">
      <c r="A111" s="2856">
        <v>39</v>
      </c>
      <c r="B111" s="3477"/>
      <c r="C111" s="2856" t="s">
        <v>2730</v>
      </c>
      <c r="D111" s="2830" t="s">
        <v>2731</v>
      </c>
      <c r="E111" s="2856">
        <v>0.1</v>
      </c>
      <c r="F111" s="2856">
        <v>15</v>
      </c>
    </row>
    <row r="112" spans="1:6" ht="24">
      <c r="A112" s="2856">
        <v>40</v>
      </c>
      <c r="B112" s="3486"/>
      <c r="C112" s="2856" t="s">
        <v>2732</v>
      </c>
      <c r="D112" s="2830" t="s">
        <v>2733</v>
      </c>
      <c r="E112" s="2856">
        <v>0.1</v>
      </c>
      <c r="F112" s="2856">
        <v>15</v>
      </c>
    </row>
    <row r="113" spans="1:6" ht="24">
      <c r="A113" s="2856">
        <v>41</v>
      </c>
      <c r="B113" s="3487" t="s">
        <v>2734</v>
      </c>
      <c r="C113" s="2856" t="s">
        <v>2735</v>
      </c>
      <c r="D113" s="2830" t="s">
        <v>2736</v>
      </c>
      <c r="E113" s="2856">
        <v>0.1</v>
      </c>
      <c r="F113" s="2856">
        <v>15</v>
      </c>
    </row>
    <row r="114" spans="1:6" ht="24">
      <c r="A114" s="2856">
        <v>42</v>
      </c>
      <c r="B114" s="3487"/>
      <c r="C114" s="2856" t="s">
        <v>2737</v>
      </c>
      <c r="D114" s="2830" t="s">
        <v>2738</v>
      </c>
      <c r="E114" s="2856">
        <v>0.1</v>
      </c>
      <c r="F114" s="2856">
        <v>15</v>
      </c>
    </row>
    <row r="115" spans="1:6" ht="24">
      <c r="A115" s="2856">
        <v>43</v>
      </c>
      <c r="B115" s="3487"/>
      <c r="C115" s="2856" t="s">
        <v>2739</v>
      </c>
      <c r="D115" s="2830" t="s">
        <v>2740</v>
      </c>
      <c r="E115" s="2856">
        <v>0.1</v>
      </c>
      <c r="F115" s="2856">
        <v>15</v>
      </c>
    </row>
    <row r="116" spans="1:6" ht="24">
      <c r="A116" s="2856">
        <v>44</v>
      </c>
      <c r="B116" s="3482" t="s">
        <v>2741</v>
      </c>
      <c r="C116" s="2856" t="s">
        <v>2742</v>
      </c>
      <c r="D116" s="2830" t="s">
        <v>2743</v>
      </c>
      <c r="E116" s="2856">
        <v>0.1</v>
      </c>
      <c r="F116" s="2856">
        <v>15</v>
      </c>
    </row>
    <row r="117" spans="1:6" ht="24">
      <c r="A117" s="2856">
        <v>45</v>
      </c>
      <c r="B117" s="3486"/>
      <c r="C117" s="2830" t="s">
        <v>2744</v>
      </c>
      <c r="D117" s="2830" t="s">
        <v>2745</v>
      </c>
      <c r="E117" s="2856">
        <v>0.1</v>
      </c>
      <c r="F117" s="2856">
        <v>15</v>
      </c>
    </row>
    <row r="118" spans="1:6" ht="24">
      <c r="A118" s="2856">
        <v>46</v>
      </c>
      <c r="B118" s="3482" t="s">
        <v>2746</v>
      </c>
      <c r="C118" s="2856" t="s">
        <v>2747</v>
      </c>
      <c r="D118" s="2830" t="s">
        <v>2748</v>
      </c>
      <c r="E118" s="2856">
        <v>0.1</v>
      </c>
      <c r="F118" s="2856">
        <v>15</v>
      </c>
    </row>
    <row r="119" spans="1:6" ht="24">
      <c r="A119" s="2856">
        <v>47</v>
      </c>
      <c r="B119" s="3486"/>
      <c r="C119" s="2856" t="s">
        <v>2749</v>
      </c>
      <c r="D119" s="2830" t="s">
        <v>2750</v>
      </c>
      <c r="E119" s="2856">
        <v>0.1</v>
      </c>
      <c r="F119" s="2856">
        <v>15</v>
      </c>
    </row>
    <row r="120" spans="1:6" ht="24">
      <c r="A120" s="2856">
        <v>48</v>
      </c>
      <c r="B120" s="3482" t="s">
        <v>2751</v>
      </c>
      <c r="C120" s="2856" t="s">
        <v>2752</v>
      </c>
      <c r="D120" s="2830" t="s">
        <v>2753</v>
      </c>
      <c r="E120" s="2856">
        <v>0.1</v>
      </c>
      <c r="F120" s="2856">
        <v>15</v>
      </c>
    </row>
    <row r="121" spans="1:6" ht="24">
      <c r="A121" s="2856">
        <v>49</v>
      </c>
      <c r="B121" s="3486"/>
      <c r="C121" s="2856" t="s">
        <v>2754</v>
      </c>
      <c r="D121" s="2830" t="s">
        <v>2755</v>
      </c>
      <c r="E121" s="2856">
        <v>0.1</v>
      </c>
      <c r="F121" s="2856">
        <v>15</v>
      </c>
    </row>
    <row r="122" spans="1:6" ht="24">
      <c r="A122" s="2856">
        <v>50</v>
      </c>
      <c r="B122" s="3487" t="s">
        <v>2756</v>
      </c>
      <c r="C122" s="2856" t="s">
        <v>2757</v>
      </c>
      <c r="D122" s="2830" t="s">
        <v>2758</v>
      </c>
      <c r="E122" s="2856">
        <v>0.1</v>
      </c>
      <c r="F122" s="2856">
        <v>15</v>
      </c>
    </row>
    <row r="123" spans="1:6" ht="24">
      <c r="A123" s="2856">
        <v>51</v>
      </c>
      <c r="B123" s="3487"/>
      <c r="C123" s="2856" t="s">
        <v>2759</v>
      </c>
      <c r="D123" s="2830" t="s">
        <v>2760</v>
      </c>
      <c r="E123" s="2856">
        <v>0.1</v>
      </c>
      <c r="F123" s="2856">
        <v>15</v>
      </c>
    </row>
    <row r="124" spans="1:6" ht="24">
      <c r="A124" s="2856">
        <v>52</v>
      </c>
      <c r="B124" s="3487" t="s">
        <v>2761</v>
      </c>
      <c r="C124" s="2856" t="s">
        <v>2762</v>
      </c>
      <c r="D124" s="2830" t="s">
        <v>2763</v>
      </c>
      <c r="E124" s="2856">
        <v>0.1</v>
      </c>
      <c r="F124" s="2856">
        <v>15</v>
      </c>
    </row>
    <row r="125" spans="1:6" ht="24">
      <c r="A125" s="2856">
        <v>53</v>
      </c>
      <c r="B125" s="3487"/>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87" t="s">
        <v>2769</v>
      </c>
      <c r="C127" s="2856" t="s">
        <v>2770</v>
      </c>
      <c r="D127" s="2830" t="s">
        <v>2771</v>
      </c>
      <c r="E127" s="2856">
        <v>0.1</v>
      </c>
      <c r="F127" s="2856">
        <v>15</v>
      </c>
    </row>
    <row r="128" spans="1:6" ht="24">
      <c r="A128" s="2856">
        <v>56</v>
      </c>
      <c r="B128" s="3487"/>
      <c r="C128" s="2856" t="s">
        <v>2772</v>
      </c>
      <c r="D128" s="2830" t="s">
        <v>2773</v>
      </c>
      <c r="E128" s="2856">
        <v>0.1</v>
      </c>
      <c r="F128" s="2856">
        <v>15</v>
      </c>
    </row>
    <row r="129" spans="1:6" ht="24">
      <c r="A129" s="2856">
        <v>57</v>
      </c>
      <c r="B129" s="3487"/>
      <c r="C129" s="2856" t="s">
        <v>2774</v>
      </c>
      <c r="D129" s="2830" t="s">
        <v>2775</v>
      </c>
      <c r="E129" s="2856">
        <v>0.1</v>
      </c>
      <c r="F129" s="2856">
        <v>15</v>
      </c>
    </row>
    <row r="130" spans="1:6" ht="24">
      <c r="A130" s="2856">
        <v>58</v>
      </c>
      <c r="B130" s="3487" t="s">
        <v>2776</v>
      </c>
      <c r="C130" s="2856" t="s">
        <v>2777</v>
      </c>
      <c r="D130" s="2830" t="s">
        <v>2778</v>
      </c>
      <c r="E130" s="2856">
        <v>0.1</v>
      </c>
      <c r="F130" s="2856">
        <v>15</v>
      </c>
    </row>
    <row r="131" spans="1:6" ht="24">
      <c r="A131" s="2856">
        <v>59</v>
      </c>
      <c r="B131" s="3487"/>
      <c r="C131" s="2856" t="s">
        <v>2779</v>
      </c>
      <c r="D131" s="2830" t="s">
        <v>2780</v>
      </c>
      <c r="E131" s="2856">
        <v>0.1</v>
      </c>
      <c r="F131" s="2856">
        <v>15</v>
      </c>
    </row>
    <row r="132" spans="1:6" ht="24">
      <c r="A132" s="2856">
        <v>60</v>
      </c>
      <c r="B132" s="3482" t="s">
        <v>2781</v>
      </c>
      <c r="C132" s="2856" t="s">
        <v>2782</v>
      </c>
      <c r="D132" s="2830" t="s">
        <v>2783</v>
      </c>
      <c r="E132" s="2856">
        <v>0.1</v>
      </c>
      <c r="F132" s="2856">
        <v>15</v>
      </c>
    </row>
    <row r="133" spans="1:6" ht="24">
      <c r="A133" s="2856">
        <v>61</v>
      </c>
      <c r="B133" s="3486"/>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87" t="s">
        <v>2789</v>
      </c>
      <c r="C135" s="2856" t="s">
        <v>2790</v>
      </c>
      <c r="D135" s="2830" t="s">
        <v>2791</v>
      </c>
      <c r="E135" s="2856">
        <v>0.1</v>
      </c>
      <c r="F135" s="2856">
        <v>15</v>
      </c>
    </row>
    <row r="136" spans="1:6" ht="24">
      <c r="A136" s="2856">
        <v>64</v>
      </c>
      <c r="B136" s="3487"/>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28926</v>
      </c>
      <c r="C2" s="2" t="s">
        <v>106</v>
      </c>
      <c r="D2" s="191"/>
      <c r="E2" s="191"/>
      <c r="F2" s="191"/>
      <c r="G2" s="191"/>
    </row>
    <row r="3" spans="1:7" s="192" customFormat="1" ht="18" customHeight="1" thickBot="1">
      <c r="A3" s="195" t="s">
        <v>58</v>
      </c>
      <c r="B3" s="196">
        <f ca="1">ROUND(B2*10000/'数据-汇总表'!E3,0)</f>
        <v>603241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450</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v>
      </c>
      <c r="D10" s="795">
        <f>'数据-汇总表'!E6</f>
        <v>479.51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v>
      </c>
      <c r="D19" s="204">
        <f>'数据-汇总表'!E3</f>
        <v>479.51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4206</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4206</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28764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161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144</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v>
      </c>
      <c r="D37" s="209">
        <f>'数据-汇总表'!E3</f>
        <v>479.51</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5.9999999999999995E-4</v>
      </c>
      <c r="D44" s="230"/>
      <c r="E44" s="230"/>
      <c r="F44" s="231"/>
      <c r="G44" s="3353"/>
    </row>
    <row r="45" spans="1:7" s="206" customFormat="1" ht="13.5" customHeight="1">
      <c r="A45" s="731" t="s">
        <v>341</v>
      </c>
      <c r="B45" s="236" t="s">
        <v>85</v>
      </c>
      <c r="C45" s="237">
        <f>C46</f>
        <v>33</v>
      </c>
      <c r="D45" s="227">
        <f>C47</f>
        <v>4.0000000000000001E-3</v>
      </c>
      <c r="E45" s="228" t="s">
        <v>102</v>
      </c>
      <c r="F45" s="238"/>
      <c r="G45" s="239" t="s">
        <v>434</v>
      </c>
    </row>
    <row r="46" spans="1:7" s="206" customFormat="1" ht="13.5" customHeight="1">
      <c r="A46" s="734" t="s">
        <v>349</v>
      </c>
      <c r="B46" s="240" t="s">
        <v>427</v>
      </c>
      <c r="C46" s="241">
        <f>ROUND((C33+C39)*F27,0)</f>
        <v>33</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219</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162</v>
      </c>
      <c r="D51" s="224"/>
      <c r="E51" s="224"/>
      <c r="F51" s="256"/>
      <c r="G51" s="226" t="s">
        <v>37</v>
      </c>
    </row>
    <row r="52" spans="1:7" s="200" customFormat="1" ht="16.8" thickBot="1">
      <c r="A52" s="257" t="s">
        <v>38</v>
      </c>
      <c r="B52" s="258"/>
      <c r="C52" s="259">
        <f ca="1">C31+C51</f>
        <v>28926</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0" t="s">
        <v>2839</v>
      </c>
      <c r="B1" s="3490"/>
      <c r="C1" s="3490"/>
      <c r="D1" s="3490"/>
      <c r="E1" s="3490"/>
      <c r="F1" s="3490"/>
      <c r="G1" s="3491"/>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88"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89"/>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927</v>
      </c>
      <c r="B2" s="3181" t="s">
        <v>928</v>
      </c>
      <c r="C2" s="3181" t="s">
        <v>929</v>
      </c>
      <c r="D2" s="3181" t="str">
        <f>'42号结果表'!D116</f>
        <v>出让国有建设用地使用权价值</v>
      </c>
      <c r="E2" s="3181"/>
      <c r="F2" s="3181" t="str">
        <f>'42号结果表'!F116</f>
        <v>在建建筑物价值</v>
      </c>
      <c r="G2" s="3181"/>
      <c r="H2" s="3181" t="str">
        <f>IF(项目基本情况!B9="房地产市场价值","房地产市场价值","房地产价值")</f>
        <v>房地产价值</v>
      </c>
      <c r="I2" s="3181"/>
    </row>
    <row r="3" spans="1:9" ht="15.6">
      <c r="A3" s="3182"/>
      <c r="B3" s="3182"/>
      <c r="C3" s="3182"/>
      <c r="D3" s="801" t="s">
        <v>924</v>
      </c>
      <c r="E3" s="801" t="s">
        <v>930</v>
      </c>
      <c r="F3" s="801" t="s">
        <v>924</v>
      </c>
      <c r="G3" s="801" t="s">
        <v>925</v>
      </c>
      <c r="H3" s="801" t="s">
        <v>924</v>
      </c>
      <c r="I3" s="801" t="s">
        <v>925</v>
      </c>
    </row>
    <row r="4" spans="1:9" ht="45">
      <c r="A4" s="1403" t="str">
        <f>项目基本情况!S2</f>
        <v>北京市大兴区兴丰街（二段）36-60号（双号）2幢1至2层42、54、56号房地产</v>
      </c>
      <c r="B4" s="801">
        <f>项目基本情况!C17</f>
        <v>479.51</v>
      </c>
      <c r="C4" s="801">
        <f>项目基本情况!C18</f>
        <v>0</v>
      </c>
      <c r="D4" s="801">
        <f>'42号结果表'!D118</f>
        <v>0</v>
      </c>
      <c r="E4" s="801">
        <f>'42号结果表'!E118</f>
        <v>0</v>
      </c>
      <c r="F4" s="801">
        <f>'42号结果表'!F118</f>
        <v>0</v>
      </c>
      <c r="G4" s="801">
        <f>'42号结果表'!G118</f>
        <v>0</v>
      </c>
      <c r="H4" s="801">
        <f ca="1">'42号结果表'!H118</f>
        <v>541.05259999999998</v>
      </c>
      <c r="I4" s="801">
        <f ca="1">'42号结果表'!I118</f>
        <v>35040</v>
      </c>
    </row>
    <row r="5" spans="1:9" ht="30" customHeight="1">
      <c r="A5" s="3182" t="s">
        <v>926</v>
      </c>
      <c r="B5" s="3182"/>
      <c r="C5" s="3182"/>
      <c r="D5" s="3182" t="str">
        <f>'42号结果表'!D119</f>
        <v>零元整</v>
      </c>
      <c r="E5" s="3182"/>
      <c r="F5" s="3182" t="str">
        <f>'42号结果表'!F119</f>
        <v>零元整</v>
      </c>
      <c r="G5" s="3182"/>
      <c r="H5" s="3182" t="str">
        <f ca="1">'42号结果表'!H119</f>
        <v>伍佰肆拾壹万零伍佰贰拾陆元整</v>
      </c>
      <c r="I5" s="3182"/>
    </row>
    <row r="6" spans="1:9" ht="15.6">
      <c r="A6" s="3183" t="str">
        <f>'42号结果表'!A120</f>
        <v>估价师知悉的法定优先受偿款</v>
      </c>
      <c r="B6" s="3183"/>
      <c r="C6" s="3183"/>
      <c r="D6" s="3183">
        <f>'42号结果表'!D120</f>
        <v>0</v>
      </c>
      <c r="E6" s="3183"/>
      <c r="F6" s="3183"/>
      <c r="G6" s="3183"/>
      <c r="H6" s="3183"/>
      <c r="I6" s="3183"/>
    </row>
    <row r="7" spans="1:9" ht="15">
      <c r="A7" s="3182" t="s">
        <v>926</v>
      </c>
      <c r="B7" s="3182"/>
      <c r="C7" s="3182"/>
      <c r="D7" s="3184" t="str">
        <f>'42号结果表'!D121</f>
        <v>零元整</v>
      </c>
      <c r="E7" s="3185"/>
      <c r="F7" s="3185"/>
      <c r="G7" s="3185"/>
      <c r="H7" s="3185"/>
      <c r="I7" s="3186"/>
    </row>
    <row r="8" spans="1:9" ht="15.6">
      <c r="A8" s="3183" t="str">
        <f>'42号结果表'!A122</f>
        <v>房地产抵押价值</v>
      </c>
      <c r="B8" s="3183"/>
      <c r="C8" s="3183"/>
      <c r="D8" s="3183">
        <f ca="1">'42号结果表'!D122</f>
        <v>541.05259999999998</v>
      </c>
      <c r="E8" s="3183"/>
      <c r="F8" s="3183"/>
      <c r="G8" s="3183"/>
      <c r="H8" s="3183"/>
      <c r="I8" s="3183"/>
    </row>
    <row r="9" spans="1:9" ht="15">
      <c r="A9" s="3182" t="s">
        <v>926</v>
      </c>
      <c r="B9" s="3182"/>
      <c r="C9" s="3182"/>
      <c r="D9" s="3182" t="str">
        <f ca="1">'42号结果表'!D123</f>
        <v>伍佰肆拾壹万零伍佰贰拾陆元整</v>
      </c>
      <c r="E9" s="3182"/>
      <c r="F9" s="3182"/>
      <c r="G9" s="3182"/>
      <c r="H9" s="3182"/>
      <c r="I9" s="3182"/>
    </row>
    <row r="10" spans="1:9" ht="15.6">
      <c r="A10" s="3183" t="str">
        <f>'42号结果表'!A124</f>
        <v/>
      </c>
      <c r="B10" s="3183"/>
      <c r="C10" s="3183"/>
      <c r="D10" s="3183" t="str">
        <f>'42号结果表'!D124</f>
        <v>——</v>
      </c>
      <c r="E10" s="3183"/>
      <c r="F10" s="3183"/>
      <c r="G10" s="3183"/>
      <c r="H10" s="3183"/>
      <c r="I10" s="3183"/>
    </row>
    <row r="11" spans="1:9" ht="15">
      <c r="A11" s="3182" t="s">
        <v>926</v>
      </c>
      <c r="B11" s="3182"/>
      <c r="C11" s="3182"/>
      <c r="D11" s="3182" t="e">
        <f>'42号结果表'!D125</f>
        <v>#VALUE!</v>
      </c>
      <c r="E11" s="3182"/>
      <c r="F11" s="3182"/>
      <c r="G11" s="3182"/>
      <c r="H11" s="3182"/>
      <c r="I11" s="3182"/>
    </row>
    <row r="12" spans="1:9" ht="15.6">
      <c r="A12" s="3183" t="str">
        <f>'42号结果表'!A126</f>
        <v/>
      </c>
      <c r="B12" s="3183"/>
      <c r="C12" s="3183"/>
      <c r="D12" s="3183" t="str">
        <f>'42号结果表'!D126</f>
        <v>——</v>
      </c>
      <c r="E12" s="3183"/>
      <c r="F12" s="3183"/>
      <c r="G12" s="3183"/>
      <c r="H12" s="3183"/>
      <c r="I12" s="3183"/>
    </row>
    <row r="13" spans="1:9" ht="15.6" thickBot="1">
      <c r="A13" s="3187" t="s">
        <v>926</v>
      </c>
      <c r="B13" s="3187"/>
      <c r="C13" s="3187"/>
      <c r="D13" s="3187" t="e">
        <f>'42号结果表'!D127</f>
        <v>#VALUE!</v>
      </c>
      <c r="E13" s="3187"/>
      <c r="F13" s="3187"/>
      <c r="G13" s="3187"/>
      <c r="H13" s="3187"/>
      <c r="I13" s="3187"/>
    </row>
    <row r="14" spans="1:9" ht="14.4" thickTop="1">
      <c r="A14" s="3188" t="s">
        <v>931</v>
      </c>
      <c r="B14" s="3188"/>
      <c r="C14" s="3188"/>
      <c r="D14" s="3188"/>
      <c r="E14" s="3188"/>
      <c r="F14" s="3188"/>
      <c r="G14" s="3188"/>
      <c r="H14" s="3188"/>
      <c r="I14" s="3188"/>
    </row>
    <row r="16" spans="1:9" ht="17.399999999999999">
      <c r="A16" s="1404"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2" t="s">
        <v>3181</v>
      </c>
      <c r="B1" s="3492"/>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2812"/>
  </cols>
  <sheetData>
    <row r="1" spans="1:6">
      <c r="A1" s="3493" t="s">
        <v>3232</v>
      </c>
      <c r="B1" s="3493"/>
      <c r="C1" s="3493"/>
      <c r="D1" s="3493"/>
      <c r="E1" s="3493"/>
      <c r="F1" s="3494"/>
    </row>
    <row r="2" spans="1:6">
      <c r="A2" s="3001" t="s">
        <v>3233</v>
      </c>
    </row>
    <row r="3" spans="1:6">
      <c r="A3" s="3001" t="s">
        <v>3234</v>
      </c>
      <c r="F3" s="3002" t="s">
        <v>3235</v>
      </c>
    </row>
    <row r="4" spans="1:6">
      <c r="A4" s="3003" t="s">
        <v>671</v>
      </c>
      <c r="B4" s="3003" t="s">
        <v>672</v>
      </c>
      <c r="C4" s="3003" t="s">
        <v>21</v>
      </c>
      <c r="D4" s="3003" t="s">
        <v>673</v>
      </c>
      <c r="E4" s="3003" t="s">
        <v>3</v>
      </c>
      <c r="F4" s="3003" t="s">
        <v>3236</v>
      </c>
    </row>
    <row r="5" spans="1:6">
      <c r="A5" s="3004" t="s">
        <v>674</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6">
        <f>基准地价修正!G23</f>
        <v>45635</v>
      </c>
      <c r="B1" s="2928" t="s">
        <v>3380</v>
      </c>
      <c r="C1" s="2929"/>
      <c r="D1" s="2929"/>
      <c r="E1" s="2929"/>
      <c r="F1" s="2929"/>
      <c r="G1" s="2929"/>
      <c r="H1" s="2929"/>
      <c r="I1" s="2929"/>
      <c r="J1" s="2895"/>
      <c r="K1" s="2929" t="s">
        <v>453</v>
      </c>
      <c r="L1" s="2929"/>
      <c r="M1" s="2929"/>
      <c r="N1" s="2929"/>
      <c r="O1" s="2929"/>
      <c r="P1" s="2929"/>
      <c r="Q1" s="2895"/>
      <c r="R1" s="3495" t="s">
        <v>455</v>
      </c>
      <c r="S1" s="3496"/>
      <c r="T1" s="3496"/>
      <c r="U1" s="3496"/>
      <c r="V1" s="3496"/>
      <c r="W1" s="3496"/>
      <c r="X1" s="2895"/>
      <c r="Y1" s="3495" t="s">
        <v>456</v>
      </c>
      <c r="Z1" s="3496"/>
      <c r="AA1" s="3496"/>
      <c r="AB1" s="3496"/>
      <c r="AC1" s="3496"/>
      <c r="AD1" s="3496"/>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3385</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3373</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3369</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3368</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3366</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3365</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3364</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3362</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3353</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3383</v>
      </c>
    </row>
    <row r="24" spans="1:30">
      <c r="I24" s="1405" t="s">
        <v>2825</v>
      </c>
    </row>
    <row r="26" spans="1:30" s="2009" customFormat="1" ht="13.2">
      <c r="B26" s="2928" t="s">
        <v>3381</v>
      </c>
      <c r="C26" s="2929"/>
      <c r="D26" s="2929"/>
      <c r="E26" s="2929"/>
      <c r="F26" s="2929"/>
      <c r="G26" s="2929"/>
      <c r="H26" s="2929"/>
      <c r="I26" s="2929"/>
      <c r="J26" s="2895"/>
      <c r="K26" s="2929" t="s">
        <v>2826</v>
      </c>
      <c r="L26" s="2929"/>
      <c r="M26" s="2929"/>
      <c r="N26" s="2929"/>
      <c r="O26" s="2929"/>
      <c r="P26" s="2929"/>
      <c r="Q26" s="2895"/>
      <c r="R26" s="3495" t="s">
        <v>2827</v>
      </c>
      <c r="S26" s="3496"/>
      <c r="T26" s="3496"/>
      <c r="U26" s="3496"/>
      <c r="V26" s="3496"/>
      <c r="W26" s="3496"/>
      <c r="X26" s="2895"/>
      <c r="Y26" s="3495" t="s">
        <v>2828</v>
      </c>
      <c r="Z26" s="3496"/>
      <c r="AA26" s="3496"/>
      <c r="AB26" s="3496"/>
      <c r="AC26" s="3496"/>
      <c r="AD26" s="3496"/>
    </row>
    <row r="27" spans="1:30" s="2010" customFormat="1" ht="1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3.2">
      <c r="A28" s="2883" t="s">
        <v>2834</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3378</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3.2">
      <c r="A32" s="2040" t="s">
        <v>3371</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3372</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3370</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3368</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3367</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3365</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3364</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3363</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3353</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0" t="s">
        <v>451</v>
      </c>
      <c r="C1" s="3500"/>
      <c r="D1" s="3500"/>
      <c r="E1" s="3500"/>
      <c r="F1" s="3500"/>
      <c r="G1" s="3496" t="s">
        <v>452</v>
      </c>
      <c r="H1" s="3496"/>
      <c r="I1" s="3496"/>
      <c r="J1" s="3496"/>
      <c r="K1" s="3496"/>
      <c r="L1" s="3496"/>
      <c r="N1" s="3496" t="s">
        <v>453</v>
      </c>
      <c r="O1" s="3496"/>
      <c r="P1" s="3496"/>
      <c r="Q1" s="3496"/>
      <c r="S1" s="3496" t="s">
        <v>454</v>
      </c>
      <c r="T1" s="3496"/>
      <c r="U1" s="3496"/>
      <c r="V1" s="3496"/>
      <c r="X1" s="3495" t="s">
        <v>455</v>
      </c>
      <c r="Y1" s="3496"/>
      <c r="Z1" s="3496"/>
      <c r="AA1" s="3496"/>
      <c r="AB1" s="3496"/>
      <c r="AD1" s="3495" t="s">
        <v>456</v>
      </c>
      <c r="AE1" s="3496"/>
      <c r="AF1" s="3496"/>
      <c r="AG1" s="3496"/>
      <c r="AH1" s="3496"/>
    </row>
    <row r="2" spans="1:34" s="2010" customFormat="1" ht="15" thickBot="1">
      <c r="B2" s="2011" t="s">
        <v>457</v>
      </c>
      <c r="C2" s="2011" t="s">
        <v>458</v>
      </c>
      <c r="D2" s="2012" t="s">
        <v>459</v>
      </c>
      <c r="E2" s="2012" t="s">
        <v>460</v>
      </c>
      <c r="F2" s="2011" t="s">
        <v>461</v>
      </c>
      <c r="G2" s="2013"/>
      <c r="I2" s="2011" t="s">
        <v>457</v>
      </c>
      <c r="J2" s="2012" t="s">
        <v>675</v>
      </c>
      <c r="K2" s="2012" t="s">
        <v>308</v>
      </c>
      <c r="L2" s="2011" t="s">
        <v>461</v>
      </c>
      <c r="N2" s="2011" t="s">
        <v>457</v>
      </c>
      <c r="O2" s="2012" t="s">
        <v>675</v>
      </c>
      <c r="P2" s="2012" t="s">
        <v>308</v>
      </c>
      <c r="Q2" s="2011" t="s">
        <v>461</v>
      </c>
      <c r="S2" s="2011" t="s">
        <v>457</v>
      </c>
      <c r="T2" s="2012" t="s">
        <v>675</v>
      </c>
      <c r="U2" s="2012" t="s">
        <v>308</v>
      </c>
      <c r="V2" s="2011" t="s">
        <v>461</v>
      </c>
      <c r="X2" s="2011" t="s">
        <v>457</v>
      </c>
      <c r="Y2" s="2011" t="s">
        <v>458</v>
      </c>
      <c r="Z2" s="2012" t="s">
        <v>459</v>
      </c>
      <c r="AA2" s="2012" t="s">
        <v>460</v>
      </c>
      <c r="AB2" s="2011" t="s">
        <v>461</v>
      </c>
      <c r="AD2" s="2011" t="s">
        <v>457</v>
      </c>
      <c r="AE2" s="2011" t="s">
        <v>458</v>
      </c>
      <c r="AF2" s="2012" t="s">
        <v>459</v>
      </c>
      <c r="AG2" s="2012" t="s">
        <v>460</v>
      </c>
      <c r="AH2" s="2011" t="s">
        <v>461</v>
      </c>
    </row>
    <row r="3" spans="1:34" s="2018" customFormat="1" ht="14.4">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676</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462</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463</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464</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465</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466</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467</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468</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469</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470</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471</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472</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473</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474</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475</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476</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477</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478</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479</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480</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481</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482</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483</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484</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485</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486</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487</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488</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489</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490</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491</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492</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493</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494</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495</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496</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497</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498</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499</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500</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501</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502</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503</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504</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505</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506</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8" thickBot="1">
      <c r="A84" s="2040" t="s">
        <v>507</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8" thickBot="1">
      <c r="A85" s="2040" t="s">
        <v>508</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509</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510</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8" thickBot="1">
      <c r="A88" s="2068" t="s">
        <v>511</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512</v>
      </c>
      <c r="G91" s="2120"/>
      <c r="N91" s="2120"/>
      <c r="S91" s="2120"/>
    </row>
    <row r="92" spans="1:26" s="2119" customFormat="1">
      <c r="A92" s="2119" t="s">
        <v>513</v>
      </c>
      <c r="G92" s="2120"/>
      <c r="N92" s="2120"/>
      <c r="S92" s="2120"/>
    </row>
    <row r="93" spans="1:26" s="2119" customFormat="1">
      <c r="A93" s="2119" t="s">
        <v>514</v>
      </c>
      <c r="G93" s="2120"/>
      <c r="I93" s="2121"/>
      <c r="J93" s="2121"/>
      <c r="K93" s="2121"/>
      <c r="L93" s="2121"/>
      <c r="N93" s="2122"/>
      <c r="O93" s="2121"/>
      <c r="P93" s="2121"/>
      <c r="Q93" s="2121"/>
      <c r="S93" s="2122"/>
      <c r="T93" s="2121"/>
      <c r="U93" s="2121"/>
      <c r="V93" s="2121"/>
    </row>
    <row r="94" spans="1:26" s="2119" customFormat="1">
      <c r="A94" s="2119" t="s">
        <v>515</v>
      </c>
      <c r="G94" s="2120"/>
      <c r="N94" s="2120"/>
      <c r="S94" s="2120"/>
    </row>
    <row r="101" spans="7:22" ht="13.8" thickBot="1"/>
    <row r="102" spans="7:22">
      <c r="G102" s="2027"/>
      <c r="S102" s="2123" t="s">
        <v>516</v>
      </c>
      <c r="T102" s="2062" t="s">
        <v>517</v>
      </c>
      <c r="U102" s="2062" t="s">
        <v>518</v>
      </c>
      <c r="V102" s="2062" t="s">
        <v>519</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601</v>
      </c>
      <c r="C1" s="1211">
        <f>项目基本情况!D3</f>
        <v>45635</v>
      </c>
      <c r="D1" s="1217" t="s">
        <v>602</v>
      </c>
      <c r="E1" s="1212">
        <f>'数据-取费表'!B22</f>
        <v>2</v>
      </c>
      <c r="F1" s="1217" t="s">
        <v>603</v>
      </c>
      <c r="G1" s="1213">
        <f ca="1">INDIRECT("d"&amp;$K$1)/100</f>
        <v>3.1E-2</v>
      </c>
      <c r="H1" s="1217" t="s">
        <v>633</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604</v>
      </c>
      <c r="E2" s="1157"/>
      <c r="F2" s="1157" t="s">
        <v>605</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606</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607</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608</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609</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610</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611</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612</v>
      </c>
      <c r="C10" s="1185"/>
      <c r="D10" s="1185"/>
      <c r="E10" s="1185"/>
      <c r="F10" s="1185"/>
      <c r="G10" s="1185"/>
      <c r="H10" s="1185"/>
      <c r="I10" s="1159"/>
      <c r="J10" s="1159"/>
      <c r="K10" s="1185"/>
      <c r="L10" s="1186" t="s">
        <v>613</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614</v>
      </c>
      <c r="C11" s="1190" t="s">
        <v>615</v>
      </c>
      <c r="D11" s="1191" t="s">
        <v>616</v>
      </c>
      <c r="E11" s="1192"/>
      <c r="F11" s="1191" t="s">
        <v>617</v>
      </c>
      <c r="G11" s="1193"/>
      <c r="H11" s="1192"/>
      <c r="I11" s="1191" t="s">
        <v>618</v>
      </c>
      <c r="J11" s="1192"/>
      <c r="K11" s="1188"/>
      <c r="L11" s="1189" t="s">
        <v>614</v>
      </c>
      <c r="M11" s="1190" t="s">
        <v>615</v>
      </c>
      <c r="N11" s="1189" t="s">
        <v>619</v>
      </c>
      <c r="O11" s="1191" t="s">
        <v>620</v>
      </c>
      <c r="P11" s="1193"/>
      <c r="Q11" s="1193"/>
      <c r="R11" s="1193"/>
      <c r="S11" s="1193"/>
      <c r="T11" s="1192"/>
      <c r="U11" s="1191" t="s">
        <v>621</v>
      </c>
      <c r="V11" s="1193"/>
      <c r="W11" s="1192"/>
      <c r="X11" s="1189" t="s">
        <v>622</v>
      </c>
      <c r="Y11" s="1189" t="s">
        <v>623</v>
      </c>
      <c r="Z11" s="1189" t="s">
        <v>624</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625</v>
      </c>
      <c r="E12" s="1197" t="s">
        <v>626</v>
      </c>
      <c r="F12" s="1197" t="s">
        <v>627</v>
      </c>
      <c r="G12" s="1197" t="s">
        <v>628</v>
      </c>
      <c r="H12" s="1197" t="s">
        <v>610</v>
      </c>
      <c r="I12" s="1198" t="s">
        <v>629</v>
      </c>
      <c r="J12" s="1198" t="s">
        <v>629</v>
      </c>
      <c r="K12" s="1188"/>
      <c r="L12" s="1195"/>
      <c r="M12" s="1196"/>
      <c r="N12" s="1195"/>
      <c r="O12" s="1198" t="s">
        <v>630</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631</v>
      </c>
      <c r="C13" s="2574">
        <v>45586</v>
      </c>
      <c r="D13" s="1201">
        <v>3.1</v>
      </c>
      <c r="E13" s="1201">
        <f>D13</f>
        <v>3.1</v>
      </c>
      <c r="F13" s="1201">
        <f>D13</f>
        <v>3.1</v>
      </c>
      <c r="G13" s="1201">
        <f>D13</f>
        <v>3.1</v>
      </c>
      <c r="H13" s="1201">
        <v>3.6</v>
      </c>
      <c r="I13" s="1201"/>
      <c r="J13" s="1201"/>
      <c r="K13" s="1199"/>
      <c r="L13" s="1200" t="s">
        <v>631</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632</v>
      </c>
      <c r="Y42" s="1205" t="s">
        <v>632</v>
      </c>
      <c r="Z42" s="1205" t="s">
        <v>632</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632</v>
      </c>
      <c r="Y43" s="1205" t="s">
        <v>632</v>
      </c>
      <c r="Z43" s="1205" t="s">
        <v>632</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632</v>
      </c>
      <c r="Y44" s="1205" t="s">
        <v>632</v>
      </c>
      <c r="Z44" s="1205" t="s">
        <v>632</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632</v>
      </c>
      <c r="Y45" s="1205" t="s">
        <v>632</v>
      </c>
      <c r="Z45" s="1205" t="s">
        <v>632</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632</v>
      </c>
      <c r="Y46" s="1205" t="s">
        <v>632</v>
      </c>
      <c r="Z46" s="1205" t="s">
        <v>632</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632</v>
      </c>
      <c r="Y47" s="1205" t="s">
        <v>632</v>
      </c>
      <c r="Z47" s="1205" t="s">
        <v>632</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632</v>
      </c>
      <c r="Y48" s="1205" t="s">
        <v>632</v>
      </c>
      <c r="Z48" s="1205" t="s">
        <v>632</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632</v>
      </c>
      <c r="Y49" s="1205" t="s">
        <v>632</v>
      </c>
      <c r="Z49" s="1205" t="s">
        <v>632</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632</v>
      </c>
      <c r="Y50" s="1205" t="s">
        <v>632</v>
      </c>
      <c r="Z50" s="1205" t="s">
        <v>632</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632</v>
      </c>
      <c r="V51" s="1205" t="s">
        <v>632</v>
      </c>
      <c r="W51" s="1205" t="s">
        <v>632</v>
      </c>
      <c r="X51" s="1205" t="s">
        <v>632</v>
      </c>
      <c r="Y51" s="1205" t="s">
        <v>632</v>
      </c>
      <c r="Z51" s="1205" t="s">
        <v>632</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632</v>
      </c>
      <c r="J69" s="1205" t="s">
        <v>632</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9" t="s">
        <v>948</v>
      </c>
      <c r="B1" s="3189"/>
      <c r="C1" s="3189"/>
      <c r="D1" s="3189"/>
    </row>
    <row r="2" spans="1:4" ht="17.399999999999999">
      <c r="A2" s="3190" t="s">
        <v>932</v>
      </c>
      <c r="B2" s="3190"/>
      <c r="C2" s="3190"/>
      <c r="D2" s="3190"/>
    </row>
    <row r="3" spans="1:4" ht="17.399999999999999">
      <c r="A3" s="1407" t="s">
        <v>933</v>
      </c>
      <c r="B3" s="1407" t="s">
        <v>934</v>
      </c>
      <c r="C3" s="1407" t="s">
        <v>935</v>
      </c>
      <c r="D3" s="1407" t="s">
        <v>936</v>
      </c>
    </row>
    <row r="4" spans="1:4" ht="56.25" customHeight="1">
      <c r="A4" s="1408" t="str">
        <f>项目基本情况!B4</f>
        <v>郑燚</v>
      </c>
      <c r="B4" s="1409">
        <f ca="1">项目基本情况!C4</f>
        <v>1120070131</v>
      </c>
      <c r="C4" s="1410"/>
      <c r="D4" s="1411" t="s">
        <v>937</v>
      </c>
    </row>
    <row r="5" spans="1:4" ht="56.25" customHeight="1">
      <c r="A5" s="1408" t="str">
        <f>项目基本情况!D4</f>
        <v>崔锴</v>
      </c>
      <c r="B5" s="1409">
        <f ca="1">项目基本情况!E4</f>
        <v>1120100036</v>
      </c>
      <c r="C5" s="1412"/>
      <c r="D5" s="1411" t="s">
        <v>937</v>
      </c>
    </row>
    <row r="6" spans="1:4" ht="17.399999999999999">
      <c r="A6" s="3190" t="s">
        <v>938</v>
      </c>
      <c r="B6" s="3190"/>
      <c r="C6" s="3190"/>
      <c r="D6" s="3190"/>
    </row>
    <row r="7" spans="1:4" ht="17.399999999999999">
      <c r="A7" s="1407" t="s">
        <v>933</v>
      </c>
      <c r="B7" s="1409" t="s">
        <v>939</v>
      </c>
      <c r="C7" s="1407" t="s">
        <v>935</v>
      </c>
      <c r="D7" s="1407" t="s">
        <v>936</v>
      </c>
    </row>
    <row r="8" spans="1:4" ht="56.25" customHeight="1">
      <c r="A8" s="1413" t="s">
        <v>390</v>
      </c>
      <c r="B8" s="1413" t="s">
        <v>0</v>
      </c>
      <c r="C8" s="1410"/>
      <c r="D8" s="1411" t="s">
        <v>937</v>
      </c>
    </row>
    <row r="10" spans="1:4" ht="17.399999999999999">
      <c r="A10" s="1414" t="s">
        <v>940</v>
      </c>
    </row>
    <row r="11" spans="1:4" ht="30" customHeight="1">
      <c r="A11" s="3191" t="s">
        <v>941</v>
      </c>
      <c r="B11" s="3192"/>
      <c r="C11" s="3192"/>
      <c r="D11" s="3192"/>
    </row>
    <row r="12" spans="1:4" ht="15.6">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2" t="str">
        <f>IF(项目基本情况!B8="抵押","4.本次评估估价师所知悉的法定优先受偿款情况说明如下：","——")</f>
        <v>4.本次评估估价师所知悉的法定优先受偿款情况说明如下：</v>
      </c>
      <c r="B14" s="3193"/>
      <c r="C14" s="3193"/>
      <c r="D14" s="3193"/>
    </row>
    <row r="15" spans="1:4" ht="42" customHeight="1">
      <c r="A15" s="319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5" t="s">
        <v>942</v>
      </c>
      <c r="B16" s="3195"/>
      <c r="C16" s="3195"/>
      <c r="D16" s="3195"/>
    </row>
    <row r="17" spans="1:4" ht="144" customHeight="1">
      <c r="A17" s="3195" t="s">
        <v>943</v>
      </c>
      <c r="B17" s="3195"/>
      <c r="C17" s="3195"/>
      <c r="D17" s="3195"/>
    </row>
    <row r="18" spans="1:4" ht="15.75" customHeight="1">
      <c r="A18" s="3192" t="str">
        <f>IF(项目基本情况!B8="抵押",'42号结果表'!K120,"——")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42号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6" t="str">
        <f>IF('42号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944</v>
      </c>
      <c r="B22" s="3197"/>
      <c r="C22" s="3197"/>
      <c r="D22" s="3197"/>
    </row>
    <row r="23" spans="1:4">
      <c r="A23" s="1415"/>
      <c r="B23" s="459"/>
      <c r="C23" s="459"/>
      <c r="D23" s="459"/>
    </row>
    <row r="24" spans="1:4">
      <c r="A24" s="1415"/>
      <c r="B24" s="459"/>
      <c r="C24" s="459"/>
      <c r="D24" s="459"/>
    </row>
    <row r="25" spans="1:4" ht="17.399999999999999">
      <c r="A25" s="1416" t="s">
        <v>945</v>
      </c>
    </row>
    <row r="26" spans="1:4" ht="17.399999999999999">
      <c r="A26" s="1387"/>
    </row>
    <row r="27" spans="1:4" ht="17.399999999999999">
      <c r="A27" s="1387" t="s">
        <v>946</v>
      </c>
    </row>
    <row r="30" spans="1:4" ht="17.399999999999999">
      <c r="D30" s="1416" t="s">
        <v>947</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949</v>
      </c>
    </row>
    <row r="3" spans="1:7">
      <c r="A3" s="1420" t="s">
        <v>55</v>
      </c>
      <c r="B3" s="1405" t="s">
        <v>950</v>
      </c>
      <c r="G3" s="1421"/>
    </row>
    <row r="4" spans="1:7">
      <c r="G4" s="1421"/>
    </row>
    <row r="5" spans="1:7">
      <c r="A5" s="1423" t="s">
        <v>46</v>
      </c>
      <c r="B5" s="1405" t="s">
        <v>951</v>
      </c>
      <c r="G5" s="1421"/>
    </row>
    <row r="6" spans="1:7">
      <c r="G6" s="1421"/>
    </row>
    <row r="7" spans="1:7">
      <c r="A7" s="1424" t="s">
        <v>108</v>
      </c>
      <c r="B7" s="1405" t="s">
        <v>952</v>
      </c>
      <c r="G7" s="1421"/>
    </row>
    <row r="8" spans="1:7">
      <c r="G8" s="1421"/>
    </row>
    <row r="9" spans="1:7">
      <c r="A9" s="1425" t="s">
        <v>47</v>
      </c>
      <c r="B9" s="1405" t="s">
        <v>953</v>
      </c>
    </row>
    <row r="11" spans="1:7">
      <c r="A11" s="1426" t="s">
        <v>48</v>
      </c>
      <c r="B11" s="1427" t="s">
        <v>45</v>
      </c>
    </row>
    <row r="13" spans="1:7">
      <c r="A13" s="1428" t="s">
        <v>954</v>
      </c>
    </row>
    <row r="15" spans="1:7" ht="14.4">
      <c r="A15" s="3203" t="s">
        <v>955</v>
      </c>
      <c r="B15" s="3198" t="s">
        <v>109</v>
      </c>
      <c r="C15" s="3199"/>
    </row>
    <row r="16" spans="1:7" ht="14.4">
      <c r="A16" s="3204"/>
      <c r="B16" s="3198" t="s">
        <v>42</v>
      </c>
      <c r="C16" s="3199"/>
    </row>
    <row r="17" spans="1:3" ht="14.4">
      <c r="A17" s="3204"/>
      <c r="B17" s="3201" t="s">
        <v>956</v>
      </c>
      <c r="C17" s="1429" t="s">
        <v>955</v>
      </c>
    </row>
    <row r="18" spans="1:3" ht="14.4">
      <c r="A18" s="3204"/>
      <c r="B18" s="3201"/>
      <c r="C18" s="1429" t="s">
        <v>957</v>
      </c>
    </row>
    <row r="19" spans="1:3" ht="14.4">
      <c r="A19" s="3204"/>
      <c r="B19" s="3201"/>
      <c r="C19" s="1429" t="s">
        <v>958</v>
      </c>
    </row>
    <row r="20" spans="1:3" ht="14.4">
      <c r="A20" s="3205"/>
      <c r="B20" s="3200" t="s">
        <v>959</v>
      </c>
      <c r="C20" s="3199"/>
    </row>
    <row r="21" spans="1:3" ht="14.4">
      <c r="A21" s="1430" t="s">
        <v>960</v>
      </c>
      <c r="B21" s="1431"/>
      <c r="C21" s="1432"/>
    </row>
    <row r="22" spans="1:3" ht="14.4">
      <c r="A22" s="3202" t="s">
        <v>961</v>
      </c>
      <c r="B22" s="3200" t="s">
        <v>962</v>
      </c>
      <c r="C22" s="3199"/>
    </row>
    <row r="23" spans="1:3" ht="14.4">
      <c r="A23" s="3202"/>
      <c r="B23" s="3200" t="s">
        <v>963</v>
      </c>
      <c r="C23" s="3199"/>
    </row>
    <row r="24" spans="1:3" ht="14.4">
      <c r="A24" s="3202"/>
      <c r="B24" s="3200" t="s">
        <v>964</v>
      </c>
      <c r="C24" s="3199"/>
    </row>
    <row r="25" spans="1:3" ht="14.4">
      <c r="A25" s="3202"/>
      <c r="B25" s="3201" t="s">
        <v>965</v>
      </c>
      <c r="C25" s="1429" t="s">
        <v>966</v>
      </c>
    </row>
    <row r="26" spans="1:3" ht="14.4">
      <c r="A26" s="3202"/>
      <c r="B26" s="3201"/>
      <c r="C26" s="1429" t="s">
        <v>967</v>
      </c>
    </row>
    <row r="27" spans="1:3" ht="14.4">
      <c r="A27" s="3202"/>
      <c r="B27" s="3201"/>
      <c r="C27" s="1429" t="s">
        <v>968</v>
      </c>
    </row>
    <row r="28" spans="1:3" ht="14.4">
      <c r="A28" s="3202"/>
      <c r="B28" s="3201"/>
      <c r="C28" s="1429" t="s">
        <v>969</v>
      </c>
    </row>
    <row r="29" spans="1:3" ht="14.4">
      <c r="A29" s="3202"/>
      <c r="B29" s="3201"/>
      <c r="C29" s="1429" t="s">
        <v>970</v>
      </c>
    </row>
    <row r="30" spans="1:3" ht="14.4">
      <c r="A30" s="3202"/>
      <c r="B30" s="3201"/>
      <c r="C30" s="1429" t="s">
        <v>971</v>
      </c>
    </row>
    <row r="31" spans="1:3" ht="14.4">
      <c r="A31" s="3202"/>
      <c r="B31" s="3201"/>
      <c r="C31" s="1429" t="s">
        <v>972</v>
      </c>
    </row>
    <row r="32" spans="1:3" ht="14.4">
      <c r="A32" s="3202"/>
      <c r="B32" s="3201"/>
      <c r="C32" s="1429" t="s">
        <v>973</v>
      </c>
    </row>
    <row r="33" spans="1:3" ht="14.4">
      <c r="A33" s="3202"/>
      <c r="B33" s="3201"/>
      <c r="C33" s="1429" t="s">
        <v>974</v>
      </c>
    </row>
    <row r="34" spans="1:3">
      <c r="A34" s="1433" t="s">
        <v>49</v>
      </c>
    </row>
    <row r="37" spans="1:3">
      <c r="A37" s="1433" t="s">
        <v>975</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2137</v>
      </c>
      <c r="B2" s="2157">
        <f ca="1">TODAY()</f>
        <v>45637</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f ca="1">IF(C4&lt;B2,"已过期",1119970066)</f>
        <v>1119970066</v>
      </c>
      <c r="C4" s="2162">
        <v>45937</v>
      </c>
      <c r="D4" s="2163" t="str">
        <f ca="1">A4&amp;"（注册号："&amp;B4&amp;"）"</f>
        <v>梁津（注册号：1119970066）</v>
      </c>
      <c r="E4" s="2164" t="s">
        <v>2146</v>
      </c>
      <c r="F4" s="1219">
        <f ca="1">IF(G4&lt;B2,"已过期",96010014)</f>
        <v>96010014</v>
      </c>
      <c r="G4" s="2165">
        <v>47118</v>
      </c>
      <c r="H4" s="2166" t="str">
        <f ca="1">E4&amp;"（注册号："&amp;F4&amp;"）"</f>
        <v>梁津（注册号：96010014）</v>
      </c>
    </row>
    <row r="5" spans="1:8" ht="24" customHeight="1">
      <c r="A5" s="1219" t="s">
        <v>2147</v>
      </c>
      <c r="B5" s="1219">
        <f ca="1">IF(C5&lt;B2,"已过期",1119970111)</f>
        <v>1119970111</v>
      </c>
      <c r="C5" s="2162">
        <v>45937</v>
      </c>
      <c r="D5" s="2163" t="str">
        <f t="shared" ref="D5:D15" ca="1" si="0">A5&amp;"（注册号："&amp;B5&amp;"）"</f>
        <v>叶凌（注册号：1119970111）</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f ca="1">IF(C7&lt;B2,"已过期",1120000080)</f>
        <v>1120000080</v>
      </c>
      <c r="C7" s="2162">
        <v>45937</v>
      </c>
      <c r="D7" s="2163" t="str">
        <f t="shared" ca="1" si="0"/>
        <v>欧红伟（注册号：1120000080）</v>
      </c>
      <c r="E7" s="2164" t="s">
        <v>2149</v>
      </c>
      <c r="F7" s="1219">
        <f ca="1">IF(G7&lt;B2,"已过期",2000110082)</f>
        <v>2000110082</v>
      </c>
      <c r="G7" s="2165">
        <v>46387</v>
      </c>
      <c r="H7" s="2166" t="str">
        <f t="shared" ca="1" si="1"/>
        <v>欧红伟（注册号：2000110082）</v>
      </c>
    </row>
    <row r="8" spans="1:8" ht="24" customHeight="1">
      <c r="A8" s="1219" t="s">
        <v>2150</v>
      </c>
      <c r="B8" s="1219">
        <f ca="1">IF(C8&lt;B2,"已过期",1419970001)</f>
        <v>1419970001</v>
      </c>
      <c r="C8" s="2162">
        <v>45937</v>
      </c>
      <c r="D8" s="2163" t="str">
        <f t="shared" ca="1" si="0"/>
        <v>吴薇（注册号：1419970001）</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f ca="1">IF(C10&lt;B2,"已过期",1120100036)</f>
        <v>1120100036</v>
      </c>
      <c r="C10" s="2167">
        <v>45752</v>
      </c>
      <c r="D10" s="2163" t="str">
        <f t="shared" ca="1" si="0"/>
        <v>崔锴（注册号：1120100036）</v>
      </c>
      <c r="E10" s="2164" t="s">
        <v>2152</v>
      </c>
      <c r="F10" s="1219">
        <f ca="1">IF(G10&lt;B2,"已过期",2010110070)</f>
        <v>2010110070</v>
      </c>
      <c r="G10" s="2165">
        <v>47907</v>
      </c>
      <c r="H10" s="2166" t="str">
        <f t="shared" ca="1" si="1"/>
        <v>崔锴（注册号：2010110070）</v>
      </c>
    </row>
    <row r="11" spans="1:8" ht="24" customHeight="1">
      <c r="A11" s="1219" t="s">
        <v>2153</v>
      </c>
      <c r="B11" s="1219">
        <f ca="1">IF(C11&lt;B2,"已过期",1120070131)</f>
        <v>1120070131</v>
      </c>
      <c r="C11" s="2162">
        <v>45937</v>
      </c>
      <c r="D11" s="2163" t="str">
        <f t="shared" ca="1" si="0"/>
        <v>郑燚（注册号：1120070131）</v>
      </c>
      <c r="E11" s="2164" t="s">
        <v>2153</v>
      </c>
      <c r="F11" s="1219">
        <f ca="1">IF(G11&lt;B2,"已过期",2014110011)</f>
        <v>2014110011</v>
      </c>
      <c r="G11" s="2165">
        <v>49302</v>
      </c>
      <c r="H11" s="2166" t="str">
        <f t="shared" ca="1" si="1"/>
        <v>郑燚（注册号：2014110011）</v>
      </c>
    </row>
    <row r="12" spans="1:8" ht="24" customHeight="1">
      <c r="A12" s="1219" t="s">
        <v>2154</v>
      </c>
      <c r="B12" s="1219">
        <f ca="1">IF(C12&lt;B2,"已过期",1120040230)</f>
        <v>1120040230</v>
      </c>
      <c r="C12" s="2167">
        <v>45937</v>
      </c>
      <c r="D12" s="2163" t="str">
        <f t="shared" ca="1" si="0"/>
        <v>苏海（注册号：1120040230）</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6" t="s">
        <v>2158</v>
      </c>
      <c r="B17" s="3206"/>
      <c r="C17" s="3206"/>
      <c r="D17" s="3206"/>
      <c r="E17" s="3206"/>
      <c r="F17" s="3206"/>
      <c r="G17" s="3206"/>
      <c r="H17" s="3206"/>
    </row>
    <row r="18" spans="1:8" ht="24" customHeight="1">
      <c r="A18" s="3207" t="s">
        <v>2159</v>
      </c>
      <c r="B18" s="3207"/>
      <c r="C18" s="3207"/>
      <c r="D18" s="2160"/>
      <c r="E18" s="3208" t="s">
        <v>2160</v>
      </c>
      <c r="F18" s="3207"/>
      <c r="G18" s="3207"/>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231" priority="32" stopIfTrue="1" operator="equal">
      <formula>"已过期"</formula>
    </cfRule>
  </conditionalFormatting>
  <conditionalFormatting sqref="B4:B15">
    <cfRule type="cellIs" dxfId="230" priority="4" stopIfTrue="1" operator="equal">
      <formula>"已过期"</formula>
    </cfRule>
  </conditionalFormatting>
  <conditionalFormatting sqref="C7:C12">
    <cfRule type="expression" dxfId="229" priority="22">
      <formula>AND($C7-TODAY()&lt;30,TODAY()&lt;$C7)</formula>
    </cfRule>
    <cfRule type="cellIs" dxfId="228" priority="23" stopIfTrue="1" operator="lessThan">
      <formula>$B$2</formula>
    </cfRule>
  </conditionalFormatting>
  <conditionalFormatting sqref="C14:C15">
    <cfRule type="expression" dxfId="227" priority="7">
      <formula>AND($C14-TODAY()&lt;30,TODAY()&lt;$C14)</formula>
    </cfRule>
    <cfRule type="cellIs" dxfId="226" priority="8" stopIfTrue="1" operator="lessThan">
      <formula>$B$2</formula>
    </cfRule>
  </conditionalFormatting>
  <conditionalFormatting sqref="C4:D6 D14">
    <cfRule type="cellIs" dxfId="225" priority="50" stopIfTrue="1" operator="lessThan">
      <formula>$B$2</formula>
    </cfRule>
  </conditionalFormatting>
  <conditionalFormatting sqref="C12:D13">
    <cfRule type="expression" dxfId="224" priority="47">
      <formula>AND($C12-TODAY()&lt;30,TODAY()&lt;$C12)</formula>
    </cfRule>
  </conditionalFormatting>
  <conditionalFormatting sqref="C13:D14">
    <cfRule type="expression" dxfId="223" priority="18">
      <formula>AND($C13-TODAY()&lt;30,TODAY()&lt;$C13)</formula>
    </cfRule>
    <cfRule type="cellIs" dxfId="222" priority="19" stopIfTrue="1" operator="lessThan">
      <formula>$B$2</formula>
    </cfRule>
  </conditionalFormatting>
  <conditionalFormatting sqref="C15:D15">
    <cfRule type="expression" dxfId="221" priority="5">
      <formula>AND($C15-TODAY()&lt;30,TODAY()&lt;$C15)</formula>
    </cfRule>
    <cfRule type="cellIs" dxfId="220" priority="6" stopIfTrue="1" operator="lessThan">
      <formula>$B$2</formula>
    </cfRule>
  </conditionalFormatting>
  <conditionalFormatting sqref="C20:D20 C13:D13">
    <cfRule type="cellIs" dxfId="219" priority="54" stopIfTrue="1" operator="lessThan">
      <formula>$B$2</formula>
    </cfRule>
  </conditionalFormatting>
  <conditionalFormatting sqref="C20:D20">
    <cfRule type="expression" dxfId="218" priority="52">
      <formula>AND($C20-TODAY()&lt;30,TODAY()&lt;$C20)</formula>
    </cfRule>
  </conditionalFormatting>
  <conditionalFormatting sqref="D7:D12 D16">
    <cfRule type="expression" dxfId="217" priority="53">
      <formula>AND($C7-TODAY()&lt;30,TODAY()&lt;$C7)</formula>
    </cfRule>
  </conditionalFormatting>
  <conditionalFormatting sqref="D7:D12">
    <cfRule type="cellIs" dxfId="216" priority="48" stopIfTrue="1" operator="lessThan">
      <formula>$B$2</formula>
    </cfRule>
  </conditionalFormatting>
  <conditionalFormatting sqref="D14 C4:D6">
    <cfRule type="expression" dxfId="215" priority="49">
      <formula>AND($C4-TODAY()&lt;30,TODAY()&lt;$C4)</formula>
    </cfRule>
  </conditionalFormatting>
  <conditionalFormatting sqref="D15:D16">
    <cfRule type="expression" dxfId="214" priority="12">
      <formula>AND($C15-TODAY()&lt;30,TODAY()&lt;$C15)</formula>
    </cfRule>
    <cfRule type="cellIs" dxfId="213" priority="13" stopIfTrue="1" operator="lessThan">
      <formula>$B$2</formula>
    </cfRule>
  </conditionalFormatting>
  <conditionalFormatting sqref="E16:G16">
    <cfRule type="cellIs" dxfId="212" priority="31" stopIfTrue="1" operator="equal">
      <formula>"已过期"</formula>
    </cfRule>
  </conditionalFormatting>
  <conditionalFormatting sqref="F4:F15">
    <cfRule type="cellIs" dxfId="211" priority="9" stopIfTrue="1" operator="equal">
      <formula>"已过期"</formula>
    </cfRule>
  </conditionalFormatting>
  <conditionalFormatting sqref="G4:G15">
    <cfRule type="cellIs" dxfId="210" priority="3" stopIfTrue="1" operator="lessThan">
      <formula>$B$2</formula>
    </cfRule>
  </conditionalFormatting>
  <conditionalFormatting sqref="G20:G21">
    <cfRule type="expression" dxfId="209" priority="1" stopIfTrue="1">
      <formula>AND(#REF!-TODAY()&lt;30,TODAY()&lt;#REF!)</formula>
    </cfRule>
    <cfRule type="cellIs" dxfId="20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201</vt:i4>
      </vt:variant>
    </vt:vector>
  </HeadingPairs>
  <TitlesOfParts>
    <vt:vector size="2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42号结果表</vt:lpstr>
      <vt:lpstr>成本法</vt:lpstr>
      <vt:lpstr>假设开发法</vt:lpstr>
      <vt:lpstr>收益法</vt:lpstr>
      <vt:lpstr>42号比较法-商业</vt:lpstr>
      <vt:lpstr>42号收益法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54号结果表</vt:lpstr>
      <vt:lpstr>54号比较法-商业</vt:lpstr>
      <vt:lpstr>54号收益法 (元) </vt:lpstr>
      <vt:lpstr>56号结果表</vt:lpstr>
      <vt:lpstr>56号比较法-商业</vt:lpstr>
      <vt:lpstr>56号收益法 (元)</vt:lpstr>
      <vt:lpstr>案例</vt:lpstr>
      <vt:lpstr>面积信息</vt:lpstr>
      <vt:lpstr>42号比较法-商业租金</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'42号比较法-商业'!Print_Area</vt:lpstr>
      <vt:lpstr>'42号比较法-商业租金'!Print_Area</vt:lpstr>
      <vt:lpstr>'42号结果表'!Print_Area</vt:lpstr>
      <vt:lpstr>'42号收益法 (元)'!Print_Area</vt:lpstr>
      <vt:lpstr>'54号比较法-商业'!Print_Area</vt:lpstr>
      <vt:lpstr>'54号结果表'!Print_Area</vt:lpstr>
      <vt:lpstr>'54号收益法 (元) '!Print_Area</vt:lpstr>
      <vt:lpstr>'56号比较法-商业'!Print_Area</vt:lpstr>
      <vt:lpstr>'56号结果表'!Print_Area</vt:lpstr>
      <vt:lpstr>'56号收益法 (元)'!Print_Area</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'42号比较法-商业租金'!商业层高</vt:lpstr>
      <vt:lpstr>'54号比较法-商业'!商业层高</vt:lpstr>
      <vt:lpstr>'56号比较法-商业'!商业层高</vt:lpstr>
      <vt:lpstr>商业层高</vt:lpstr>
      <vt:lpstr>'42号比较法-商业租金'!商业成新度</vt:lpstr>
      <vt:lpstr>'54号比较法-商业'!商业成新度</vt:lpstr>
      <vt:lpstr>'56号比较法-商业'!商业成新度</vt:lpstr>
      <vt:lpstr>商业成新度</vt:lpstr>
      <vt:lpstr>商业繁华度</vt:lpstr>
      <vt:lpstr>'42号比较法-商业租金'!商业公共部分装修</vt:lpstr>
      <vt:lpstr>'54号比较法-商业'!商业公共部分装修</vt:lpstr>
      <vt:lpstr>'56号比较法-商业'!商业公共部分装修</vt:lpstr>
      <vt:lpstr>商业公共部分装修</vt:lpstr>
      <vt:lpstr>'42号比较法-商业租金'!商业基础设施水平</vt:lpstr>
      <vt:lpstr>'54号比较法-商业'!商业基础设施水平</vt:lpstr>
      <vt:lpstr>'56号比较法-商业'!商业基础设施水平</vt:lpstr>
      <vt:lpstr>商业基础设施水平</vt:lpstr>
      <vt:lpstr>'42号比较法-商业租金'!商业建筑结构</vt:lpstr>
      <vt:lpstr>'54号比较法-商业'!商业建筑结构</vt:lpstr>
      <vt:lpstr>'56号比较法-商业'!商业建筑结构</vt:lpstr>
      <vt:lpstr>商业建筑结构</vt:lpstr>
      <vt:lpstr>'42号比较法-商业租金'!商业交易情况</vt:lpstr>
      <vt:lpstr>'54号比较法-商业'!商业交易情况</vt:lpstr>
      <vt:lpstr>'56号比较法-商业'!商业交易情况</vt:lpstr>
      <vt:lpstr>商业交易情况</vt:lpstr>
      <vt:lpstr>商业街名称</vt:lpstr>
      <vt:lpstr>'42号比较法-商业租金'!商业进深比</vt:lpstr>
      <vt:lpstr>'54号比较法-商业'!商业进深比</vt:lpstr>
      <vt:lpstr>'56号比较法-商业'!商业进深比</vt:lpstr>
      <vt:lpstr>商业进深比</vt:lpstr>
      <vt:lpstr>'42号比较法-商业租金'!商业类型</vt:lpstr>
      <vt:lpstr>'54号比较法-商业'!商业类型</vt:lpstr>
      <vt:lpstr>'56号比较法-商业'!商业类型</vt:lpstr>
      <vt:lpstr>商业类型</vt:lpstr>
      <vt:lpstr>'42号比较法-商业租金'!商业临街状况</vt:lpstr>
      <vt:lpstr>'54号比较法-商业'!商业临街状况</vt:lpstr>
      <vt:lpstr>'56号比较法-商业'!商业临街状况</vt:lpstr>
      <vt:lpstr>商业临街状况</vt:lpstr>
      <vt:lpstr>'42号比较法-商业租金'!商业楼层</vt:lpstr>
      <vt:lpstr>'54号比较法-商业'!商业楼层</vt:lpstr>
      <vt:lpstr>'56号比较法-商业'!商业楼层</vt:lpstr>
      <vt:lpstr>商业楼层</vt:lpstr>
      <vt:lpstr>'42号比较法-商业租金'!商业内部装修</vt:lpstr>
      <vt:lpstr>'54号比较法-商业'!商业内部装修</vt:lpstr>
      <vt:lpstr>'56号比较法-商业'!商业内部装修</vt:lpstr>
      <vt:lpstr>商业内部装修</vt:lpstr>
      <vt:lpstr>'42号比较法-商业租金'!商业人流量</vt:lpstr>
      <vt:lpstr>'54号比较法-商业'!商业人流量</vt:lpstr>
      <vt:lpstr>'56号比较法-商业'!商业人流量</vt:lpstr>
      <vt:lpstr>商业人流量</vt:lpstr>
      <vt:lpstr>'42号比较法-商业租金'!商业业态</vt:lpstr>
      <vt:lpstr>'54号比较法-商业'!商业业态</vt:lpstr>
      <vt:lpstr>'56号比较法-商业'!商业业态</vt:lpstr>
      <vt:lpstr>商业业态</vt:lpstr>
      <vt:lpstr>'42号比较法-商业租金'!商业用途</vt:lpstr>
      <vt:lpstr>'54号比较法-商业'!商业用途</vt:lpstr>
      <vt:lpstr>'56号比较法-商业'!商业用途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2024-12-11T06:03:45Z</dcterms:modified>
</cp:coreProperties>
</file>