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军队-南口镇3套\"/>
    </mc:Choice>
  </mc:AlternateContent>
  <xr:revisionPtr revIDLastSave="0" documentId="13_ncr:1_{AEC05D48-0CBB-47DB-93E1-FE99984CF7E8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E8" i="65"/>
  <c r="H5" i="65"/>
  <c r="G8" i="65"/>
  <c r="H7" i="65"/>
  <c r="E7" i="65"/>
  <c r="H8" i="65"/>
  <c r="E4" i="65"/>
  <c r="H6" i="65"/>
  <c r="G4" i="65"/>
  <c r="H4" i="65"/>
  <c r="C17" i="43" l="1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M1" i="60" s="1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5" i="65"/>
  <c r="G6" i="65"/>
  <c r="D8" i="65"/>
  <c r="E5" i="65"/>
  <c r="E6" i="65"/>
  <c r="G7" i="65"/>
  <c r="D7" i="65"/>
  <c r="D62" i="63" l="1"/>
  <c r="AA12" i="39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6" i="65"/>
  <c r="D5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E20" i="43"/>
  <c r="G2" i="65"/>
  <c r="G1" i="65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<sst xmlns="http://schemas.openxmlformats.org/spreadsheetml/2006/main" count="3960" uniqueCount="1802">
  <si>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</si>
  <si>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</si>
  <si>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</si>
  <si>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</si>
  <si>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</si>
  <si>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</si>
  <si>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</si>
  <si>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</si>
  <si>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</si>
  <si>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</si>
  <si>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</si>
  <si>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</si>
  <si>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</si>
  <si>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</si>
  <si>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</si>
  <si>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</si>
  <si>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</si>
  <si>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</si>
  <si>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</si>
  <si>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</si>
  <si>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</si>
  <si>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</si>
  <si>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</si>
  <si>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</si>
  <si>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</si>
  <si>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</si>
  <si>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</si>
  <si>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</si>
  <si>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</si>
  <si>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</si>
  <si>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</si>
  <si>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</si>
  <si>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</si>
  <si>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</si>
  <si>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</si>
  <si>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</si>
  <si>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</si>
  <si>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</si>
  <si>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</si>
  <si>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</si>
  <si>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</si>
  <si>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</si>
  <si>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</si>
  <si>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</si>
  <si>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</si>
  <si>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</si>
  <si>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</si>
  <si>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</si>
  <si>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</si>
  <si>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</si>
  <si>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</si>
  <si>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</si>
  <si>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</si>
  <si>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</si>
  <si>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</si>
  <si>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</si>
  <si>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</si>
  <si>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</si>
  <si>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</si>
  <si>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</si>
  <si>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</si>
  <si>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</si>
  <si>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</si>
  <si>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</si>
  <si>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</si>
  <si>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</si>
  <si>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</si>
  <si>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</si>
  <si>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</si>
  <si>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</si>
  <si>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</si>
  <si>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</si>
  <si>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</si>
  <si>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</si>
  <si>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</si>
  <si>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</si>
  <si>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</si>
  <si>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</si>
  <si>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</si>
  <si>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</si>
  <si>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</si>
  <si>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</si>
  <si>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</si>
  <si>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</si>
  <si>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</si>
  <si>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</si>
  <si>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</si>
  <si>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</si>
  <si>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</si>
  <si>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</si>
  <si>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</si>
  <si>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</si>
  <si>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</si>
  <si>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</si>
  <si>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</si>
  <si>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</si>
  <si>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</si>
  <si>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</si>
  <si>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</si>
  <si>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</si>
  <si>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</si>
  <si>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</si>
  <si>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</si>
  <si>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</si>
  <si>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</si>
  <si>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</si>
  <si>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</si>
  <si>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</si>
  <si>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</si>
  <si>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</si>
  <si>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</si>
  <si>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</si>
  <si>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</si>
  <si>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</si>
  <si>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</si>
  <si>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</si>
  <si>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</si>
  <si>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</si>
  <si>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</si>
  <si>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</si>
  <si>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</si>
  <si>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</si>
  <si>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</si>
  <si>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</si>
  <si>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</si>
  <si>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</si>
  <si>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</si>
  <si>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</si>
  <si>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</si>
  <si>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</si>
  <si>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</si>
  <si>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</si>
  <si>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</si>
  <si>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</si>
  <si>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</si>
  <si>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</si>
  <si>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</si>
  <si>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</si>
  <si>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</si>
  <si>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</si>
  <si>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</si>
  <si>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</si>
  <si>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</si>
  <si>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</si>
  <si>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</si>
  <si>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</si>
  <si>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</si>
  <si>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</si>
  <si>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</si>
  <si>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</si>
  <si>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</si>
  <si>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</si>
  <si>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</si>
  <si>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</si>
  <si>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</si>
  <si>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</si>
  <si>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</si>
  <si>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</si>
  <si>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</si>
  <si>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</si>
  <si>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</si>
  <si>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</si>
  <si>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</si>
  <si>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</si>
  <si>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</si>
  <si>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</si>
  <si>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</si>
  <si>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</si>
  <si>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</si>
  <si>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</si>
  <si>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</si>
  <si>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</si>
  <si>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</si>
  <si>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</si>
  <si>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</si>
  <si>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</si>
  <si>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</si>
  <si>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</si>
  <si>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</si>
  <si>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</si>
  <si>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</si>
  <si>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</si>
  <si>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</si>
  <si>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</si>
  <si>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</si>
  <si>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</si>
  <si>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</si>
  <si>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</si>
  <si>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</si>
  <si>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</si>
  <si>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</si>
  <si>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</si>
  <si>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</si>
  <si>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</si>
  <si>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</si>
  <si>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</si>
  <si>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</si>
  <si>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</si>
  <si>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</si>
  <si>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</si>
  <si>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</si>
  <si>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</si>
  <si>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</si>
  <si>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</si>
  <si>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</si>
  <si>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</si>
  <si>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</si>
  <si>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</si>
  <si>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</si>
  <si>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</si>
  <si>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</si>
  <si>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</si>
  <si>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</si>
  <si>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</si>
  <si>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</si>
  <si>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</si>
  <si>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</si>
  <si>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</si>
  <si>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</si>
  <si>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</si>
  <si>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</si>
  <si>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</si>
  <si>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</si>
  <si>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</si>
  <si>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</si>
  <si>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</si>
  <si>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</si>
  <si>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</si>
  <si>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</si>
  <si>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</si>
  <si>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</si>
  <si>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</si>
  <si>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</si>
  <si>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</si>
  <si>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</si>
  <si>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</si>
  <si>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</si>
  <si>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</si>
  <si>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</si>
  <si>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</si>
  <si>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</si>
  <si>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</si>
  <si>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</si>
  <si>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</si>
  <si>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</si>
  <si>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</si>
  <si>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</si>
  <si>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</si>
  <si>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</si>
  <si>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</si>
  <si>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</si>
  <si>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</si>
  <si>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</si>
  <si>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</si>
  <si>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</si>
  <si>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</si>
  <si>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</si>
  <si>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</si>
  <si>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</si>
  <si>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</si>
  <si>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</si>
  <si>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</si>
  <si>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</si>
  <si>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</si>
  <si>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</si>
  <si>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</si>
  <si>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</si>
  <si>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</si>
  <si>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</si>
  <si>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</si>
  <si>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</si>
  <si>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</si>
  <si>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</si>
  <si>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</si>
  <si>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</si>
  <si>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</si>
  <si>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</si>
  <si>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</si>
  <si>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</si>
  <si>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</si>
  <si>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</si>
  <si>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</si>
  <si>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</si>
  <si>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</si>
  <si>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</si>
  <si>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</si>
  <si>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</si>
  <si>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</si>
  <si>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</si>
  <si>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</si>
  <si>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</si>
  <si>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</si>
  <si>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</si>
  <si>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</si>
  <si>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</si>
  <si>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</si>
  <si>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</si>
  <si>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</si>
  <si>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</si>
  <si>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</si>
  <si>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</si>
  <si>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</si>
  <si>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</si>
  <si>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</si>
  <si>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</si>
  <si>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</si>
  <si>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</si>
  <si>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</si>
  <si>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</si>
  <si>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</si>
  <si>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</si>
  <si>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</si>
  <si>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</si>
  <si>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</si>
  <si>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</si>
  <si>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</si>
  <si>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</si>
  <si>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</si>
  <si>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</si>
  <si>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</si>
  <si>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</si>
  <si>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</si>
  <si>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</si>
  <si>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</si>
  <si>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</si>
  <si>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</si>
  <si>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</si>
  <si>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</si>
  <si>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</si>
  <si>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</si>
  <si>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</si>
  <si>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</si>
  <si>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</si>
  <si>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</si>
  <si>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</si>
  <si>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</si>
  <si>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</si>
  <si>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</si>
  <si>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</si>
  <si>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</si>
  <si>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</si>
  <si>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</si>
  <si>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</si>
  <si>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</si>
  <si>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</si>
  <si>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</si>
  <si>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</si>
  <si>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</si>
  <si>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</si>
  <si>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</si>
  <si>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</si>
  <si>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</si>
  <si>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</si>
  <si>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</si>
  <si>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</si>
  <si>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</si>
  <si>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</si>
  <si>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</si>
  <si>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</si>
  <si>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</si>
  <si>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</si>
  <si>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</si>
  <si>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</si>
  <si>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</si>
  <si>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</si>
  <si>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</si>
  <si>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</si>
  <si>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</si>
  <si>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</si>
  <si>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</si>
  <si>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</si>
  <si>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</si>
  <si>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</si>
  <si>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</si>
  <si>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</si>
  <si>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</si>
  <si>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</si>
  <si>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</si>
  <si>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</si>
  <si>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</si>
  <si>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</si>
  <si>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</si>
  <si>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</si>
  <si>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</si>
  <si>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</si>
  <si>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</si>
  <si>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</si>
  <si>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</si>
  <si>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</si>
  <si>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</si>
  <si>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</si>
  <si>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</si>
  <si>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</si>
  <si>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</si>
  <si>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</si>
  <si>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</si>
  <si>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</si>
  <si>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</si>
  <si>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</si>
  <si>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</si>
  <si>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</si>
  <si>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</si>
  <si>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</si>
  <si>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</si>
  <si>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</si>
  <si>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</si>
  <si>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</si>
  <si>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</si>
  <si>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</si>
  <si>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</si>
  <si>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</si>
  <si>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</si>
  <si>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</si>
  <si>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</si>
  <si>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</si>
  <si>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</si>
  <si>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</si>
  <si>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</si>
  <si>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</si>
  <si>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</si>
  <si>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</si>
  <si>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</si>
  <si>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</si>
  <si>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</si>
  <si>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</si>
  <si>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</si>
  <si>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</si>
  <si>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</si>
  <si>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</si>
  <si>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</si>
  <si>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</si>
  <si>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</si>
  <si>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</si>
  <si>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</si>
  <si>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</si>
  <si>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</si>
  <si>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</si>
  <si>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</si>
  <si>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</si>
  <si>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</si>
  <si>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</si>
  <si>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</si>
  <si>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</si>
  <si>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</si>
  <si>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</si>
  <si>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</si>
  <si>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</si>
  <si>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</si>
  <si>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</si>
  <si>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</si>
  <si>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</si>
  <si>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</si>
  <si>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</si>
  <si>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</si>
  <si>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</si>
  <si>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</si>
  <si>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</si>
  <si>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</si>
  <si>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</si>
  <si>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</si>
  <si>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</si>
  <si>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</si>
  <si>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</si>
  <si>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</si>
  <si>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</si>
  <si>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</si>
  <si>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</si>
  <si>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</si>
  <si>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</si>
  <si>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</si>
  <si>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</si>
  <si>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</si>
  <si>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</si>
  <si>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</si>
  <si>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</si>
  <si>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</si>
  <si>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</si>
  <si>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</si>
  <si>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</si>
  <si>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</si>
  <si>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</si>
  <si>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</si>
  <si>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</si>
  <si>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</si>
  <si>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</si>
  <si>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</si>
  <si>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</si>
  <si>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</si>
  <si>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</si>
  <si>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</si>
  <si>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</si>
  <si>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</si>
  <si>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</si>
  <si>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</si>
  <si>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</si>
  <si>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</si>
  <si>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</si>
  <si>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</si>
  <si>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</si>
  <si>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</si>
  <si>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</si>
  <si>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</si>
  <si>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</si>
  <si>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</si>
  <si>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</si>
  <si>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</si>
  <si>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</si>
  <si>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</si>
  <si>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</si>
  <si>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</si>
  <si>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</si>
  <si>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</si>
  <si>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</si>
  <si>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</si>
  <si>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</si>
  <si>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</si>
  <si>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</si>
  <si>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</si>
  <si>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</si>
  <si>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</si>
  <si>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</si>
  <si>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</si>
  <si>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</si>
  <si>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</si>
  <si>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</si>
  <si>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</si>
  <si>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</si>
  <si>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</si>
  <si>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</si>
  <si>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</si>
  <si>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</si>
  <si>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</si>
  <si>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</si>
  <si>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</si>
  <si>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</si>
  <si>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</si>
  <si>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</si>
  <si>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</si>
  <si>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</si>
  <si>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</si>
  <si>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</si>
  <si>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</si>
  <si>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</si>
  <si>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</si>
  <si>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</si>
  <si>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</si>
  <si>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</si>
  <si>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</si>
  <si>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</si>
  <si>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</si>
  <si>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</si>
  <si>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</si>
  <si>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</si>
  <si>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</si>
  <si>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</si>
  <si>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</si>
  <si>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</si>
  <si>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</si>
  <si>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</si>
  <si>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</si>
  <si>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</si>
  <si>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</si>
  <si>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</si>
  <si>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</si>
  <si>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</si>
  <si>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</si>
  <si>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</si>
  <si>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</si>
  <si>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</si>
  <si>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</si>
  <si>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</si>
  <si>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</si>
  <si>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</si>
  <si>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</si>
  <si>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</si>
  <si>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</si>
  <si>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</si>
  <si>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</si>
  <si>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</si>
  <si>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</si>
  <si>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</si>
  <si>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</si>
  <si>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</si>
  <si>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</si>
  <si>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</si>
  <si>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</si>
  <si>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</si>
  <si>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</si>
  <si>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</si>
  <si>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</si>
  <si>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</si>
  <si>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</si>
  <si>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</si>
  <si>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</si>
  <si>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</si>
  <si>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</si>
  <si>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</si>
  <si>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</si>
  <si>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</si>
  <si>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</si>
  <si>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</si>
  <si>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</si>
  <si>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</si>
  <si>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</si>
  <si>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</si>
  <si>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</si>
  <si>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</si>
  <si>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</si>
  <si>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</si>
  <si>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</si>
  <si>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</si>
  <si>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</si>
  <si>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</si>
  <si>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</si>
  <si>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</si>
  <si>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</si>
  <si>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</si>
  <si>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</si>
  <si>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</si>
  <si>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</si>
  <si>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</si>
  <si>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</si>
  <si>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</si>
  <si>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</si>
  <si>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</si>
  <si>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</si>
  <si>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</si>
  <si>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</si>
  <si>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</si>
  <si>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</si>
  <si>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</si>
  <si>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</si>
  <si>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</si>
  <si>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</si>
  <si>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</si>
  <si>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</si>
  <si>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</si>
  <si>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</si>
  <si>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</si>
  <si>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</si>
  <si>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</si>
  <si>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</si>
  <si>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</si>
  <si>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</si>
  <si>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</si>
  <si>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</si>
  <si>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</si>
  <si>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</si>
  <si>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</si>
  <si>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</si>
  <si>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</si>
  <si>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</si>
  <si>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</si>
  <si>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</si>
  <si>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</si>
  <si>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</si>
  <si>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</si>
  <si>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</si>
  <si>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</si>
  <si>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</si>
  <si>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</si>
  <si>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</si>
  <si>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</si>
  <si>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</si>
  <si>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</si>
  <si>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</si>
  <si>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</si>
  <si>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</si>
  <si>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</si>
  <si>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</si>
  <si>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</si>
  <si>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</si>
  <si>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</si>
  <si>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</si>
  <si>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</si>
  <si>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</si>
  <si>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</si>
  <si>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</si>
  <si>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</si>
  <si>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</si>
  <si>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</si>
  <si>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</si>
  <si>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</si>
  <si>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</si>
  <si>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</si>
  <si>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</si>
  <si>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</si>
  <si>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</si>
  <si>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</si>
  <si>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</si>
  <si>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</si>
  <si>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</si>
  <si>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</si>
  <si>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</si>
  <si>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</si>
  <si>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</si>
  <si>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</si>
  <si>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</si>
  <si>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</si>
  <si>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</si>
  <si>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</si>
  <si>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</si>
  <si>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</si>
  <si>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</si>
  <si>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</si>
  <si>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</si>
  <si>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</si>
  <si>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</si>
  <si>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</si>
  <si>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</si>
  <si>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</si>
  <si>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</si>
  <si>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</si>
  <si>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</si>
  <si>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</si>
  <si>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</si>
  <si>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</si>
  <si>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</si>
  <si>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</si>
  <si>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</si>
  <si>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</si>
  <si>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</si>
  <si>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</si>
  <si>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</si>
  <si>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</si>
  <si>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</si>
  <si>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</si>
  <si>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</si>
  <si>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</si>
  <si>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</si>
  <si>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</si>
  <si>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</si>
  <si>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</si>
  <si>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</si>
  <si>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</si>
  <si>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</si>
  <si>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</si>
  <si>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</si>
  <si>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</si>
  <si>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</si>
  <si>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</si>
  <si>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</si>
  <si>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</si>
  <si>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</si>
  <si>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</si>
  <si>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</si>
  <si>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</si>
  <si>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</si>
  <si>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</si>
  <si>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</si>
  <si>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</si>
  <si>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</si>
  <si>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</si>
  <si>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</si>
  <si>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</si>
  <si>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</si>
  <si>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</si>
  <si>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</si>
  <si>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</si>
  <si>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</si>
  <si>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</si>
  <si>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</si>
  <si>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</si>
  <si>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</si>
  <si>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</si>
  <si>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</si>
  <si>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</si>
  <si>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</si>
  <si>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</si>
  <si>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</si>
  <si>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</si>
  <si>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</si>
  <si>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</si>
  <si>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</si>
  <si>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</si>
  <si>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</si>
  <si>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</si>
  <si>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</si>
  <si>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</si>
  <si>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</si>
  <si>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</si>
  <si>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</si>
  <si>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</si>
  <si>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</si>
  <si>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</si>
  <si>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</si>
  <si>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</si>
  <si>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</si>
  <si>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</si>
  <si>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</si>
  <si>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</si>
  <si>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</si>
  <si>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</si>
  <si>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</si>
  <si>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</si>
  <si>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</si>
  <si>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</si>
  <si>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</si>
  <si>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</si>
  <si>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</si>
  <si>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</si>
  <si>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</si>
  <si>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</si>
  <si>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</si>
  <si>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</si>
  <si>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</si>
  <si>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</si>
  <si>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</si>
  <si>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</si>
  <si>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</si>
  <si>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</si>
  <si>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</si>
  <si>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</si>
  <si>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</si>
  <si>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</si>
  <si>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</si>
  <si>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</si>
  <si>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</si>
  <si>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</si>
  <si>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</si>
  <si>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</si>
  <si>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</si>
  <si>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</si>
  <si>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</si>
  <si>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</si>
  <si>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</si>
  <si>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</si>
  <si>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</si>
  <si>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</si>
  <si>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</si>
  <si>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</si>
  <si>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</si>
  <si>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</si>
  <si>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</si>
  <si>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</si>
  <si>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</si>
  <si>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</si>
  <si>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</si>
  <si>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</si>
  <si>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</si>
  <si>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</si>
  <si>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</si>
  <si>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</si>
  <si>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</si>
  <si>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</si>
  <si>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</si>
  <si>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</si>
  <si>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</si>
  <si>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</si>
  <si>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</si>
  <si>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</si>
  <si>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</si>
  <si>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</si>
  <si>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</si>
  <si>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</si>
  <si>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</si>
  <si>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</si>
  <si>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</si>
  <si>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</si>
  <si>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</si>
  <si>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</si>
  <si>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</si>
  <si>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</si>
  <si>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</si>
  <si>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</si>
  <si>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</si>
  <si>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</si>
  <si>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</si>
  <si>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</si>
  <si>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</si>
  <si>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</si>
  <si>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</si>
  <si>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</si>
  <si>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</si>
  <si>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</si>
  <si>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</si>
  <si>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</si>
  <si>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</si>
  <si>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</si>
  <si>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</si>
  <si>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</si>
  <si>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</si>
  <si>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</si>
  <si>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</si>
  <si>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</si>
  <si>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</si>
  <si>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</si>
  <si>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</si>
  <si>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</si>
  <si>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</si>
  <si>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</si>
  <si>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</si>
  <si>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</si>
  <si>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</si>
  <si>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</si>
  <si>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</si>
  <si>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</si>
  <si>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</si>
  <si>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</si>
  <si>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</si>
  <si>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</si>
  <si>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</si>
  <si>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</si>
  <si>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</si>
  <si>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</si>
  <si>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</si>
  <si>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</si>
  <si>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</si>
  <si>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</si>
  <si>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</si>
  <si>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</si>
  <si>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</si>
  <si>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</si>
  <si>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</si>
  <si>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</si>
  <si>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</si>
  <si>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</si>
  <si>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</si>
  <si>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</si>
  <si>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</si>
  <si>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</si>
  <si>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</si>
  <si>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</si>
  <si>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</si>
  <si>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</si>
  <si>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</si>
  <si>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</si>
  <si>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</si>
  <si>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</si>
  <si>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</si>
  <si>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</si>
  <si>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</si>
  <si>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</si>
  <si>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</si>
  <si>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</si>
  <si>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</si>
  <si>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</si>
  <si>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</si>
  <si>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</si>
  <si>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</si>
  <si>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</si>
  <si>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</si>
  <si>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</si>
  <si>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</si>
  <si>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</si>
  <si>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</si>
  <si>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</si>
  <si>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</si>
  <si>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</si>
  <si>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</si>
  <si>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</si>
  <si>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</si>
  <si>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</si>
  <si>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</si>
  <si>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</si>
  <si>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</si>
  <si>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</si>
  <si>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</si>
  <si>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</si>
  <si>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</si>
  <si>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</si>
  <si>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</si>
  <si>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</si>
  <si>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</si>
  <si>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</si>
  <si>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</si>
  <si>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</si>
  <si>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</si>
  <si>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</si>
  <si>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</si>
  <si>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</si>
  <si>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</si>
  <si>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</si>
  <si>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</si>
  <si>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</si>
  <si>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</si>
  <si>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</si>
  <si>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</si>
  <si>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</si>
  <si>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</si>
  <si>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</si>
  <si>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</si>
  <si>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</si>
  <si>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</si>
  <si>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</si>
  <si>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</si>
  <si>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</si>
  <si>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</si>
  <si>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</si>
  <si>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</si>
  <si>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</si>
  <si>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</si>
  <si>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</si>
  <si>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</si>
  <si>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</si>
  <si>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</si>
  <si>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</si>
  <si>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</si>
  <si>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</si>
  <si>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</si>
  <si>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</si>
  <si>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</si>
  <si>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</si>
  <si>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</si>
  <si>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</si>
  <si>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</si>
  <si>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</si>
  <si>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</si>
  <si>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</si>
  <si>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</si>
  <si>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</si>
  <si>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</si>
  <si>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</si>
  <si>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</si>
  <si>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</si>
  <si>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</si>
  <si>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</si>
  <si>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</si>
  <si>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</si>
  <si>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</si>
  <si>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</si>
  <si>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</si>
  <si>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</si>
  <si>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</si>
  <si>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</si>
  <si>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</si>
  <si>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</si>
  <si>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</si>
  <si>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</si>
  <si>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</si>
  <si>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</si>
  <si>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</si>
  <si>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</si>
  <si>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</si>
  <si>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</si>
  <si>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</si>
  <si>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</si>
  <si>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</si>
  <si>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</si>
  <si>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</si>
  <si>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</si>
  <si>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</si>
  <si>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</si>
  <si>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</si>
  <si>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</si>
  <si>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</si>
  <si>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</si>
  <si>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</si>
  <si>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</si>
  <si>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</si>
  <si>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</si>
  <si>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</si>
  <si>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</si>
  <si>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</si>
  <si>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</si>
  <si>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</si>
  <si>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</si>
  <si>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</si>
  <si>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</si>
  <si>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</si>
  <si>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</si>
  <si>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</si>
  <si>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</si>
  <si>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</si>
  <si>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</si>
  <si>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</si>
  <si>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</si>
  <si>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</si>
  <si>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</si>
  <si>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</si>
  <si>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</si>
  <si>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</si>
  <si>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</si>
  <si>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</si>
  <si>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</si>
  <si>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</si>
  <si>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</si>
  <si>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</si>
  <si>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</si>
  <si>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</si>
  <si>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</si>
  <si>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</si>
  <si>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</si>
  <si>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</si>
  <si>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</si>
  <si>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</si>
  <si>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</si>
  <si>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</si>
  <si>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</si>
  <si>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</si>
  <si>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</si>
  <si>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</si>
  <si>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</si>
  <si>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</si>
  <si>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</si>
  <si>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</si>
  <si>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</si>
  <si>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</si>
  <si>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</si>
  <si>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</si>
  <si>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</si>
  <si>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</si>
  <si>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</si>
  <si>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</si>
  <si>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</si>
  <si>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</si>
  <si>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</si>
  <si>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</si>
  <si>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</si>
  <si>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</si>
  <si>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</si>
  <si>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</si>
  <si>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</si>
  <si>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</si>
  <si>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</si>
  <si>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</si>
  <si>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</si>
  <si>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</si>
  <si>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</si>
  <si>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</si>
  <si>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</si>
  <si>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</si>
  <si>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</si>
  <si>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</si>
  <si>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</si>
  <si>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</si>
  <si>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</si>
  <si>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</si>
  <si>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</si>
  <si>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</si>
  <si>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</si>
  <si>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</si>
  <si>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</si>
  <si>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</si>
  <si>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</si>
  <si>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</si>
  <si>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</si>
  <si>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</si>
  <si>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</si>
  <si>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</si>
  <si>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</si>
  <si>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</si>
  <si>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</si>
  <si>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</si>
  <si>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</si>
  <si>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</si>
  <si>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</si>
  <si>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</si>
  <si>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</si>
  <si>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</si>
  <si>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</si>
  <si>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</si>
  <si>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</si>
  <si>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</si>
  <si>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</si>
  <si>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</si>
  <si>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</si>
  <si>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</si>
  <si>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</si>
  <si>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</si>
  <si>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</si>
  <si>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</si>
  <si>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</si>
  <si>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</si>
  <si>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</si>
  <si>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</si>
  <si>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</si>
  <si>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</si>
  <si>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</si>
  <si>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</si>
  <si>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</si>
  <si>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</si>
  <si>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</si>
  <si>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</si>
  <si>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</si>
  <si>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</si>
  <si>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</si>
  <si>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</si>
  <si>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</si>
  <si>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</si>
  <si>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</si>
  <si>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</si>
  <si>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</si>
  <si>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</si>
  <si>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</si>
  <si>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</si>
  <si>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</si>
  <si>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</si>
  <si>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</si>
  <si>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</si>
  <si>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</si>
  <si>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</si>
  <si>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</si>
  <si>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</si>
  <si>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</si>
  <si>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</si>
  <si>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</si>
  <si>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</si>
  <si>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</si>
  <si>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</si>
  <si>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</si>
  <si>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</si>
  <si>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</si>
  <si>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</si>
  <si>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</si>
  <si>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</si>
  <si>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</si>
  <si>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</si>
  <si>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</si>
  <si>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</si>
  <si>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</si>
  <si>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</si>
  <si>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</si>
  <si>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</si>
  <si>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</si>
  <si>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</si>
  <si>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</si>
  <si>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</si>
  <si>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</si>
  <si>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</si>
  <si>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</si>
  <si>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</si>
  <si>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</si>
  <si>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</si>
  <si>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</si>
  <si>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</si>
  <si>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</si>
  <si>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</si>
  <si>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</si>
  <si>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</si>
  <si>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</si>
  <si>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</si>
  <si>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</si>
  <si>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</si>
  <si>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</si>
  <si>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</si>
  <si>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</si>
  <si>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</si>
  <si>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</si>
  <si>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</si>
  <si>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</si>
  <si>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</si>
  <si>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</si>
  <si>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</si>
  <si>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</si>
  <si>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</si>
  <si>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</si>
  <si>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</si>
  <si>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</si>
  <si>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</si>
  <si>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</si>
  <si>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</si>
  <si>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</si>
  <si>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</si>
  <si>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</si>
  <si>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</si>
  <si>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</si>
  <si>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</si>
  <si>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</si>
  <si>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</si>
  <si>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</si>
  <si>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</si>
  <si>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</si>
  <si>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</si>
  <si>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</si>
  <si>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</si>
  <si>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</si>
  <si>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</si>
  <si>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</si>
  <si>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</si>
  <si>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</si>
  <si>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</si>
  <si>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</si>
  <si>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</si>
  <si>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</si>
  <si>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</si>
  <si>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</si>
  <si>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</si>
  <si>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</si>
  <si>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</si>
  <si>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</si>
  <si>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</si>
  <si>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</si>
  <si>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</si>
  <si>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</si>
  <si>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</si>
  <si>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</si>
  <si>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</si>
  <si>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</si>
  <si>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</si>
  <si>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</si>
  <si>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</si>
  <si>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</si>
  <si>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</si>
  <si>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</si>
  <si>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</si>
  <si>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</si>
  <si>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</si>
  <si>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</si>
  <si>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</si>
  <si>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</si>
  <si>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</si>
  <si>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</si>
  <si>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</si>
  <si>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</si>
  <si>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</si>
  <si>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</si>
  <si>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</si>
  <si>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</si>
  <si>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</si>
  <si>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</si>
  <si>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</si>
  <si>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</si>
  <si>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</si>
  <si>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</si>
  <si>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</si>
  <si>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</si>
  <si>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</si>
  <si>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</si>
  <si>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</si>
  <si>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</si>
  <si>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</si>
  <si>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</si>
  <si>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</si>
  <si>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</si>
  <si>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</si>
  <si>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</si>
  <si>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</si>
  <si>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</si>
  <si>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</si>
  <si>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</si>
  <si>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</si>
  <si>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</si>
  <si>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</si>
  <si>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</si>
  <si>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</si>
  <si>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</si>
  <si>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</si>
  <si>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</si>
  <si>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</si>
  <si>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</si>
  <si>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</si>
  <si>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</si>
  <si>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</si>
  <si>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</si>
  <si>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</si>
  <si>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</si>
  <si>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</si>
  <si>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</si>
  <si>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</si>
  <si>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</si>
  <si>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</si>
  <si>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</si>
  <si>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</si>
  <si>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</si>
  <si>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</si>
  <si>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</si>
  <si>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</si>
  <si>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</si>
  <si>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</si>
  <si>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</si>
  <si>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</si>
  <si>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</si>
  <si>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</si>
  <si>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</si>
  <si>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</si>
  <si>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</si>
  <si>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</si>
  <si>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</si>
  <si>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</si>
  <si>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</si>
  <si>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</si>
  <si>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</si>
  <si>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</si>
  <si>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</si>
  <si>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</si>
  <si>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</si>
  <si>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</si>
  <si>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</si>
  <si>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</si>
  <si>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</si>
  <si>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</si>
  <si>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</si>
  <si>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</si>
  <si>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</si>
  <si>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</si>
  <si>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</si>
  <si>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</si>
  <si>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</si>
  <si>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</si>
  <si>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</si>
  <si>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</si>
  <si>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</si>
  <si>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</si>
  <si>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</si>
  <si>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</si>
  <si>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</si>
  <si>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</si>
  <si>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</si>
  <si>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</si>
  <si>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</si>
  <si>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</si>
  <si>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</si>
  <si>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</si>
  <si>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</si>
  <si>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</si>
  <si>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</si>
  <si>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</si>
  <si>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</si>
  <si>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</si>
  <si>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</si>
  <si>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</si>
  <si>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</si>
  <si>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</si>
  <si>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</si>
  <si>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</si>
  <si>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</si>
  <si>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</si>
  <si>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</si>
  <si>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</si>
  <si>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</si>
  <si>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</si>
  <si>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</si>
  <si>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</si>
  <si>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</si>
  <si>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</si>
  <si>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</si>
  <si>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</si>
  <si>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</si>
  <si>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</si>
  <si>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</si>
  <si>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</si>
  <si>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</si>
  <si>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</si>
  <si>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</si>
  <si>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</si>
  <si>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</si>
  <si>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</si>
  <si>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</si>
  <si>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</si>
  <si>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</si>
  <si>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</si>
  <si>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</si>
  <si>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</si>
  <si>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</si>
  <si>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</si>
  <si>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</si>
  <si>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</si>
  <si>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</si>
  <si>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</si>
  <si>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</si>
  <si>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</si>
  <si>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</si>
  <si>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</si>
  <si>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</si>
  <si>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</si>
  <si>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</si>
  <si>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</si>
  <si>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</si>
  <si>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</si>
  <si>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</si>
  <si>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</si>
  <si>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</si>
  <si>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</si>
  <si>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</si>
  <si>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</si>
  <si>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</si>
  <si>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</si>
  <si>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</si>
  <si>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</si>
  <si>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</si>
  <si>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</si>
  <si>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</si>
  <si>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</si>
  <si>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</si>
  <si>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</si>
  <si>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</si>
  <si>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</si>
  <si>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</si>
  <si>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</si>
  <si>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</si>
  <si>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</si>
  <si>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</si>
  <si>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</si>
  <si>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</si>
  <si>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</si>
  <si>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</si>
  <si>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</si>
  <si>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</si>
  <si>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</si>
  <si>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</si>
  <si>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</si>
  <si>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</si>
  <si>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</si>
  <si>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</si>
  <si>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</si>
  <si>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</si>
  <si>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</si>
  <si>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</si>
  <si>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</si>
  <si>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</si>
  <si>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</si>
  <si>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</si>
  <si>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</si>
  <si>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</si>
  <si>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</si>
  <si>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</si>
  <si>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</si>
  <si>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</si>
  <si>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</si>
  <si>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</si>
  <si>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</si>
  <si>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</si>
  <si>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</si>
  <si>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</si>
  <si>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</si>
  <si>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</si>
  <si>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</si>
  <si>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</si>
  <si>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</si>
  <si>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</si>
  <si>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</si>
  <si>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</si>
  <si>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</si>
  <si>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</si>
  <si>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</si>
  <si>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</si>
  <si>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</si>
  <si>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</si>
  <si>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</si>
  <si>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</si>
  <si>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</si>
  <si>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</si>
  <si>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</si>
  <si>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</si>
  <si>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</si>
  <si>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</si>
  <si>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</si>
  <si>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</si>
  <si>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</si>
  <si>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</si>
  <si>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</si>
  <si>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</si>
  <si>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</si>
  <si>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</si>
  <si>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</si>
  <si>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</si>
  <si>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</si>
  <si>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</si>
  <si>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</si>
  <si>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</si>
  <si>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</si>
  <si>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</si>
  <si>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</si>
  <si>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</si>
  <si>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</si>
  <si>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</si>
  <si>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</si>
  <si>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</si>
  <si>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</si>
  <si>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</si>
  <si>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</si>
  <si>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</si>
  <si>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</si>
  <si>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</si>
  <si>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</si>
  <si>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</si>
  <si>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</si>
  <si>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</si>
  <si>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</si>
  <si>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</si>
  <si>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</si>
  <si>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</si>
  <si>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</si>
  <si>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</si>
  <si>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</si>
  <si>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</si>
  <si>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</si>
  <si>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</si>
  <si>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</si>
  <si>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</si>
  <si>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</si>
  <si>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</si>
  <si>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</si>
  <si>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</si>
  <si>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</si>
  <si>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</si>
  <si>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</si>
  <si>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</si>
  <si>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</si>
  <si>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</si>
  <si>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</si>
  <si>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</si>
  <si>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</si>
  <si>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</si>
  <si>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</si>
  <si>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</si>
  <si>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</si>
  <si>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</si>
  <si>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</si>
  <si>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</si>
  <si>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</si>
  <si>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</si>
  <si>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</si>
  <si>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</si>
  <si>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</si>
  <si>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</si>
  <si>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</si>
  <si>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</si>
  <si>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</si>
  <si>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</si>
  <si>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</si>
  <si>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</si>
  <si>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</si>
  <si>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</si>
  <si>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</si>
  <si>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</si>
  <si>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</si>
  <si>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</si>
  <si>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</si>
  <si>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</si>
  <si>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</si>
  <si>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</si>
  <si>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</si>
  <si>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</si>
  <si>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</si>
  <si>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</si>
  <si>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</si>
  <si>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</si>
  <si>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</si>
  <si>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</si>
  <si>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</si>
  <si>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</si>
  <si>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</si>
  <si>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</si>
  <si>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</si>
  <si>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</si>
  <si>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</si>
  <si>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</si>
  <si>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</si>
  <si>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</si>
  <si>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</si>
  <si>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</si>
  <si>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</si>
  <si>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</si>
  <si>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</si>
  <si>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</si>
  <si>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</si>
  <si>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</si>
  <si>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</si>
  <si>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</si>
  <si>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</si>
  <si>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</si>
  <si>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</si>
  <si>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</si>
  <si>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</si>
  <si>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</si>
  <si>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</si>
  <si>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</si>
  <si>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</si>
  <si>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</si>
  <si>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</si>
  <si>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</si>
  <si>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</si>
  <si>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</si>
  <si>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</si>
  <si>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</si>
  <si>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</si>
  <si>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</si>
  <si>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</si>
  <si>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</si>
  <si>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</si>
  <si>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</si>
  <si>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</si>
  <si>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</si>
  <si>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</si>
  <si>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</si>
  <si>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</si>
  <si>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</si>
  <si>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</si>
  <si>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</si>
  <si>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</si>
  <si>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</si>
  <si>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</si>
  <si>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</si>
  <si>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</si>
  <si>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</si>
  <si>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</si>
  <si>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</si>
  <si>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</si>
  <si>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</si>
  <si>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</si>
  <si>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</si>
  <si>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</si>
  <si>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</si>
  <si>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</si>
  <si>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</si>
  <si>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</si>
  <si>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</si>
  <si>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</si>
  <si>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</si>
  <si>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</si>
  <si>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</si>
  <si>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</si>
  <si>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</si>
  <si>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</si>
  <si>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</si>
  <si>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</si>
  <si>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</si>
  <si>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</si>
  <si>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</si>
  <si>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</si>
  <si>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</si>
  <si>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</si>
  <si>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</si>
  <si>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</si>
  <si>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</si>
  <si>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</si>
  <si>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</si>
  <si>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</si>
  <si>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</si>
  <si>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</si>
  <si>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</si>
  <si>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</si>
  <si>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</si>
  <si>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</si>
  <si>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</si>
  <si>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</si>
  <si>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</si>
  <si>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</si>
  <si>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</si>
  <si>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</si>
  <si>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</si>
  <si>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</si>
  <si>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</si>
  <si>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</si>
  <si>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</si>
  <si>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</si>
  <si>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</si>
  <si>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</si>
  <si>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</si>
  <si>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</si>
  <si>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</si>
  <si>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</si>
  <si>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</si>
  <si>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</si>
  <si>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</si>
  <si>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</si>
  <si>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</si>
  <si>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</si>
  <si>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</si>
  <si>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</si>
  <si>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</si>
  <si>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</si>
  <si>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</si>
  <si>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</si>
  <si>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</si>
  <si>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</si>
  <si>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</si>
  <si>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</si>
  <si>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</si>
  <si>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</si>
  <si>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</si>
  <si>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</si>
  <si>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</si>
  <si>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</si>
  <si>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</si>
  <si>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</si>
  <si>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</si>
  <si>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</si>
  <si>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</si>
  <si>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</si>
  <si>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</si>
  <si>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</si>
  <si>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</si>
  <si>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</si>
  <si>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</si>
  <si>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</si>
  <si>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</si>
  <si>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</si>
  <si>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</si>
  <si>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</si>
  <si>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</si>
  <si>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</si>
  <si>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</si>
  <si>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</si>
  <si>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</si>
  <si>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</si>
  <si>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</si>
  <si>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</si>
  <si>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</si>
  <si>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</si>
  <si>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</si>
  <si>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</si>
  <si>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</si>
  <si>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</si>
  <si>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</si>
  <si>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</si>
  <si>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</si>
  <si>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</si>
  <si>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</si>
  <si>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钢混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</si>
</sst>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</xdr:row>
      <xdr:rowOff>152400</xdr:rowOff>
    </xdr:from>
    <xdr:to>
      <xdr:col>18</xdr:col>
      <xdr:colOff>113213</xdr:colOff>
      <xdr:row>35</xdr:row>
      <xdr:rowOff>75524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30A1F89-37D0-443A-BFC8-A242A516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2375" y="666750"/>
          <a:ext cx="8695238" cy="54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5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5"/>
      <c r="B19" s="1695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5"/>
      <c r="B20" s="1695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5"/>
      <c r="B21" s="1695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5"/>
      <c r="B22" s="1695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5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5"/>
      <c r="B24" s="1695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5"/>
      <c r="B28" s="1695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5"/>
      <c r="B29" s="1695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5"/>
      <c r="B30" s="1695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5"/>
      <c r="B31" s="1695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5"/>
      <c r="B32" s="1695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5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5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5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5"/>
      <c r="B36" s="1695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5"/>
      <c r="B37" s="1695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5"/>
      <c r="B38" s="1695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5"/>
      <c r="B39" s="1695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O31" sqref="O31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58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3239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2.1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959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575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3.6537999999999999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40605</v>
      </c>
      <c r="I9" s="1431">
        <f>ROUND(SUMPRODUCT((地价!A36:A86=YEAR(H9)&amp;"-"&amp;ROUNDUP(MONTH(H9)/3,0))*(地价!B3:F3=E2)*(地价!B36:F86)),0)</f>
        <v>380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0.98799999999999999</v>
      </c>
      <c r="D11" s="1402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0.98799999999999999</v>
      </c>
      <c r="E12" s="1393">
        <f>ROUNDDOWN(G3,1)</f>
        <v>2.1</v>
      </c>
      <c r="F12" s="1394">
        <f>IF(G3&lt;=10,SUMPRODUCT(('2002容积率修正'!A3:A102=E12)*('2002容积率修正'!B2:D2=E2)*('2002容积率修正'!B3:D102)),"——")</f>
        <v>0.98799999999999999</v>
      </c>
      <c r="G12" s="1392">
        <f>ROUNDUP(G3,1)</f>
        <v>2.1</v>
      </c>
      <c r="H12" s="580">
        <f>IF(G3&lt;=10,SUMPRODUCT(('2002容积率修正'!A3:A102=G12)*('2002容积率修正'!B2:D2=E2)*('2002容积率修正'!B3:D102)),"——")</f>
        <v>0.98799999999999999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0.98799999999999999</v>
      </c>
      <c r="E13" s="1393">
        <f>ROUNDDOWN(G3,1)</f>
        <v>2.1</v>
      </c>
      <c r="F13" s="1394">
        <f>IF(G3&lt;=10,SUMPRODUCT(('2002容积率修正'!A3:A102=E13)*('2002容积率修正'!E2:G2=E2)*('2002容积率修正'!E3:G102)),"——")</f>
        <v>0.83899999999999997</v>
      </c>
      <c r="G13" s="1392">
        <f>ROUNDUP(G3,1)</f>
        <v>2.1</v>
      </c>
      <c r="H13" s="580">
        <f>IF(G3&lt;=10,SUMPRODUCT(('2002容积率修正'!A3:A102=G13)*('2002容积率修正'!E2:G2=E2)*('2002容积率修正'!E3:G102)),"——")</f>
        <v>0.83899999999999997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1.0493999999999999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3239</v>
      </c>
      <c r="D18" s="589">
        <f>H1</f>
        <v>58</v>
      </c>
      <c r="E18" s="590">
        <f>ROUND(C18*D18,0)</f>
        <v>187862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6802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959</v>
      </c>
      <c r="D20" s="595">
        <f>H1</f>
        <v>58</v>
      </c>
      <c r="E20" s="596">
        <f>ROUND(C20*D20,0)</f>
        <v>55622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2013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575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37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1.0493999999999999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1799</v>
      </c>
      <c r="D60" s="456">
        <f t="shared" ref="D60:D67" si="7">SUMIF($F$59:$J$59,C60,F60:J60)</f>
        <v>1.2999999999999999E-2</v>
      </c>
      <c r="E60" s="237">
        <f>SUM(D60:D67)</f>
        <v>4.9399999999999999E-2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1799</v>
      </c>
      <c r="D62" s="456">
        <f t="shared" si="7"/>
        <v>1.2999999999999999E-2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1799</v>
      </c>
      <c r="D63" s="456">
        <f t="shared" si="7"/>
        <v>1.2999999999999999E-2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1799</v>
      </c>
      <c r="D64" s="456">
        <f t="shared" si="7"/>
        <v>1.04E-2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2.1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0.97199999999999998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0.81369999999999998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0.9486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0.97199999999999998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0.70650000000000002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5" t="s">
        <v>1424</v>
      </c>
      <c r="E2" s="1725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6"/>
      <c r="E3" s="1726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7"/>
      <c r="E5" s="1727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35" t="s">
        <v>1425</v>
      </c>
      <c r="E6" s="1725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36"/>
      <c r="E7" s="1726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7"/>
      <c r="E8" s="1727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58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5" t="s">
        <v>1403</v>
      </c>
      <c r="E10" s="1725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8"/>
      <c r="E11" s="1728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0.96760000000000002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5.2999999999999999E-2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55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58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58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4">
        <f>主表!B4</f>
        <v>40605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2011-3-1</v>
      </c>
      <c r="D56" s="1447">
        <f>EDATE(C56,-3)</f>
        <v>40513</v>
      </c>
      <c r="E56" s="1447">
        <f t="shared" ref="E56:O56" si="15">EDATE(D56,-3)</f>
        <v>40422</v>
      </c>
      <c r="F56" s="1447">
        <f t="shared" si="15"/>
        <v>40330</v>
      </c>
      <c r="G56" s="1447">
        <f t="shared" si="15"/>
        <v>40238</v>
      </c>
      <c r="H56" s="1447">
        <f t="shared" si="15"/>
        <v>40148</v>
      </c>
      <c r="I56" s="1447">
        <f t="shared" si="15"/>
        <v>40057</v>
      </c>
      <c r="J56" s="1447">
        <f t="shared" si="15"/>
        <v>39965</v>
      </c>
      <c r="K56" s="1447">
        <f t="shared" si="15"/>
        <v>39873</v>
      </c>
      <c r="L56" s="1447">
        <f t="shared" si="15"/>
        <v>39783</v>
      </c>
      <c r="M56" s="1447">
        <f t="shared" si="15"/>
        <v>39692</v>
      </c>
      <c r="N56" s="1447">
        <f t="shared" si="15"/>
        <v>39600</v>
      </c>
      <c r="O56" s="1447">
        <f t="shared" si="15"/>
        <v>39508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2011-1</v>
      </c>
      <c r="D58" s="1446" t="str">
        <f t="shared" ref="D58:O58" si="16">YEAR(D56)&amp;"-"&amp;ROUNDUP(MONTH(D56)/3,0)</f>
        <v>2010-4</v>
      </c>
      <c r="E58" s="1446" t="str">
        <f t="shared" si="16"/>
        <v>2010-3</v>
      </c>
      <c r="F58" s="1446" t="str">
        <f t="shared" si="16"/>
        <v>2010-2</v>
      </c>
      <c r="G58" s="1446" t="str">
        <f t="shared" si="16"/>
        <v>2010-1</v>
      </c>
      <c r="H58" s="1446" t="str">
        <f t="shared" si="16"/>
        <v>2009-4</v>
      </c>
      <c r="I58" s="1446" t="str">
        <f t="shared" si="16"/>
        <v>2009-3</v>
      </c>
      <c r="J58" s="1446" t="str">
        <f t="shared" si="16"/>
        <v>2009-2</v>
      </c>
      <c r="K58" s="1446" t="str">
        <f t="shared" si="16"/>
        <v>2009-1</v>
      </c>
      <c r="L58" s="1446" t="str">
        <f t="shared" si="16"/>
        <v>2008-4</v>
      </c>
      <c r="M58" s="1446" t="str">
        <f t="shared" si="16"/>
        <v>2008-3</v>
      </c>
      <c r="N58" s="1446" t="str">
        <f t="shared" si="16"/>
        <v>2008-2</v>
      </c>
      <c r="O58" s="1446" t="str">
        <f t="shared" si="16"/>
        <v>2008-1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40605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33</v>
      </c>
      <c r="K1" s="1075">
        <f ca="1">MATCH(E1,C4:C8,1)+IF(SUMIF(C4:C8,E1,D4:D8)=0,3,2)</f>
        <v>3</v>
      </c>
      <c r="L1" s="1075">
        <f>IF(C1&gt;M14,0,MATCH(C1,M$14:M$52,-1))+IF(SUMIF(M14:M52,C1,N14:N52)=0,14,13)</f>
        <v>24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40605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33</v>
      </c>
      <c r="K2" s="1075">
        <f ca="1">MATCH(E2,C4:C8,1)+IF(SUMIF(C4:C8,E2,D4:D8)=0,3,2)</f>
        <v>3</v>
      </c>
      <c r="L2" s="1075">
        <f>IF(C2&gt;M14,0,MATCH(C2,M$14:M$52,-1))+IF(SUMIF(M14:M52,C2,N14:N52)=0,14,13)</f>
        <v>24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6.0999999999999999E-2</v>
      </c>
      <c r="H3" s="961" t="s">
        <v>1508</v>
      </c>
      <c r="I3" s="962">
        <f ca="1">SUMIF(F4:F8,E3,H4:H8)/100</f>
        <v>4.4999999999999998E-2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6.06</v>
      </c>
      <c r="E5" s="925">
        <f ca="1">INDIRECT("e"&amp;$J$2)</f>
        <v>6.06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6.1</v>
      </c>
      <c r="E6" s="925">
        <f ca="1">INDIRECT("f"&amp;$J$2)</f>
        <v>6.1</v>
      </c>
      <c r="F6" s="924">
        <v>2</v>
      </c>
      <c r="G6" s="917">
        <f ca="1">INDIRECT("r"&amp;$L$1)</f>
        <v>3.9</v>
      </c>
      <c r="H6" s="917">
        <f ca="1">INDIRECT("r"&amp;$L$2)</f>
        <v>3.9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6.45</v>
      </c>
      <c r="E7" s="925">
        <f ca="1">INDIRECT("g"&amp;$J$2)</f>
        <v>6.45</v>
      </c>
      <c r="F7" s="924">
        <v>3</v>
      </c>
      <c r="G7" s="917">
        <f ca="1">INDIRECT("s"&amp;$L$1)</f>
        <v>4.5</v>
      </c>
      <c r="H7" s="917">
        <f ca="1">INDIRECT("s"&amp;$L$2)</f>
        <v>4.5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6.6</v>
      </c>
      <c r="E8" s="925">
        <f ca="1">INDIRECT("h"&amp;$J$2)</f>
        <v>6.6</v>
      </c>
      <c r="F8" s="924">
        <v>5</v>
      </c>
      <c r="G8" s="917">
        <f ca="1">INDIRECT("t"&amp;$L$1)</f>
        <v>5</v>
      </c>
      <c r="H8" s="917">
        <f ca="1">INDIRECT("t"&amp;$L$2)</f>
        <v>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0" t="s">
        <v>1638</v>
      </c>
      <c r="O2" s="1780"/>
      <c r="P2" s="1780"/>
      <c r="Q2" s="1780"/>
      <c r="S2" s="1780" t="s">
        <v>1639</v>
      </c>
      <c r="T2" s="1780"/>
      <c r="U2" s="1780"/>
      <c r="V2" s="1780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2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2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2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2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2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2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2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3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1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2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2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3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1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2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2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3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1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2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2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3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1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2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2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3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1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2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2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3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1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2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2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3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1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2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2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3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1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2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2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3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1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2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2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3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1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2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2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3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1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2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2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3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1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2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2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3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1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2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2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3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J26" sqref="J26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11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37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58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40605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58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6"/>
      <c r="I2" s="1635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79" t="s">
        <v>1356</v>
      </c>
      <c r="E4" s="1671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80" t="s">
        <v>1360</v>
      </c>
      <c r="B5" s="1665">
        <f>主表!F5</f>
        <v>2664</v>
      </c>
      <c r="C5" s="1681" t="s">
        <v>1361</v>
      </c>
      <c r="D5" s="1671" t="s">
        <v>1362</v>
      </c>
      <c r="E5" s="1672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80"/>
      <c r="B6" s="1665"/>
      <c r="C6" s="1681"/>
      <c r="D6" s="168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80"/>
      <c r="B7" s="1665"/>
      <c r="C7" s="1681"/>
      <c r="D7" s="168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71" t="s">
        <v>1367</v>
      </c>
      <c r="E11" s="1672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1369</v>
      </c>
      <c r="E12" s="1672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71" t="s">
        <v>1370</v>
      </c>
      <c r="E13" s="1672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2664</v>
      </c>
      <c r="C14" s="1220" t="s">
        <v>1372</v>
      </c>
      <c r="D14" s="1671" t="s">
        <v>1371</v>
      </c>
      <c r="E14" s="1672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5">
        <f ca="1">主表!F24</f>
        <v>2664</v>
      </c>
      <c r="C15" s="1666"/>
      <c r="D15" s="1667" t="s">
        <v>1374</v>
      </c>
      <c r="E15" s="1668"/>
      <c r="F15" s="1668"/>
      <c r="G15" s="1669"/>
      <c r="H15" s="1636"/>
      <c r="I15" s="1635"/>
      <c r="X15" s="210"/>
      <c r="AG15" s="182"/>
    </row>
    <row r="16" spans="1:33" ht="27.75" thickBot="1">
      <c r="A16" s="1213" t="s">
        <v>1375</v>
      </c>
      <c r="B16" s="1665">
        <f ca="1">主表!F25</f>
        <v>15.4512</v>
      </c>
      <c r="C16" s="1666"/>
      <c r="D16" s="1667" t="s">
        <v>1376</v>
      </c>
      <c r="E16" s="1668"/>
      <c r="F16" s="1668"/>
      <c r="G16" s="1669"/>
      <c r="H16" s="1222" t="str">
        <f ca="1">NUMBERSTRING(INT(B16*10000),2)&amp;"元整"</f>
        <v>壹拾伍万肆仟伍佰壹拾贰元整</v>
      </c>
      <c r="I16" s="1223"/>
      <c r="X16" s="210"/>
      <c r="AG16" s="182"/>
    </row>
    <row r="17" spans="1:33" ht="13.5">
      <c r="A17" s="1213" t="s">
        <v>1377</v>
      </c>
      <c r="B17" s="1670">
        <f>主表!F33</f>
        <v>0</v>
      </c>
      <c r="C17" s="1666"/>
      <c r="D17" s="1667" t="s">
        <v>1378</v>
      </c>
      <c r="E17" s="1668"/>
      <c r="F17" s="1668"/>
      <c r="G17" s="1669"/>
      <c r="H17" s="1636"/>
      <c r="I17" s="1635"/>
      <c r="X17" s="210"/>
      <c r="AG17" s="182"/>
    </row>
    <row r="18" spans="1:33" ht="27.75" thickBot="1">
      <c r="A18" s="1213" t="s">
        <v>1379</v>
      </c>
      <c r="B18" s="1665">
        <f ca="1">主表!F35</f>
        <v>0</v>
      </c>
      <c r="C18" s="1666"/>
      <c r="D18" s="1667" t="s">
        <v>1380</v>
      </c>
      <c r="E18" s="1668"/>
      <c r="F18" s="1668"/>
      <c r="G18" s="1669"/>
      <c r="H18" s="1636"/>
      <c r="I18" s="1635"/>
      <c r="X18" s="210"/>
      <c r="AG18" s="182"/>
    </row>
    <row r="19" spans="1:33" ht="27.75" thickBot="1">
      <c r="A19" s="1221" t="s">
        <v>1381</v>
      </c>
      <c r="B19" s="1660">
        <f ca="1">主表!F36</f>
        <v>0</v>
      </c>
      <c r="C19" s="1661"/>
      <c r="D19" s="1662" t="s">
        <v>1382</v>
      </c>
      <c r="E19" s="1663"/>
      <c r="F19" s="1663"/>
      <c r="G19" s="1664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I27" sqref="I27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40605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15</v>
      </c>
    </row>
    <row r="4" spans="1:18" ht="15.75" customHeight="1">
      <c r="A4" s="1127" t="s">
        <v>1776</v>
      </c>
      <c r="B4" s="1479">
        <f>B3</f>
        <v>40605</v>
      </c>
      <c r="C4" s="1100"/>
      <c r="D4" s="1107" t="s">
        <v>1276</v>
      </c>
      <c r="E4" s="1108" t="s">
        <v>1569</v>
      </c>
      <c r="F4" s="1109">
        <f ca="1">F5+F8+F9+F10</f>
        <v>2664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2664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3239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58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575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2.1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55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0.94499999999999995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1801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1996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2664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15.4512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0.75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58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10" t="s">
        <v>928</v>
      </c>
      <c r="E16" s="1711"/>
      <c r="F16" s="1710" t="s">
        <v>926</v>
      </c>
      <c r="G16" s="1712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5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11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40605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0.98440000000000005</v>
      </c>
      <c r="D20" s="1383" t="s">
        <v>935</v>
      </c>
      <c r="E20" s="1384">
        <f ca="1">INDIRECT("'存贷款利率'!e"&amp;存贷款利率!$K$4)/100</f>
        <v>6.0599999999999994E-2</v>
      </c>
      <c r="F20" s="1381" t="s">
        <v>936</v>
      </c>
      <c r="G20" s="1385">
        <f ca="1">SUMIF(P18:S18,E2,P20:S20)</f>
        <v>7.0000000000000007E-2</v>
      </c>
      <c r="H20" s="1386" t="s">
        <v>1634</v>
      </c>
      <c r="I20" s="964">
        <f>IF(H20="剩余土地使用年限",主表!B15,主表!B16)</f>
        <v>55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7.5999999999999998E-2</v>
      </c>
      <c r="Q20" s="567">
        <f ca="1">ROUND($E$20*(1+Q19),3)</f>
        <v>7.2999999999999995E-2</v>
      </c>
      <c r="R20" s="567">
        <f ca="1">ROUND($E$20*(1+R19),3)</f>
        <v>7.0000000000000007E-2</v>
      </c>
      <c r="S20" s="882">
        <f ca="1">ROUND($E$20*(1+S19),3)</f>
        <v>6.7000000000000004E-2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7.0000000000000007E-2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1159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1160</v>
      </c>
      <c r="B92" s="1695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6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7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7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7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7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7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7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7"/>
      <c r="B109" s="1699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4" t="s">
        <v>1175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2025-11-18T07:03:26Z</dcterms:modified>
</cp:coreProperties>
</file>