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-1-0879⑦东大街16号院1号楼9单元2层203\"/>
    </mc:Choice>
  </mc:AlternateContent>
  <xr:revisionPtr revIDLastSave="0" documentId="13_ncr:1_{CEADACD7-D2D9-40F3-8B0E-E1FFE5217F23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H7" i="65"/>
  <c r="H6" i="65"/>
  <c r="H5" i="65"/>
  <c r="H4" i="65"/>
  <c r="G8" i="65"/>
  <c r="E4" i="65"/>
  <c r="E8" i="65"/>
  <c r="E7" i="65"/>
  <c r="G4" i="65"/>
  <c r="H8" i="65"/>
  <c r="C17" i="43" l="1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M1" i="60" s="1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8" i="65"/>
  <c r="D7" i="65"/>
  <c r="E5" i="65"/>
  <c r="G5" i="65"/>
  <c r="E6" i="65"/>
  <c r="G6" i="65"/>
  <c r="G7" i="65"/>
  <c r="D62" i="63" l="1"/>
  <c r="AA12" i="39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4" i="65"/>
  <c r="D6" i="65"/>
  <c r="D5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1" i="65"/>
  <c r="E20" i="43"/>
  <c r="G2" i="65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<sst xmlns="http://schemas.openxmlformats.org/spreadsheetml/2006/main" count="3960" uniqueCount="1802">
  <si>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</si>
  <si>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</si>
  <si>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</si>
  <si>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</si>
  <si>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</si>
  <si>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</si>
  <si>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</si>
  <si>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</si>
  <si>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</si>
  <si>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</si>
  <si>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</si>
  <si>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</si>
  <si>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</si>
  <si>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</si>
  <si>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</si>
  <si>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</si>
  <si>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</si>
  <si>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</si>
  <si>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</si>
  <si>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</si>
  <si>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</si>
  <si>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</si>
  <si>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</si>
  <si>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</si>
  <si>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</si>
  <si>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</si>
  <si>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</si>
  <si>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</si>
  <si>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</si>
  <si>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</si>
  <si>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</si>
  <si>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</si>
  <si>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</si>
  <si>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</si>
  <si>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</si>
  <si>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</si>
  <si>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</si>
  <si>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</si>
  <si>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</si>
  <si>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</si>
  <si>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</si>
  <si>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</si>
  <si>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</si>
  <si>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</si>
  <si>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</si>
  <si>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</si>
  <si>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</si>
  <si>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</si>
  <si>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</si>
  <si>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</si>
  <si>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</si>
  <si>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</si>
  <si>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</si>
  <si>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</si>
  <si>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</si>
  <si>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</si>
  <si>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</si>
  <si>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</si>
  <si>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</si>
  <si>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</si>
  <si>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</si>
  <si>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</si>
  <si>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</si>
  <si>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</si>
  <si>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</si>
  <si>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</si>
  <si>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</si>
  <si>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</si>
  <si>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</si>
  <si>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</si>
  <si>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</si>
  <si>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</si>
  <si>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</si>
  <si>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</si>
  <si>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</si>
  <si>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</si>
  <si>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</si>
  <si>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</si>
  <si>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</si>
  <si>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</si>
  <si>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</si>
  <si>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</si>
  <si>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</si>
  <si>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</si>
  <si>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</si>
  <si>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</si>
  <si>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</si>
  <si>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</si>
  <si>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</si>
  <si>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</si>
  <si>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</si>
  <si>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</si>
  <si>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</si>
  <si>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</si>
  <si>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</si>
  <si>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</si>
  <si>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</si>
  <si>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</si>
  <si>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</si>
  <si>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</si>
  <si>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</si>
  <si>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</si>
  <si>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</si>
  <si>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</si>
  <si>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</si>
  <si>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</si>
  <si>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</si>
  <si>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</si>
  <si>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</si>
  <si>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</si>
  <si>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</si>
  <si>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</si>
  <si>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</si>
  <si>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</si>
  <si>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</si>
  <si>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</si>
  <si>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</si>
  <si>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</si>
  <si>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</si>
  <si>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</si>
  <si>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</si>
  <si>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</si>
  <si>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</si>
  <si>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</si>
  <si>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</si>
  <si>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</si>
  <si>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</si>
  <si>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</si>
  <si>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</si>
  <si>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</si>
  <si>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</si>
  <si>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</si>
  <si>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</si>
  <si>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</si>
  <si>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</si>
  <si>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</si>
  <si>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</si>
  <si>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</si>
  <si>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</si>
  <si>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</si>
  <si>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</si>
  <si>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</si>
  <si>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</si>
  <si>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</si>
  <si>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</si>
  <si>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</si>
  <si>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</si>
  <si>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</si>
  <si>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</si>
  <si>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</si>
  <si>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</si>
  <si>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</si>
  <si>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</si>
  <si>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</si>
  <si>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</si>
  <si>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</si>
  <si>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</si>
  <si>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</si>
  <si>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</si>
  <si>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</si>
  <si>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</si>
  <si>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</si>
  <si>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</si>
  <si>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</si>
  <si>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</si>
  <si>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</si>
  <si>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</si>
  <si>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</si>
  <si>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</si>
  <si>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</si>
  <si>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</si>
  <si>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</si>
  <si>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</si>
  <si>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</si>
  <si>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</si>
  <si>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</si>
  <si>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</si>
  <si>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</si>
  <si>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</si>
  <si>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</si>
  <si>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</si>
  <si>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</si>
  <si>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</si>
  <si>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</si>
  <si>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</si>
  <si>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</si>
  <si>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</si>
  <si>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</si>
  <si>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</si>
  <si>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</si>
  <si>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</si>
  <si>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</si>
  <si>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</si>
  <si>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</si>
  <si>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</si>
  <si>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</si>
  <si>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</si>
  <si>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</si>
  <si>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</si>
  <si>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</si>
  <si>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</si>
  <si>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</si>
  <si>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</si>
  <si>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</si>
  <si>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</si>
  <si>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</si>
  <si>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</si>
  <si>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</si>
  <si>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</si>
  <si>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</si>
  <si>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</si>
  <si>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</si>
  <si>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</si>
  <si>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</si>
  <si>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</si>
  <si>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</si>
  <si>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</si>
  <si>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</si>
  <si>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</si>
  <si>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</si>
  <si>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</si>
  <si>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</si>
  <si>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</si>
  <si>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</si>
  <si>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</si>
  <si>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</si>
  <si>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</si>
  <si>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</si>
  <si>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</si>
  <si>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</si>
  <si>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</si>
  <si>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</si>
  <si>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</si>
  <si>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</si>
  <si>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</si>
  <si>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</si>
  <si>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</si>
  <si>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</si>
  <si>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</si>
  <si>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</si>
  <si>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</si>
  <si>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</si>
  <si>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</si>
  <si>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</si>
  <si>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</si>
  <si>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</si>
  <si>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</si>
  <si>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</si>
  <si>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</si>
  <si>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</si>
  <si>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</si>
  <si>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</si>
  <si>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</si>
  <si>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</si>
  <si>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</si>
  <si>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</si>
  <si>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</si>
  <si>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</si>
  <si>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</si>
  <si>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</si>
  <si>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</si>
  <si>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</si>
  <si>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</si>
  <si>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</si>
  <si>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</si>
  <si>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</si>
  <si>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</si>
  <si>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</si>
  <si>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</si>
  <si>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</si>
  <si>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</si>
  <si>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</si>
  <si>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</si>
  <si>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</si>
  <si>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</si>
  <si>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</si>
  <si>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</si>
  <si>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</si>
  <si>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</si>
  <si>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</si>
  <si>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</si>
  <si>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</si>
  <si>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</si>
  <si>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</si>
  <si>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</si>
  <si>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</si>
  <si>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</si>
  <si>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</si>
  <si>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</si>
  <si>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</si>
  <si>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</si>
  <si>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</si>
  <si>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</si>
  <si>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</si>
  <si>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</si>
  <si>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</si>
  <si>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</si>
  <si>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</si>
  <si>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</si>
  <si>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</si>
  <si>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</si>
  <si>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</si>
  <si>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</si>
  <si>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</si>
  <si>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</si>
  <si>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</si>
  <si>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</si>
  <si>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</si>
  <si>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</si>
  <si>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</si>
  <si>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</si>
  <si>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</si>
  <si>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</si>
  <si>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</si>
  <si>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</si>
  <si>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</si>
  <si>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</si>
  <si>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</si>
  <si>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</si>
  <si>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</si>
  <si>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</si>
  <si>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</si>
  <si>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</si>
  <si>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</si>
  <si>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</si>
  <si>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</si>
  <si>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</si>
  <si>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</si>
  <si>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</si>
  <si>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</si>
  <si>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</si>
  <si>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</si>
  <si>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</si>
  <si>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</si>
  <si>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</si>
  <si>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</si>
  <si>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</si>
  <si>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</si>
  <si>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</si>
  <si>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</si>
  <si>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</si>
  <si>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</si>
  <si>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</si>
  <si>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</si>
  <si>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</si>
  <si>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</si>
  <si>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</si>
  <si>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</si>
  <si>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</si>
  <si>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</si>
  <si>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</si>
  <si>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</si>
  <si>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</si>
  <si>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</si>
  <si>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</si>
  <si>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</si>
  <si>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</si>
  <si>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</si>
  <si>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</si>
  <si>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</si>
  <si>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</si>
  <si>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</si>
  <si>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</si>
  <si>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</si>
  <si>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</si>
  <si>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</si>
  <si>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</si>
  <si>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</si>
  <si>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</si>
  <si>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</si>
  <si>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</si>
  <si>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</si>
  <si>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</si>
  <si>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</si>
  <si>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</si>
  <si>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</si>
  <si>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</si>
  <si>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</si>
  <si>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</si>
  <si>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</si>
  <si>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</si>
  <si>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</si>
  <si>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</si>
  <si>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</si>
  <si>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</si>
  <si>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</si>
  <si>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</si>
  <si>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</si>
  <si>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</si>
  <si>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</si>
  <si>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</si>
  <si>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</si>
  <si>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</si>
  <si>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</si>
  <si>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</si>
  <si>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</si>
  <si>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</si>
  <si>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</si>
  <si>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</si>
  <si>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</si>
  <si>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</si>
  <si>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</si>
  <si>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</si>
  <si>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</si>
  <si>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</si>
  <si>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</si>
  <si>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</si>
  <si>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</si>
  <si>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</si>
  <si>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</si>
  <si>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</si>
  <si>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</si>
  <si>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</si>
  <si>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</si>
  <si>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</si>
  <si>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</si>
  <si>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</si>
  <si>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</si>
  <si>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</si>
  <si>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</si>
  <si>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</si>
  <si>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</si>
  <si>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</si>
  <si>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</si>
  <si>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</si>
  <si>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</si>
  <si>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</si>
  <si>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</si>
  <si>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</si>
  <si>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</si>
  <si>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</si>
  <si>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</si>
  <si>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</si>
  <si>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</si>
  <si>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</si>
  <si>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</si>
  <si>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</si>
  <si>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</si>
  <si>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</si>
  <si>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</si>
  <si>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</si>
  <si>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</si>
  <si>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</si>
  <si>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</si>
  <si>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</si>
  <si>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</si>
  <si>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</si>
  <si>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</si>
  <si>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</si>
  <si>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</si>
  <si>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</si>
  <si>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</si>
  <si>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</si>
  <si>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</si>
  <si>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</si>
  <si>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</si>
  <si>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</si>
  <si>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</si>
  <si>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</si>
  <si>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</si>
  <si>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</si>
  <si>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</si>
  <si>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</si>
  <si>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</si>
  <si>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</si>
  <si>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</si>
  <si>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</si>
  <si>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</si>
  <si>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</si>
  <si>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</si>
  <si>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</si>
  <si>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</si>
  <si>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</si>
  <si>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</si>
  <si>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</si>
  <si>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</si>
  <si>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</si>
  <si>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</si>
  <si>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</si>
  <si>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</si>
  <si>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</si>
  <si>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</si>
  <si>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</si>
  <si>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</si>
  <si>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</si>
  <si>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</si>
  <si>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</si>
  <si>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</si>
  <si>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</si>
  <si>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</si>
  <si>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</si>
  <si>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</si>
  <si>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</si>
  <si>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</si>
  <si>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</si>
  <si>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</si>
  <si>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</si>
  <si>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</si>
  <si>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</si>
  <si>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</si>
  <si>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</si>
  <si>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</si>
  <si>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</si>
  <si>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</si>
  <si>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</si>
  <si>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</si>
  <si>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</si>
  <si>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</si>
  <si>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</si>
  <si>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</si>
  <si>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</si>
  <si>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</si>
  <si>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</si>
  <si>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</si>
  <si>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</si>
  <si>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</si>
  <si>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</si>
  <si>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</si>
  <si>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</si>
  <si>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</si>
  <si>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</si>
  <si>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</si>
  <si>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</si>
  <si>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</si>
  <si>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</si>
  <si>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</si>
  <si>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</si>
  <si>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</si>
  <si>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</si>
  <si>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</si>
  <si>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</si>
  <si>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</si>
  <si>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</si>
  <si>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</si>
  <si>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</si>
  <si>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</si>
  <si>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</si>
  <si>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</si>
  <si>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</si>
  <si>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</si>
  <si>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</si>
  <si>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</si>
  <si>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</si>
  <si>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</si>
  <si>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</si>
  <si>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</si>
  <si>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</si>
  <si>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</si>
  <si>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</si>
  <si>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</si>
  <si>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</si>
  <si>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</si>
  <si>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</si>
  <si>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</si>
  <si>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</si>
  <si>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</si>
  <si>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</si>
  <si>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</si>
  <si>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</si>
  <si>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</si>
  <si>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</si>
  <si>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</si>
  <si>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</si>
  <si>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</si>
  <si>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</si>
  <si>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</si>
  <si>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</si>
  <si>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</si>
  <si>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</si>
  <si>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</si>
  <si>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</si>
  <si>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</si>
  <si>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</si>
  <si>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</si>
  <si>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</si>
  <si>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</si>
  <si>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</si>
  <si>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</si>
  <si>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</si>
  <si>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</si>
  <si>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</si>
  <si>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</si>
  <si>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</si>
  <si>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</si>
  <si>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</si>
  <si>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</si>
  <si>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</si>
  <si>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</si>
  <si>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</si>
  <si>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</si>
  <si>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</si>
  <si>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</si>
  <si>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</si>
  <si>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</si>
  <si>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</si>
  <si>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</si>
  <si>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</si>
  <si>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</si>
  <si>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</si>
  <si>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</si>
  <si>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</si>
  <si>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</si>
  <si>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</si>
  <si>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</si>
  <si>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</si>
  <si>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</si>
  <si>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</si>
  <si>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</si>
  <si>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</si>
  <si>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</si>
  <si>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</si>
  <si>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</si>
  <si>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</si>
  <si>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</si>
  <si>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</si>
  <si>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</si>
  <si>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</si>
  <si>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</si>
  <si>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</si>
  <si>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</si>
  <si>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</si>
  <si>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</si>
  <si>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</si>
  <si>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</si>
  <si>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</si>
  <si>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</si>
  <si>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</si>
  <si>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</si>
  <si>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</si>
  <si>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</si>
  <si>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</si>
  <si>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</si>
  <si>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</si>
  <si>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</si>
  <si>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</si>
  <si>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</si>
  <si>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</si>
  <si>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</si>
  <si>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</si>
  <si>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</si>
  <si>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</si>
  <si>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</si>
  <si>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</si>
  <si>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</si>
  <si>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</si>
  <si>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</si>
  <si>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</si>
  <si>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</si>
  <si>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</si>
  <si>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</si>
  <si>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</si>
  <si>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</si>
  <si>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</si>
  <si>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</si>
  <si>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</si>
  <si>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</si>
  <si>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</si>
  <si>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</si>
  <si>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</si>
  <si>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</si>
  <si>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</si>
  <si>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</si>
  <si>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</si>
  <si>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</si>
  <si>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</si>
  <si>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</si>
  <si>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</si>
  <si>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</si>
  <si>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</si>
  <si>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</si>
  <si>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</si>
  <si>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</si>
  <si>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</si>
  <si>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</si>
  <si>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</si>
  <si>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</si>
  <si>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</si>
  <si>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</si>
  <si>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</si>
  <si>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</si>
  <si>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</si>
  <si>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</si>
  <si>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</si>
  <si>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</si>
  <si>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</si>
  <si>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</si>
  <si>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</si>
  <si>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</si>
  <si>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</si>
  <si>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</si>
  <si>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</si>
  <si>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</si>
  <si>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</si>
  <si>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</si>
  <si>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</si>
  <si>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</si>
  <si>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</si>
  <si>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</si>
  <si>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</si>
  <si>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</si>
  <si>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</si>
  <si>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</si>
  <si>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</si>
  <si>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</si>
  <si>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</si>
  <si>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</si>
  <si>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</si>
  <si>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</si>
  <si>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</si>
  <si>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</si>
  <si>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</si>
  <si>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</si>
  <si>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</si>
  <si>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</si>
  <si>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</si>
  <si>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</si>
  <si>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</si>
  <si>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</si>
  <si>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</si>
  <si>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</si>
  <si>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</si>
  <si>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</si>
  <si>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</si>
  <si>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</si>
  <si>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</si>
  <si>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</si>
  <si>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</si>
  <si>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</si>
  <si>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</si>
  <si>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</si>
  <si>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</si>
  <si>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</si>
  <si>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</si>
  <si>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</si>
  <si>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</si>
  <si>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</si>
  <si>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</si>
  <si>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</si>
  <si>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</si>
  <si>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</si>
  <si>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</si>
  <si>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</si>
  <si>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</si>
  <si>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</si>
  <si>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</si>
  <si>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</si>
  <si>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</si>
  <si>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</si>
  <si>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</si>
  <si>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</si>
  <si>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</si>
  <si>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</si>
  <si>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</si>
  <si>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</si>
  <si>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</si>
  <si>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</si>
  <si>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</si>
  <si>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</si>
  <si>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</si>
  <si>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</si>
  <si>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</si>
  <si>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</si>
  <si>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</si>
  <si>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</si>
  <si>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</si>
  <si>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</si>
  <si>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</si>
  <si>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</si>
  <si>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</si>
  <si>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</si>
  <si>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</si>
  <si>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</si>
  <si>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</si>
  <si>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</si>
  <si>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</si>
  <si>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</si>
  <si>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</si>
  <si>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</si>
  <si>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</si>
  <si>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</si>
  <si>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</si>
  <si>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</si>
  <si>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</si>
  <si>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</si>
  <si>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</si>
  <si>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</si>
  <si>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</si>
  <si>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</si>
  <si>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</si>
  <si>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</si>
  <si>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</si>
  <si>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</si>
  <si>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</si>
  <si>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</si>
  <si>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</si>
  <si>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</si>
  <si>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</si>
  <si>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</si>
  <si>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</si>
  <si>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</si>
  <si>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</si>
  <si>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</si>
  <si>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</si>
  <si>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</si>
  <si>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</si>
  <si>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</si>
  <si>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</si>
  <si>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</si>
  <si>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</si>
  <si>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</si>
  <si>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</si>
  <si>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</si>
  <si>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</si>
  <si>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</si>
  <si>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</si>
  <si>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</si>
  <si>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</si>
  <si>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</si>
  <si>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</si>
  <si>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</si>
  <si>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</si>
  <si>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</si>
  <si>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</si>
  <si>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</si>
  <si>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</si>
  <si>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</si>
  <si>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</si>
  <si>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</si>
  <si>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</si>
  <si>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</si>
  <si>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</si>
  <si>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</si>
  <si>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</si>
  <si>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</si>
  <si>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</si>
  <si>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</si>
  <si>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</si>
  <si>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</si>
  <si>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</si>
  <si>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</si>
  <si>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</si>
  <si>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</si>
  <si>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</si>
  <si>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</si>
  <si>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</si>
  <si>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</si>
  <si>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</si>
  <si>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</si>
  <si>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</si>
  <si>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</si>
  <si>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</si>
  <si>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</si>
  <si>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</si>
  <si>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</si>
  <si>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</si>
  <si>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</si>
  <si>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</si>
  <si>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</si>
  <si>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</si>
  <si>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</si>
  <si>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</si>
  <si>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</si>
  <si>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</si>
  <si>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</si>
  <si>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</si>
  <si>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</si>
  <si>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</si>
  <si>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</si>
  <si>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</si>
  <si>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</si>
  <si>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</si>
  <si>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</si>
  <si>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</si>
  <si>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</si>
  <si>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</si>
  <si>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</si>
  <si>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</si>
  <si>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</si>
  <si>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</si>
  <si>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</si>
  <si>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</si>
  <si>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</si>
  <si>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</si>
  <si>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</si>
  <si>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</si>
  <si>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</si>
  <si>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</si>
  <si>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</si>
  <si>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</si>
  <si>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</si>
  <si>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</si>
  <si>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</si>
  <si>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</si>
  <si>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</si>
  <si>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</si>
  <si>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</si>
  <si>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</si>
  <si>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</si>
  <si>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</si>
  <si>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</si>
  <si>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</si>
  <si>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</si>
  <si>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</si>
  <si>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</si>
  <si>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</si>
  <si>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</si>
  <si>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</si>
  <si>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</si>
  <si>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</si>
  <si>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</si>
  <si>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</si>
  <si>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</si>
  <si>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</si>
  <si>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</si>
  <si>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</si>
  <si>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</si>
  <si>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</si>
  <si>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</si>
  <si>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</si>
  <si>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</si>
  <si>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</si>
  <si>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</si>
  <si>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</si>
  <si>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</si>
  <si>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</si>
  <si>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</si>
  <si>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</si>
  <si>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</si>
  <si>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</si>
  <si>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</si>
  <si>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</si>
  <si>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</si>
  <si>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</si>
  <si>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</si>
  <si>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</si>
  <si>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</si>
  <si>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</si>
  <si>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</si>
  <si>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</si>
  <si>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</si>
  <si>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</si>
  <si>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</si>
  <si>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</si>
  <si>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</si>
  <si>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</si>
  <si>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</si>
  <si>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</si>
  <si>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</si>
  <si>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</si>
  <si>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</si>
  <si>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</si>
  <si>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</si>
  <si>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</si>
  <si>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</si>
  <si>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</si>
  <si>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</si>
  <si>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</si>
  <si>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</si>
  <si>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</si>
  <si>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</si>
  <si>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</si>
  <si>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</si>
  <si>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</si>
  <si>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</si>
  <si>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</si>
  <si>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</si>
  <si>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</si>
  <si>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</si>
  <si>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</si>
  <si>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</si>
  <si>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</si>
  <si>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</si>
  <si>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</si>
  <si>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</si>
  <si>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</si>
  <si>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</si>
  <si>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</si>
  <si>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</si>
  <si>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</si>
  <si>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</si>
  <si>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</si>
  <si>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</si>
  <si>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</si>
  <si>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</si>
  <si>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</si>
  <si>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</si>
  <si>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</si>
  <si>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</si>
  <si>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</si>
  <si>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</si>
  <si>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</si>
  <si>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</si>
  <si>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</si>
  <si>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</si>
  <si>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</si>
  <si>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</si>
  <si>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</si>
  <si>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</si>
  <si>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</si>
  <si>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</si>
  <si>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</si>
  <si>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</si>
  <si>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</si>
  <si>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</si>
  <si>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</si>
  <si>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</si>
  <si>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</si>
  <si>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</si>
  <si>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</si>
  <si>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</si>
  <si>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</si>
  <si>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</si>
  <si>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</si>
  <si>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</si>
  <si>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</si>
  <si>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</si>
  <si>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</si>
  <si>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</si>
  <si>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</si>
  <si>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</si>
  <si>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</si>
  <si>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</si>
  <si>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</si>
  <si>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</si>
  <si>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</si>
  <si>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</si>
  <si>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</si>
  <si>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</si>
  <si>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</si>
  <si>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</si>
  <si>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</si>
  <si>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</si>
  <si>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</si>
  <si>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</si>
  <si>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</si>
  <si>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</si>
  <si>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</si>
  <si>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</si>
  <si>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</si>
  <si>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</si>
  <si>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</si>
  <si>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</si>
  <si>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</si>
  <si>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</si>
  <si>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</si>
  <si>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</si>
  <si>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</si>
  <si>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</si>
  <si>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</si>
  <si>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</si>
  <si>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</si>
  <si>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</si>
  <si>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</si>
  <si>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</si>
  <si>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</si>
  <si>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</si>
  <si>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</si>
  <si>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</si>
  <si>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</si>
  <si>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</si>
  <si>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</si>
  <si>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</si>
  <si>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</si>
  <si>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</si>
  <si>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</si>
  <si>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</si>
  <si>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</si>
  <si>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</si>
  <si>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</si>
  <si>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</si>
  <si>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</si>
  <si>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</si>
  <si>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</si>
  <si>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</si>
  <si>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</si>
  <si>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</si>
  <si>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</si>
  <si>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</si>
  <si>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</si>
  <si>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</si>
  <si>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</si>
  <si>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</si>
  <si>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</si>
  <si>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</si>
  <si>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</si>
  <si>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</si>
  <si>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</si>
  <si>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</si>
  <si>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</si>
  <si>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</si>
  <si>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</si>
  <si>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</si>
  <si>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</si>
  <si>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</si>
  <si>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</si>
  <si>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</si>
  <si>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</si>
  <si>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</si>
  <si>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</si>
  <si>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</si>
  <si>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</si>
  <si>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</si>
  <si>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</si>
  <si>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</si>
  <si>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</si>
  <si>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</si>
  <si>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</si>
  <si>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</si>
  <si>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</si>
  <si>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</si>
  <si>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</si>
  <si>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</si>
  <si>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</si>
  <si>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</si>
  <si>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</si>
  <si>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</si>
  <si>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</si>
  <si>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</si>
  <si>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</si>
  <si>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</si>
  <si>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</si>
  <si>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</si>
  <si>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</si>
  <si>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</si>
  <si>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</si>
  <si>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</si>
  <si>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</si>
  <si>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</si>
  <si>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</si>
  <si>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</si>
  <si>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</si>
  <si>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</si>
  <si>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</si>
  <si>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</si>
  <si>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</si>
  <si>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</si>
  <si>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</si>
  <si>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</si>
  <si>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</si>
  <si>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</si>
  <si>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</si>
  <si>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</si>
  <si>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</si>
  <si>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</si>
  <si>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</si>
  <si>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</si>
  <si>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</si>
  <si>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</si>
  <si>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</si>
  <si>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</si>
  <si>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</si>
  <si>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</si>
  <si>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</si>
  <si>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</si>
  <si>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</si>
  <si>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</si>
  <si>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</si>
  <si>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</si>
  <si>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</si>
  <si>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</si>
  <si>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</si>
  <si>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</si>
  <si>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</si>
  <si>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</si>
  <si>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</si>
  <si>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</si>
  <si>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</si>
  <si>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</si>
  <si>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</si>
  <si>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</si>
  <si>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</si>
  <si>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</si>
  <si>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</si>
  <si>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</si>
  <si>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</si>
  <si>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</si>
  <si>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</si>
  <si>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</si>
  <si>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</si>
  <si>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</si>
  <si>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</si>
  <si>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</si>
  <si>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</si>
  <si>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</si>
  <si>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</si>
  <si>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</si>
  <si>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</si>
  <si>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</si>
  <si>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</si>
  <si>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</si>
  <si>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</si>
  <si>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</si>
  <si>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</si>
  <si>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</si>
  <si>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</si>
  <si>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</si>
  <si>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</si>
  <si>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</si>
  <si>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</si>
  <si>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</si>
  <si>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</si>
  <si>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</si>
  <si>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</si>
  <si>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</si>
  <si>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</si>
  <si>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</si>
  <si>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</si>
  <si>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</si>
  <si>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</si>
  <si>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</si>
  <si>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</si>
  <si>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</si>
  <si>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</si>
  <si>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</si>
  <si>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</si>
  <si>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</si>
  <si>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</si>
  <si>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</si>
  <si>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</si>
  <si>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</si>
  <si>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</si>
  <si>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</si>
  <si>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</si>
  <si>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</si>
  <si>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</si>
  <si>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</si>
  <si>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</si>
  <si>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</si>
  <si>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</si>
  <si>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</si>
  <si>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</si>
  <si>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</si>
  <si>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</si>
  <si>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</si>
  <si>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</si>
  <si>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</si>
  <si>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</si>
  <si>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</si>
  <si>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</si>
  <si>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</si>
  <si>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</si>
  <si>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</si>
  <si>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</si>
  <si>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</si>
  <si>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</si>
  <si>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</si>
  <si>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</si>
  <si>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</si>
  <si>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</si>
  <si>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</si>
  <si>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</si>
  <si>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</si>
  <si>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</si>
  <si>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</si>
  <si>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</si>
  <si>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</si>
  <si>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</si>
  <si>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</si>
  <si>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</si>
  <si>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</si>
  <si>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</si>
  <si>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</si>
  <si>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</si>
  <si>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</si>
  <si>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</si>
  <si>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</si>
  <si>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</si>
  <si>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</si>
  <si>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</si>
  <si>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</si>
  <si>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</si>
  <si>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</si>
  <si>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</si>
  <si>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</si>
  <si>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</si>
  <si>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</si>
  <si>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</si>
  <si>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</si>
  <si>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</si>
  <si>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</si>
  <si>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</si>
  <si>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</si>
  <si>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</si>
  <si>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</si>
  <si>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</si>
  <si>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</si>
  <si>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</si>
  <si>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</si>
  <si>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</si>
  <si>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</si>
  <si>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</si>
  <si>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</si>
  <si>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</si>
  <si>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</si>
  <si>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</si>
  <si>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</si>
  <si>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</si>
  <si>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</si>
  <si>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</si>
  <si>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</si>
  <si>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</si>
  <si>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</si>
  <si>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</si>
  <si>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</si>
  <si>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</si>
  <si>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</si>
  <si>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</si>
  <si>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</si>
  <si>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</si>
  <si>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</si>
  <si>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</si>
  <si>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</si>
  <si>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</si>
  <si>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</si>
  <si>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</si>
  <si>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</si>
  <si>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</si>
  <si>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</si>
  <si>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</si>
  <si>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</si>
  <si>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</si>
  <si>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</si>
  <si>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</si>
  <si>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</si>
  <si>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</si>
  <si>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</si>
  <si>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</si>
  <si>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</si>
  <si>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</si>
  <si>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</si>
  <si>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</si>
  <si>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</si>
  <si>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</si>
  <si>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</si>
  <si>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</si>
  <si>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</si>
  <si>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</si>
  <si>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</si>
  <si>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</si>
  <si>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</si>
  <si>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</si>
  <si>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</si>
  <si>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</si>
  <si>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</si>
  <si>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</si>
  <si>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</si>
  <si>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</si>
  <si>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</si>
  <si>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</si>
  <si>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</si>
  <si>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</si>
  <si>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</si>
  <si>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</si>
  <si>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</si>
  <si>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</si>
  <si>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</si>
  <si>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</si>
  <si>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</si>
  <si>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</si>
  <si>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</si>
  <si>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</si>
  <si>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</si>
  <si>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</si>
  <si>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</si>
  <si>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</si>
  <si>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</si>
  <si>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</si>
  <si>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</si>
  <si>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</si>
  <si>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</si>
  <si>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</si>
  <si>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</si>
  <si>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</si>
  <si>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</si>
  <si>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</si>
  <si>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</si>
  <si>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</si>
  <si>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</si>
  <si>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</si>
  <si>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</si>
  <si>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</si>
  <si>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</si>
  <si>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</si>
  <si>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</si>
  <si>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</si>
  <si>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</si>
  <si>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</si>
  <si>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</si>
  <si>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</si>
  <si>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</si>
  <si>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</si>
  <si>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</si>
  <si>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</si>
  <si>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</si>
  <si>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</si>
  <si>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</si>
  <si>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</si>
  <si>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</si>
  <si>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</si>
  <si>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</si>
  <si>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</si>
  <si>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</si>
  <si>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</si>
  <si>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</si>
  <si>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</si>
  <si>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</si>
  <si>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</si>
  <si>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</si>
  <si>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</si>
  <si>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</si>
  <si>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</si>
  <si>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</si>
  <si>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</si>
  <si>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</si>
  <si>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</si>
  <si>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</si>
  <si>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</si>
  <si>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</si>
  <si>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</si>
  <si>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</si>
  <si>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</si>
  <si>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</si>
  <si>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</si>
  <si>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</si>
  <si>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</si>
  <si>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</si>
  <si>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</si>
  <si>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</si>
  <si>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</si>
  <si>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</si>
  <si>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</si>
  <si>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</si>
  <si>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</si>
  <si>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</si>
  <si>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</si>
  <si>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</si>
  <si>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</si>
  <si>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</si>
  <si>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</si>
  <si>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</si>
  <si>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</si>
  <si>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</si>
  <si>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</si>
  <si>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</si>
  <si>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</si>
  <si>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</si>
  <si>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</si>
  <si>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</si>
  <si>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</si>
  <si>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</si>
  <si>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</si>
  <si>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</si>
  <si>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</si>
  <si>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</si>
  <si>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</si>
  <si>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</si>
  <si>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</si>
  <si>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</si>
  <si>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</si>
  <si>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</si>
  <si>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</si>
  <si>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</si>
  <si>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</si>
  <si>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</si>
  <si>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</si>
  <si>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</si>
  <si>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</si>
  <si>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</si>
  <si>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</si>
  <si>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</si>
  <si>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</si>
  <si>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</si>
  <si>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</si>
  <si>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</si>
  <si>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</si>
  <si>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</si>
  <si>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</si>
  <si>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</si>
  <si>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</si>
  <si>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</si>
  <si>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</si>
  <si>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</si>
  <si>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</si>
  <si>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</si>
  <si>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</si>
  <si>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</si>
  <si>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</si>
  <si>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</si>
  <si>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</si>
  <si>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</si>
  <si>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</si>
  <si>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</si>
  <si>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</si>
  <si>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</si>
  <si>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</si>
  <si>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</si>
  <si>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</si>
  <si>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</si>
  <si>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</si>
  <si>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</si>
  <si>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</si>
  <si>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</si>
  <si>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</si>
  <si>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</si>
  <si>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</si>
  <si>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</si>
  <si>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</si>
  <si>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</si>
  <si>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</si>
  <si>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</si>
  <si>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</si>
  <si>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</si>
  <si>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</si>
  <si>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</si>
  <si>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</si>
  <si>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</si>
  <si>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</si>
  <si>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</si>
  <si>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</si>
  <si>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</si>
  <si>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</si>
  <si>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</si>
  <si>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</si>
  <si>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</si>
  <si>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</si>
  <si>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</si>
  <si>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</si>
  <si>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</si>
  <si>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</si>
  <si>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</si>
  <si>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</si>
  <si>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</si>
  <si>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</si>
  <si>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</si>
  <si>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</si>
  <si>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</si>
  <si>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</si>
  <si>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</si>
  <si>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</si>
  <si>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</si>
  <si>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</si>
  <si>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</si>
  <si>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</si>
  <si>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</si>
  <si>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</si>
  <si>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</si>
  <si>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</si>
  <si>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</si>
  <si>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</si>
  <si>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</si>
  <si>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</si>
  <si>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</si>
  <si>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</si>
  <si>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</si>
  <si>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</si>
  <si>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</si>
  <si>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</si>
  <si>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</si>
  <si>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</si>
  <si>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</si>
  <si>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</si>
  <si>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</si>
  <si>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</si>
  <si>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</si>
  <si>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</si>
  <si>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</si>
  <si>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</si>
  <si>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</si>
  <si>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</si>
  <si>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</si>
  <si>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</si>
  <si>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</si>
  <si>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</si>
  <si>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</si>
  <si>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</si>
  <si>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</si>
  <si>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</si>
  <si>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</si>
  <si>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</si>
  <si>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</si>
  <si>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</si>
  <si>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</si>
  <si>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</si>
  <si>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</si>
  <si>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</si>
  <si>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</si>
  <si>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</si>
  <si>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</si>
  <si>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</si>
  <si>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</si>
  <si>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</si>
  <si>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</si>
  <si>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</si>
  <si>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</si>
  <si>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</si>
  <si>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</si>
  <si>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</si>
  <si>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</si>
  <si>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</si>
  <si>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</si>
  <si>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</si>
  <si>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</si>
  <si>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</si>
  <si>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</si>
  <si>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</si>
  <si>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</si>
  <si>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</si>
  <si>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</si>
  <si>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</si>
  <si>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</si>
  <si>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</si>
  <si>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</si>
  <si>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</si>
  <si>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</si>
  <si>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</si>
  <si>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</si>
  <si>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</si>
  <si>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</si>
  <si>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</si>
  <si>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</si>
  <si>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</si>
  <si>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</si>
  <si>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</si>
  <si>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</si>
  <si>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</si>
  <si>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</si>
  <si>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</si>
  <si>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</si>
  <si>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</si>
  <si>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</si>
  <si>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</si>
  <si>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</si>
  <si>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</si>
  <si>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</si>
  <si>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</si>
  <si>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</si>
  <si>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</si>
  <si>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</si>
  <si>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</si>
  <si>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</si>
  <si>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</si>
  <si>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</si>
  <si>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</si>
  <si>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</si>
  <si>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</si>
  <si>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</si>
  <si>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</si>
  <si>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</si>
  <si>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</si>
  <si>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</si>
  <si>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</si>
  <si>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</si>
  <si>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</si>
  <si>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</si>
  <si>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</si>
  <si>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</si>
  <si>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</si>
  <si>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</si>
  <si>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</si>
  <si>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</si>
  <si>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</si>
  <si>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</si>
  <si>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</si>
  <si>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</si>
  <si>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</si>
  <si>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</si>
  <si>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</si>
  <si>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</si>
  <si>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</si>
  <si>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</si>
  <si>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</si>
  <si>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</si>
  <si>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</si>
  <si>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</si>
  <si>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</si>
  <si>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</si>
  <si>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</si>
  <si>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</si>
  <si>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</si>
  <si>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</si>
  <si>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</si>
  <si>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</si>
  <si>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</si>
  <si>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</si>
  <si>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</si>
  <si>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</si>
  <si>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</si>
  <si>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</si>
  <si>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</si>
  <si>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</si>
  <si>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</si>
  <si>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</si>
  <si>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</si>
  <si>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</si>
  <si>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</si>
  <si>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</si>
  <si>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</si>
  <si>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</si>
  <si>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</si>
  <si>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</si>
  <si>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</si>
  <si>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</si>
  <si>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</si>
  <si>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</si>
  <si>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</si>
  <si>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</si>
  <si>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</si>
  <si>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</si>
  <si>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</si>
  <si>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</si>
  <si>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</si>
  <si>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</si>
  <si>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</si>
  <si>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</si>
  <si>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</si>
  <si>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</si>
  <si>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</si>
  <si>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</si>
  <si>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</si>
  <si>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</si>
  <si>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</si>
  <si>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</si>
  <si>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</si>
  <si>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</si>
  <si>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</si>
  <si>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</si>
  <si>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</si>
  <si>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</si>
  <si>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</si>
  <si>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</si>
  <si>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</si>
  <si>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</si>
  <si>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</si>
  <si>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</si>
  <si>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</si>
  <si>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</si>
  <si>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</si>
  <si>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</si>
  <si>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</si>
  <si>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</si>
  <si>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</si>
  <si>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</si>
  <si>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</si>
  <si>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</si>
  <si>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</si>
  <si>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</si>
  <si>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</si>
  <si>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</si>
  <si>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</si>
  <si>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</si>
  <si>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</si>
  <si>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</si>
  <si>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</si>
  <si>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</si>
  <si>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</si>
  <si>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</si>
  <si>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</si>
  <si>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</si>
  <si>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</si>
  <si>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</si>
  <si>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</si>
  <si>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</si>
  <si>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</si>
  <si>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</si>
  <si>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</si>
  <si>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</si>
  <si>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</si>
  <si>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</si>
  <si>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</si>
  <si>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</si>
  <si>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</si>
  <si>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</si>
  <si>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</si>
  <si>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</si>
  <si>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</si>
  <si>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</si>
  <si>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</si>
  <si>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</si>
  <si>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</si>
  <si>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</si>
  <si>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</si>
  <si>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</si>
  <si>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</si>
  <si>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</si>
  <si>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</si>
  <si>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</si>
  <si>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</si>
  <si>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</si>
  <si>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</si>
  <si>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</si>
  <si>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</si>
  <si>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</si>
  <si>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</si>
  <si>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</si>
  <si>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</si>
  <si>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</si>
  <si>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</si>
  <si>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</si>
  <si>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</si>
  <si>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</si>
  <si>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</si>
  <si>
    <t>钢混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</si>
</sst>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</xdr:row>
      <xdr:rowOff>152400</xdr:rowOff>
    </xdr:from>
    <xdr:to>
      <xdr:col>18</xdr:col>
      <xdr:colOff>113213</xdr:colOff>
      <xdr:row>35</xdr:row>
      <xdr:rowOff>75524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30A1F89-37D0-443A-BFC8-A242A516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2375" y="666750"/>
          <a:ext cx="8695238" cy="54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707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707"/>
      <c r="B19" s="1707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707"/>
      <c r="B20" s="1707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707"/>
      <c r="B21" s="1707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707"/>
      <c r="B22" s="1707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707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707"/>
      <c r="B24" s="1707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707"/>
      <c r="B25" s="1707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707"/>
      <c r="B26" s="1707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707"/>
      <c r="B27" s="1707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707"/>
      <c r="B28" s="1707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707"/>
      <c r="B29" s="1707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707"/>
      <c r="B30" s="1707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707"/>
      <c r="B31" s="1707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707"/>
      <c r="B32" s="1707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707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707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707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707"/>
      <c r="B36" s="1707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707"/>
      <c r="B37" s="1707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707"/>
      <c r="B38" s="1707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707"/>
      <c r="B39" s="1707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707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707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707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707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707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707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707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707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707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707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707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707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707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707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707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707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707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707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707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707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707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707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707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707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707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707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707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707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707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707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707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707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707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707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707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707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707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707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707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707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7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707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707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7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707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707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707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707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707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707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O31" sqref="O31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58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3239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2.1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959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575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855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3.6537999999999999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40605</v>
      </c>
      <c r="I9" s="1431">
        <f>ROUND(SUMPRODUCT((地价!A36:A86=YEAR(H9)&amp;"-"&amp;ROUNDUP(MONTH(H9)/3,0))*(地价!B3:F3=E2)*(地价!B36:F86)),0)</f>
        <v>380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0.98799999999999999</v>
      </c>
      <c r="D11" s="1402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0.98799999999999999</v>
      </c>
      <c r="E12" s="1393">
        <f>ROUNDDOWN(G3,1)</f>
        <v>2.1</v>
      </c>
      <c r="F12" s="1394">
        <f>IF(G3&lt;=10,SUMPRODUCT(('2002容积率修正'!A3:A102=E12)*('2002容积率修正'!B2:D2=E2)*('2002容积率修正'!B3:D102)),"——")</f>
        <v>0.98799999999999999</v>
      </c>
      <c r="G12" s="1392">
        <f>ROUNDUP(G3,1)</f>
        <v>2.1</v>
      </c>
      <c r="H12" s="580">
        <f>IF(G3&lt;=10,SUMPRODUCT(('2002容积率修正'!A3:A102=G12)*('2002容积率修正'!B2:D2=E2)*('2002容积率修正'!B3:D102)),"——")</f>
        <v>0.98799999999999999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0.98799999999999999</v>
      </c>
      <c r="E13" s="1393">
        <f>ROUNDDOWN(G3,1)</f>
        <v>2.1</v>
      </c>
      <c r="F13" s="1394">
        <f>IF(G3&lt;=10,SUMPRODUCT(('2002容积率修正'!A3:A102=E13)*('2002容积率修正'!E2:G2=E2)*('2002容积率修正'!E3:G102)),"——")</f>
        <v>0.83899999999999997</v>
      </c>
      <c r="G13" s="1392">
        <f>ROUNDUP(G3,1)</f>
        <v>2.1</v>
      </c>
      <c r="H13" s="580">
        <f>IF(G3&lt;=10,SUMPRODUCT(('2002容积率修正'!A3:A102=G13)*('2002容积率修正'!E2:G2=E2)*('2002容积率修正'!E3:G102)),"——")</f>
        <v>0.83899999999999997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1.0493999999999999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3239</v>
      </c>
      <c r="D18" s="589">
        <f>H1</f>
        <v>58</v>
      </c>
      <c r="E18" s="590">
        <f>ROUND(C18*D18,0)</f>
        <v>187862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6802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959</v>
      </c>
      <c r="D20" s="595">
        <f>H1</f>
        <v>58</v>
      </c>
      <c r="E20" s="596">
        <f>ROUND(C20*D20,0)</f>
        <v>55622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2013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575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37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1.0493999999999999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1799</v>
      </c>
      <c r="D60" s="456">
        <f t="shared" ref="D60:D67" si="7">SUMIF($F$59:$J$59,C60,F60:J60)</f>
        <v>1.2999999999999999E-2</v>
      </c>
      <c r="E60" s="237">
        <f>SUM(D60:D67)</f>
        <v>4.9399999999999999E-2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1799</v>
      </c>
      <c r="D62" s="456">
        <f t="shared" si="7"/>
        <v>1.2999999999999999E-2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1799</v>
      </c>
      <c r="D63" s="456">
        <f t="shared" si="7"/>
        <v>1.2999999999999999E-2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1799</v>
      </c>
      <c r="D64" s="456">
        <f t="shared" si="7"/>
        <v>1.04E-2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2.1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0.97199999999999998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0.81369999999999998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0.9486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0.97199999999999998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0.70650000000000002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F10" sqref="F10:G10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28" t="s">
        <v>1424</v>
      </c>
      <c r="E2" s="1732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29"/>
      <c r="E3" s="1733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29"/>
      <c r="E4" s="1733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0"/>
      <c r="E5" s="1734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28" t="s">
        <v>1425</v>
      </c>
      <c r="E6" s="1732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29"/>
      <c r="E7" s="1733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0"/>
      <c r="E8" s="1734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58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28" t="s">
        <v>1403</v>
      </c>
      <c r="E10" s="1732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1"/>
      <c r="E11" s="1735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0.96760000000000002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5.2999999999999999E-2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55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58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58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8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6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7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7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7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7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7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7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7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25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26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26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26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26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27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26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26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26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27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62" t="s">
        <v>91</v>
      </c>
      <c r="D4" s="1763"/>
      <c r="E4" s="1764" t="s">
        <v>92</v>
      </c>
      <c r="F4" s="1765"/>
      <c r="G4" s="1762" t="s">
        <v>93</v>
      </c>
      <c r="H4" s="1763"/>
      <c r="I4" s="1762" t="s">
        <v>94</v>
      </c>
      <c r="J4" s="1763"/>
      <c r="K4" s="137" t="s">
        <v>95</v>
      </c>
      <c r="L4" s="417"/>
      <c r="M4" s="418"/>
      <c r="N4" s="418"/>
      <c r="O4" s="418"/>
      <c r="P4" s="1766" t="s">
        <v>96</v>
      </c>
      <c r="Q4" s="1767"/>
      <c r="R4" s="1749" t="s">
        <v>92</v>
      </c>
      <c r="S4" s="1750"/>
      <c r="T4" s="1749" t="s">
        <v>93</v>
      </c>
      <c r="U4" s="1750"/>
      <c r="V4" s="1746" t="s">
        <v>94</v>
      </c>
      <c r="W4" s="1746"/>
      <c r="X4" s="193"/>
      <c r="Y4" s="1749" t="s">
        <v>96</v>
      </c>
      <c r="Z4" s="1750"/>
      <c r="AA4" s="1759" t="s">
        <v>92</v>
      </c>
      <c r="AB4" s="1760" t="s">
        <v>93</v>
      </c>
      <c r="AC4" s="1759" t="s">
        <v>94</v>
      </c>
    </row>
    <row r="5" spans="1:29" ht="15">
      <c r="A5" s="39"/>
      <c r="B5" s="40"/>
      <c r="C5" s="1774" t="s">
        <v>227</v>
      </c>
      <c r="D5" s="1775"/>
      <c r="E5" s="1772" t="s">
        <v>228</v>
      </c>
      <c r="F5" s="1773"/>
      <c r="G5" s="1774" t="s">
        <v>231</v>
      </c>
      <c r="H5" s="1775"/>
      <c r="I5" s="1774" t="s">
        <v>229</v>
      </c>
      <c r="J5" s="1775"/>
      <c r="K5" s="137"/>
      <c r="L5" s="417"/>
      <c r="M5" s="418"/>
      <c r="N5" s="418"/>
      <c r="O5" s="418"/>
      <c r="P5" s="1768"/>
      <c r="Q5" s="1769"/>
      <c r="R5" s="1751"/>
      <c r="S5" s="1752"/>
      <c r="T5" s="1751"/>
      <c r="U5" s="1752"/>
      <c r="V5" s="1746"/>
      <c r="W5" s="1746"/>
      <c r="X5" s="193"/>
      <c r="Y5" s="1751"/>
      <c r="Z5" s="1752"/>
      <c r="AA5" s="1760"/>
      <c r="AB5" s="1760"/>
      <c r="AC5" s="1760"/>
    </row>
    <row r="6" spans="1:29" ht="15.75" thickBot="1">
      <c r="A6" s="41"/>
      <c r="B6" s="42"/>
      <c r="C6" s="1776" t="s">
        <v>230</v>
      </c>
      <c r="D6" s="1777"/>
      <c r="E6" s="1778" t="s">
        <v>230</v>
      </c>
      <c r="F6" s="1779"/>
      <c r="G6" s="1776" t="s">
        <v>230</v>
      </c>
      <c r="H6" s="1777"/>
      <c r="I6" s="1776" t="s">
        <v>230</v>
      </c>
      <c r="J6" s="1777"/>
      <c r="K6" s="137" t="s">
        <v>97</v>
      </c>
      <c r="L6" s="417"/>
      <c r="M6" s="418"/>
      <c r="N6" s="418"/>
      <c r="O6" s="418"/>
      <c r="P6" s="1770"/>
      <c r="Q6" s="1771"/>
      <c r="R6" s="1751"/>
      <c r="S6" s="1752"/>
      <c r="T6" s="1753"/>
      <c r="U6" s="1754"/>
      <c r="V6" s="1746"/>
      <c r="W6" s="1746"/>
      <c r="X6" s="193"/>
      <c r="Y6" s="1753"/>
      <c r="Z6" s="1754"/>
      <c r="AA6" s="1761"/>
      <c r="AB6" s="1761"/>
      <c r="AC6" s="1761"/>
    </row>
    <row r="7" spans="1:29" s="21" customFormat="1" ht="15.75" thickBot="1">
      <c r="A7" s="43" t="s">
        <v>98</v>
      </c>
      <c r="B7" s="44"/>
      <c r="C7" s="1264">
        <f>主表!B4</f>
        <v>40605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7" t="s">
        <v>99</v>
      </c>
      <c r="Q7" s="1755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7" t="s">
        <v>99</v>
      </c>
      <c r="Z7" s="1748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7" t="s">
        <v>125</v>
      </c>
      <c r="Q8" s="1748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7" t="s">
        <v>125</v>
      </c>
      <c r="Z8" s="1748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39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58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39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58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39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58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39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58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39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58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39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58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6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6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57"/>
      <c r="Q16" s="197"/>
      <c r="R16" s="198"/>
      <c r="S16" s="199"/>
      <c r="T16" s="198"/>
      <c r="U16" s="199"/>
      <c r="V16" s="198"/>
      <c r="W16" s="199"/>
      <c r="X16" s="193"/>
      <c r="Y16" s="1757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7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7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57"/>
      <c r="Q18" s="197"/>
      <c r="R18" s="198"/>
      <c r="S18" s="199"/>
      <c r="T18" s="198"/>
      <c r="U18" s="199"/>
      <c r="V18" s="198"/>
      <c r="W18" s="199"/>
      <c r="X18" s="193"/>
      <c r="Y18" s="1757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7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7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57"/>
      <c r="Q20" s="197"/>
      <c r="R20" s="198"/>
      <c r="S20" s="199"/>
      <c r="T20" s="198"/>
      <c r="U20" s="199"/>
      <c r="V20" s="198"/>
      <c r="W20" s="199"/>
      <c r="X20" s="193"/>
      <c r="Y20" s="1757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7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7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57"/>
      <c r="Q22" s="197"/>
      <c r="R22" s="198"/>
      <c r="S22" s="199"/>
      <c r="T22" s="198"/>
      <c r="U22" s="199"/>
      <c r="V22" s="198"/>
      <c r="W22" s="199"/>
      <c r="X22" s="193"/>
      <c r="Y22" s="1757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7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7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57"/>
      <c r="Q24" s="197"/>
      <c r="R24" s="198"/>
      <c r="S24" s="199"/>
      <c r="T24" s="198"/>
      <c r="U24" s="199"/>
      <c r="V24" s="198"/>
      <c r="W24" s="199"/>
      <c r="X24" s="193"/>
      <c r="Y24" s="1757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7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7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57"/>
      <c r="Q26" s="197"/>
      <c r="R26" s="198"/>
      <c r="S26" s="199"/>
      <c r="T26" s="198"/>
      <c r="U26" s="199"/>
      <c r="V26" s="198"/>
      <c r="W26" s="199"/>
      <c r="X26" s="193"/>
      <c r="Y26" s="1757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7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7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57"/>
      <c r="Q28" s="17"/>
      <c r="R28" s="194"/>
      <c r="S28" s="195"/>
      <c r="T28" s="194"/>
      <c r="U28" s="195"/>
      <c r="V28" s="194"/>
      <c r="W28" s="195"/>
      <c r="X28" s="196"/>
      <c r="Y28" s="1757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7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7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57"/>
      <c r="Q30" s="17"/>
      <c r="R30" s="194"/>
      <c r="S30" s="195"/>
      <c r="T30" s="194"/>
      <c r="U30" s="195"/>
      <c r="V30" s="194"/>
      <c r="W30" s="195"/>
      <c r="X30" s="196"/>
      <c r="Y30" s="1757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7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7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7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7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57"/>
      <c r="Q33" s="197"/>
      <c r="R33" s="198"/>
      <c r="S33" s="199"/>
      <c r="T33" s="198"/>
      <c r="U33" s="199"/>
      <c r="V33" s="198"/>
      <c r="W33" s="199"/>
      <c r="X33" s="193"/>
      <c r="Y33" s="1757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57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7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57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7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4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4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39" t="str">
        <f>A46</f>
        <v>成交单价</v>
      </c>
      <c r="Q46" s="1739"/>
      <c r="R46" s="1746">
        <f>E46</f>
        <v>0</v>
      </c>
      <c r="S46" s="1746"/>
      <c r="T46" s="1746">
        <f>G46</f>
        <v>0</v>
      </c>
      <c r="U46" s="1746"/>
      <c r="V46" s="1746">
        <f>I46</f>
        <v>0</v>
      </c>
      <c r="W46" s="1746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39" t="str">
        <f>A47</f>
        <v>比较价值（元/平方米）</v>
      </c>
      <c r="Q47" s="1739"/>
      <c r="R47" s="1740" t="e">
        <f>ROUND(PRODUCT(R46,AA7:AA45),0)</f>
        <v>#DIV/0!</v>
      </c>
      <c r="S47" s="1740"/>
      <c r="T47" s="1740" t="e">
        <f>ROUND(PRODUCT(T46,AB7:AB45),0)</f>
        <v>#DIV/0!</v>
      </c>
      <c r="U47" s="1740"/>
      <c r="V47" s="1740" t="e">
        <f>ROUND(PRODUCT(V46,AC7:AC45),0)</f>
        <v>#DIV/0!</v>
      </c>
      <c r="W47" s="1740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1" t="str">
        <f>A48</f>
        <v>估价对象比较价值（单价内涵，元/平方米）</v>
      </c>
      <c r="Q48" s="1742"/>
      <c r="R48" s="1743" t="e">
        <f>ROUND(AVERAGE(R47:V47),0)</f>
        <v>#DIV/0!</v>
      </c>
      <c r="S48" s="1743"/>
      <c r="T48" s="1743"/>
      <c r="U48" s="1743"/>
      <c r="V48" s="1743"/>
      <c r="W48" s="1743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2011-3-1</v>
      </c>
      <c r="D56" s="1447">
        <f>EDATE(C56,-3)</f>
        <v>40513</v>
      </c>
      <c r="E56" s="1447">
        <f t="shared" ref="E56:O56" si="15">EDATE(D56,-3)</f>
        <v>40422</v>
      </c>
      <c r="F56" s="1447">
        <f t="shared" si="15"/>
        <v>40330</v>
      </c>
      <c r="G56" s="1447">
        <f t="shared" si="15"/>
        <v>40238</v>
      </c>
      <c r="H56" s="1447">
        <f t="shared" si="15"/>
        <v>40148</v>
      </c>
      <c r="I56" s="1447">
        <f t="shared" si="15"/>
        <v>40057</v>
      </c>
      <c r="J56" s="1447">
        <f t="shared" si="15"/>
        <v>39965</v>
      </c>
      <c r="K56" s="1447">
        <f t="shared" si="15"/>
        <v>39873</v>
      </c>
      <c r="L56" s="1447">
        <f t="shared" si="15"/>
        <v>39783</v>
      </c>
      <c r="M56" s="1447">
        <f t="shared" si="15"/>
        <v>39692</v>
      </c>
      <c r="N56" s="1447">
        <f t="shared" si="15"/>
        <v>39600</v>
      </c>
      <c r="O56" s="1447">
        <f t="shared" si="15"/>
        <v>39508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2011-1</v>
      </c>
      <c r="D58" s="1446" t="str">
        <f t="shared" ref="D58:O58" si="16">YEAR(D56)&amp;"-"&amp;ROUNDUP(MONTH(D56)/3,0)</f>
        <v>2010-4</v>
      </c>
      <c r="E58" s="1446" t="str">
        <f t="shared" si="16"/>
        <v>2010-3</v>
      </c>
      <c r="F58" s="1446" t="str">
        <f t="shared" si="16"/>
        <v>2010-2</v>
      </c>
      <c r="G58" s="1446" t="str">
        <f t="shared" si="16"/>
        <v>2010-1</v>
      </c>
      <c r="H58" s="1446" t="str">
        <f t="shared" si="16"/>
        <v>2009-4</v>
      </c>
      <c r="I58" s="1446" t="str">
        <f t="shared" si="16"/>
        <v>2009-3</v>
      </c>
      <c r="J58" s="1446" t="str">
        <f t="shared" si="16"/>
        <v>2009-2</v>
      </c>
      <c r="K58" s="1446" t="str">
        <f t="shared" si="16"/>
        <v>2009-1</v>
      </c>
      <c r="L58" s="1446" t="str">
        <f t="shared" si="16"/>
        <v>2008-4</v>
      </c>
      <c r="M58" s="1446" t="str">
        <f t="shared" si="16"/>
        <v>2008-3</v>
      </c>
      <c r="N58" s="1446" t="str">
        <f t="shared" si="16"/>
        <v>2008-2</v>
      </c>
      <c r="O58" s="1446" t="str">
        <f t="shared" si="16"/>
        <v>2008-1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40605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33</v>
      </c>
      <c r="K1" s="1075">
        <f ca="1">MATCH(E1,C4:C8,1)+IF(SUMIF(C4:C8,E1,D4:D8)=0,3,2)</f>
        <v>3</v>
      </c>
      <c r="L1" s="1075">
        <f>IF(C1&gt;M14,0,MATCH(C1,M$14:M$52,-1))+IF(SUMIF(M14:M52,C1,N14:N52)=0,14,13)</f>
        <v>24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40605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33</v>
      </c>
      <c r="K2" s="1075">
        <f ca="1">MATCH(E2,C4:C8,1)+IF(SUMIF(C4:C8,E2,D4:D8)=0,3,2)</f>
        <v>3</v>
      </c>
      <c r="L2" s="1075">
        <f>IF(C2&gt;M14,0,MATCH(C2,M$14:M$52,-1))+IF(SUMIF(M14:M52,C2,N14:N52)=0,14,13)</f>
        <v>24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6.0999999999999999E-2</v>
      </c>
      <c r="H3" s="961" t="s">
        <v>1508</v>
      </c>
      <c r="I3" s="962">
        <f ca="1">SUMIF(F4:F8,E3,H4:H8)/100</f>
        <v>4.4999999999999998E-2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6.06</v>
      </c>
      <c r="E5" s="925">
        <f ca="1">INDIRECT("e"&amp;$J$2)</f>
        <v>6.06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6.1</v>
      </c>
      <c r="E6" s="925">
        <f ca="1">INDIRECT("f"&amp;$J$2)</f>
        <v>6.1</v>
      </c>
      <c r="F6" s="924">
        <v>2</v>
      </c>
      <c r="G6" s="917">
        <f ca="1">INDIRECT("r"&amp;$L$1)</f>
        <v>3.9</v>
      </c>
      <c r="H6" s="917">
        <f ca="1">INDIRECT("r"&amp;$L$2)</f>
        <v>3.9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6.45</v>
      </c>
      <c r="E7" s="925">
        <f ca="1">INDIRECT("g"&amp;$J$2)</f>
        <v>6.45</v>
      </c>
      <c r="F7" s="924">
        <v>3</v>
      </c>
      <c r="G7" s="917">
        <f ca="1">INDIRECT("s"&amp;$L$1)</f>
        <v>4.5</v>
      </c>
      <c r="H7" s="917">
        <f ca="1">INDIRECT("s"&amp;$L$2)</f>
        <v>4.5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6.6</v>
      </c>
      <c r="E8" s="925">
        <f ca="1">INDIRECT("h"&amp;$J$2)</f>
        <v>6.6</v>
      </c>
      <c r="F8" s="924">
        <v>5</v>
      </c>
      <c r="G8" s="917">
        <f ca="1">INDIRECT("t"&amp;$L$1)</f>
        <v>5</v>
      </c>
      <c r="H8" s="917">
        <f ca="1">INDIRECT("t"&amp;$L$2)</f>
        <v>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3" t="s">
        <v>1638</v>
      </c>
      <c r="O2" s="1783"/>
      <c r="P2" s="1783"/>
      <c r="Q2" s="1783"/>
      <c r="S2" s="1783" t="s">
        <v>1639</v>
      </c>
      <c r="T2" s="1783"/>
      <c r="U2" s="1783"/>
      <c r="V2" s="1783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1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1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1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1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1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1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1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2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0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1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1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2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0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1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1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2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0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1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1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2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0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1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1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2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0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1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1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2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0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1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1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2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0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1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1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2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0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1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1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2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0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1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1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2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0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1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1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2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0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1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1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2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0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1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1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2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0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1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1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2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J26" sqref="J26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11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37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58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40605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58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60" t="s">
        <v>1353</v>
      </c>
      <c r="B2" s="1660"/>
      <c r="C2" s="1660"/>
      <c r="D2" s="1660"/>
      <c r="E2" s="1660"/>
      <c r="F2" s="1660"/>
      <c r="G2" s="1660"/>
      <c r="H2" s="1636"/>
      <c r="I2" s="1635"/>
      <c r="X2" s="210"/>
      <c r="AG2" s="182"/>
    </row>
    <row r="3" spans="1:33" ht="13.5">
      <c r="A3" s="1661" t="s">
        <v>1354</v>
      </c>
      <c r="B3" s="1662"/>
      <c r="C3" s="1663"/>
      <c r="D3" s="1664" t="s">
        <v>1355</v>
      </c>
      <c r="E3" s="1662"/>
      <c r="F3" s="1662"/>
      <c r="G3" s="1665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66" t="s">
        <v>1356</v>
      </c>
      <c r="E4" s="1667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68" t="s">
        <v>1360</v>
      </c>
      <c r="B5" s="1669">
        <f>主表!F5</f>
        <v>2664</v>
      </c>
      <c r="C5" s="1670" t="s">
        <v>1361</v>
      </c>
      <c r="D5" s="1667" t="s">
        <v>1362</v>
      </c>
      <c r="E5" s="1671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68"/>
      <c r="B6" s="1669"/>
      <c r="C6" s="1670"/>
      <c r="D6" s="167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68"/>
      <c r="B7" s="1669"/>
      <c r="C7" s="1670"/>
      <c r="D7" s="167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68"/>
      <c r="B8" s="1669"/>
      <c r="C8" s="1670"/>
      <c r="D8" s="1673" t="s">
        <v>1384</v>
      </c>
      <c r="E8" s="1674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68"/>
      <c r="B9" s="1669"/>
      <c r="C9" s="1670"/>
      <c r="D9" s="1673" t="s">
        <v>1385</v>
      </c>
      <c r="E9" s="1674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68"/>
      <c r="B10" s="1669"/>
      <c r="C10" s="1670"/>
      <c r="D10" s="1673" t="s">
        <v>1386</v>
      </c>
      <c r="E10" s="1674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67" t="s">
        <v>1367</v>
      </c>
      <c r="E11" s="1671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67" t="s">
        <v>1369</v>
      </c>
      <c r="E12" s="1671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67" t="s">
        <v>1370</v>
      </c>
      <c r="E13" s="1671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2664</v>
      </c>
      <c r="C14" s="1220" t="s">
        <v>1372</v>
      </c>
      <c r="D14" s="1667" t="s">
        <v>1371</v>
      </c>
      <c r="E14" s="1671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9">
        <f ca="1">主表!F24</f>
        <v>2664</v>
      </c>
      <c r="C15" s="1675"/>
      <c r="D15" s="1673" t="s">
        <v>1374</v>
      </c>
      <c r="E15" s="1674"/>
      <c r="F15" s="1674"/>
      <c r="G15" s="1676"/>
      <c r="H15" s="1636"/>
      <c r="I15" s="1635"/>
      <c r="X15" s="210"/>
      <c r="AG15" s="182"/>
    </row>
    <row r="16" spans="1:33" ht="27.75" thickBot="1">
      <c r="A16" s="1213" t="s">
        <v>1375</v>
      </c>
      <c r="B16" s="1669">
        <f ca="1">主表!F25</f>
        <v>15.4512</v>
      </c>
      <c r="C16" s="1675"/>
      <c r="D16" s="1673" t="s">
        <v>1376</v>
      </c>
      <c r="E16" s="1674"/>
      <c r="F16" s="1674"/>
      <c r="G16" s="1676"/>
      <c r="H16" s="1222" t="str">
        <f ca="1">NUMBERSTRING(INT(B16*10000),2)&amp;"元整"</f>
        <v>壹拾伍万肆仟伍佰壹拾贰元整</v>
      </c>
      <c r="I16" s="1223"/>
      <c r="X16" s="210"/>
      <c r="AG16" s="182"/>
    </row>
    <row r="17" spans="1:33" ht="13.5">
      <c r="A17" s="1213" t="s">
        <v>1377</v>
      </c>
      <c r="B17" s="1682">
        <f>主表!F33</f>
        <v>0</v>
      </c>
      <c r="C17" s="1675"/>
      <c r="D17" s="1673" t="s">
        <v>1378</v>
      </c>
      <c r="E17" s="1674"/>
      <c r="F17" s="1674"/>
      <c r="G17" s="1676"/>
      <c r="H17" s="1636"/>
      <c r="I17" s="1635"/>
      <c r="X17" s="210"/>
      <c r="AG17" s="182"/>
    </row>
    <row r="18" spans="1:33" ht="27.75" thickBot="1">
      <c r="A18" s="1213" t="s">
        <v>1379</v>
      </c>
      <c r="B18" s="1669">
        <f ca="1">主表!F35</f>
        <v>0</v>
      </c>
      <c r="C18" s="1675"/>
      <c r="D18" s="1673" t="s">
        <v>1380</v>
      </c>
      <c r="E18" s="1674"/>
      <c r="F18" s="1674"/>
      <c r="G18" s="1676"/>
      <c r="H18" s="1636"/>
      <c r="I18" s="1635"/>
      <c r="X18" s="210"/>
      <c r="AG18" s="182"/>
    </row>
    <row r="19" spans="1:33" ht="27.75" thickBot="1">
      <c r="A19" s="1221" t="s">
        <v>1381</v>
      </c>
      <c r="B19" s="1677">
        <f ca="1">主表!F36</f>
        <v>0</v>
      </c>
      <c r="C19" s="1678"/>
      <c r="D19" s="1679" t="s">
        <v>1382</v>
      </c>
      <c r="E19" s="1680"/>
      <c r="F19" s="1680"/>
      <c r="G19" s="1681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I27" sqref="I27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40605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15</v>
      </c>
    </row>
    <row r="4" spans="1:18" ht="15.75" customHeight="1">
      <c r="A4" s="1127" t="s">
        <v>1776</v>
      </c>
      <c r="B4" s="1479">
        <f>B3</f>
        <v>40605</v>
      </c>
      <c r="C4" s="1100"/>
      <c r="D4" s="1107" t="s">
        <v>1276</v>
      </c>
      <c r="E4" s="1108" t="s">
        <v>1569</v>
      </c>
      <c r="F4" s="1109">
        <f ca="1">F5+F8+F9+F10</f>
        <v>2664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2664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3239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58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575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2.1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55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0.94499999999999995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1801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1996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2664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15.4512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0.75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58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4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695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695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695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5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694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6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6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697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4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03" t="s">
        <v>928</v>
      </c>
      <c r="E16" s="1704"/>
      <c r="F16" s="1703" t="s">
        <v>926</v>
      </c>
      <c r="G16" s="1705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698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11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40605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0.98440000000000005</v>
      </c>
      <c r="D20" s="1383" t="s">
        <v>935</v>
      </c>
      <c r="E20" s="1384">
        <f ca="1">INDIRECT("'存贷款利率'!e"&amp;存贷款利率!$K$4)/100</f>
        <v>6.0599999999999994E-2</v>
      </c>
      <c r="F20" s="1381" t="s">
        <v>936</v>
      </c>
      <c r="G20" s="1385">
        <f ca="1">SUMIF(P18:S18,E2,P20:S20)</f>
        <v>7.0000000000000007E-2</v>
      </c>
      <c r="H20" s="1386" t="s">
        <v>1634</v>
      </c>
      <c r="I20" s="964">
        <f>IF(H20="剩余土地使用年限",主表!B15,主表!B16)</f>
        <v>55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7.5999999999999998E-2</v>
      </c>
      <c r="Q20" s="567">
        <f ca="1">ROUND($E$20*(1+Q19),3)</f>
        <v>7.2999999999999995E-2</v>
      </c>
      <c r="R20" s="567">
        <f ca="1">ROUND($E$20*(1+R19),3)</f>
        <v>7.0000000000000007E-2</v>
      </c>
      <c r="S20" s="882">
        <f ca="1">ROUND($E$20*(1+S19),3)</f>
        <v>6.7000000000000004E-2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0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1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1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2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7.0000000000000007E-2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699" t="s">
        <v>1159</v>
      </c>
      <c r="B91" s="1699"/>
      <c r="C91" s="1699"/>
      <c r="D91" s="1699"/>
      <c r="E91" s="1699"/>
      <c r="F91" s="1699"/>
      <c r="G91" s="1699"/>
      <c r="H91" s="1699"/>
      <c r="I91" s="1699"/>
      <c r="J91" s="1699"/>
      <c r="K91" s="611"/>
      <c r="L91" s="611"/>
      <c r="M91" s="611"/>
      <c r="N91" s="611"/>
    </row>
    <row r="92" spans="1:37">
      <c r="A92" s="1707" t="s">
        <v>1160</v>
      </c>
      <c r="B92" s="1707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7"/>
      <c r="B93" s="1707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708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709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709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709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709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709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709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710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708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709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709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709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709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709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709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709"/>
      <c r="B109" s="1711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710"/>
      <c r="B110" s="1712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706" t="s">
        <v>1175</v>
      </c>
      <c r="B111" s="1706"/>
      <c r="C111" s="1706"/>
      <c r="D111" s="1706"/>
      <c r="E111" s="1706"/>
      <c r="F111" s="1706"/>
      <c r="G111" s="1706"/>
      <c r="H111" s="1706"/>
      <c r="I111" s="1706"/>
      <c r="J111" s="1706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2025-11-25T06:08:57Z</dcterms:modified>
</cp:coreProperties>
</file>