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879⑦东大街16号院1号楼9单元2层203\"/>
    </mc:Choice>
  </mc:AlternateContent>
  <xr:revisionPtr revIDLastSave="0" documentId="13_ncr:1_{66DAF88D-4E5D-4975-9665-64A29B00A033}" xr6:coauthVersionLast="47" xr6:coauthVersionMax="47" xr10:uidLastSave="{00000000-0000-0000-0000-000000000000}"/>
  <bookViews>
    <workbookView xWindow="6360" yWindow="6360" windowWidth="15330" windowHeight="1089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4" i="65"/>
  <c r="E7" i="65"/>
  <c r="H6" i="65"/>
  <c r="H8" i="65"/>
  <c r="H5" i="65"/>
  <c r="E8" i="65"/>
  <c r="H7" i="65"/>
  <c r="G8" i="65"/>
  <c r="G4" i="65"/>
  <c r="E4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7" i="65"/>
  <c r="G6" i="65"/>
  <c r="D8" i="65"/>
  <c r="E5" i="65"/>
  <c r="G7" i="65"/>
  <c r="G5" i="65"/>
  <c r="E6" i="65"/>
  <c r="D62" i="63" l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D5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E20" i="43"/>
  <c r="G2" i="65"/>
  <c r="G1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<sst xmlns="http://schemas.openxmlformats.org/spreadsheetml/2006/main" count="3960" uniqueCount="1802">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</sst>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</xdr:row>
      <xdr:rowOff>152400</xdr:rowOff>
    </xdr:from>
    <xdr:to>
      <xdr:col>18</xdr:col>
      <xdr:colOff>113213</xdr:colOff>
      <xdr:row>35</xdr:row>
      <xdr:rowOff>75524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30A1F89-37D0-443A-BFC8-A242A5163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666750"/>
          <a:ext cx="8695238" cy="5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O31" sqref="O31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58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3239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2.1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959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575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3.6537999999999999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40605</v>
      </c>
      <c r="I9" s="1431">
        <f>ROUND(SUMPRODUCT((地价!A36:A86=YEAR(H9)&amp;"-"&amp;ROUNDUP(MONTH(H9)/3,0))*(地价!B3:F3=E2)*(地价!B36:F86)),0)</f>
        <v>380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0.98799999999999999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0.98799999999999999</v>
      </c>
      <c r="E12" s="1393">
        <f>ROUNDDOWN(G3,1)</f>
        <v>2.1</v>
      </c>
      <c r="F12" s="1394">
        <f>IF(G3&lt;=10,SUMPRODUCT(('2002容积率修正'!A3:A102=E12)*('2002容积率修正'!B2:D2=E2)*('2002容积率修正'!B3:D102)),"——")</f>
        <v>0.98799999999999999</v>
      </c>
      <c r="G12" s="1392">
        <f>ROUNDUP(G3,1)</f>
        <v>2.1</v>
      </c>
      <c r="H12" s="580">
        <f>IF(G3&lt;=10,SUMPRODUCT(('2002容积率修正'!A3:A102=G12)*('2002容积率修正'!B2:D2=E2)*('2002容积率修正'!B3:D102)),"——")</f>
        <v>0.98799999999999999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0.98799999999999999</v>
      </c>
      <c r="E13" s="1393">
        <f>ROUNDDOWN(G3,1)</f>
        <v>2.1</v>
      </c>
      <c r="F13" s="1394">
        <f>IF(G3&lt;=10,SUMPRODUCT(('2002容积率修正'!A3:A102=E13)*('2002容积率修正'!E2:G2=E2)*('2002容积率修正'!E3:G102)),"——")</f>
        <v>0.83899999999999997</v>
      </c>
      <c r="G13" s="1392">
        <f>ROUNDUP(G3,1)</f>
        <v>2.1</v>
      </c>
      <c r="H13" s="580">
        <f>IF(G3&lt;=10,SUMPRODUCT(('2002容积率修正'!A3:A102=G13)*('2002容积率修正'!E2:G2=E2)*('2002容积率修正'!E3:G102)),"——")</f>
        <v>0.83899999999999997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1.0493999999999999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3239</v>
      </c>
      <c r="D18" s="589">
        <f>H1</f>
        <v>58</v>
      </c>
      <c r="E18" s="590">
        <f>ROUND(C18*D18,0)</f>
        <v>187862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6802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959</v>
      </c>
      <c r="D20" s="595">
        <f>H1</f>
        <v>58</v>
      </c>
      <c r="E20" s="596">
        <f>ROUND(C20*D20,0)</f>
        <v>55622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2013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575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37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1.0493999999999999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4.9399999999999999E-2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1799</v>
      </c>
      <c r="D63" s="456">
        <f t="shared" si="7"/>
        <v>1.2999999999999999E-2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2.1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0.97199999999999998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0.81369999999999998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0.9486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0.97199999999999998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0.70650000000000002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58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0.96760000000000002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5.2999999999999999E-2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55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58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58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40605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2011-3-1</v>
      </c>
      <c r="D56" s="1447">
        <f>EDATE(C56,-3)</f>
        <v>40513</v>
      </c>
      <c r="E56" s="1447">
        <f t="shared" ref="E56:O56" si="15">EDATE(D56,-3)</f>
        <v>40422</v>
      </c>
      <c r="F56" s="1447">
        <f t="shared" si="15"/>
        <v>40330</v>
      </c>
      <c r="G56" s="1447">
        <f t="shared" si="15"/>
        <v>40238</v>
      </c>
      <c r="H56" s="1447">
        <f t="shared" si="15"/>
        <v>40148</v>
      </c>
      <c r="I56" s="1447">
        <f t="shared" si="15"/>
        <v>40057</v>
      </c>
      <c r="J56" s="1447">
        <f t="shared" si="15"/>
        <v>39965</v>
      </c>
      <c r="K56" s="1447">
        <f t="shared" si="15"/>
        <v>39873</v>
      </c>
      <c r="L56" s="1447">
        <f t="shared" si="15"/>
        <v>39783</v>
      </c>
      <c r="M56" s="1447">
        <f t="shared" si="15"/>
        <v>39692</v>
      </c>
      <c r="N56" s="1447">
        <f t="shared" si="15"/>
        <v>39600</v>
      </c>
      <c r="O56" s="1447">
        <f t="shared" si="15"/>
        <v>39508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2011-1</v>
      </c>
      <c r="D58" s="1446" t="str">
        <f t="shared" ref="D58:O58" si="16">YEAR(D56)&amp;"-"&amp;ROUNDUP(MONTH(D56)/3,0)</f>
        <v>2010-4</v>
      </c>
      <c r="E58" s="1446" t="str">
        <f t="shared" si="16"/>
        <v>2010-3</v>
      </c>
      <c r="F58" s="1446" t="str">
        <f t="shared" si="16"/>
        <v>2010-2</v>
      </c>
      <c r="G58" s="1446" t="str">
        <f t="shared" si="16"/>
        <v>2010-1</v>
      </c>
      <c r="H58" s="1446" t="str">
        <f t="shared" si="16"/>
        <v>2009-4</v>
      </c>
      <c r="I58" s="1446" t="str">
        <f t="shared" si="16"/>
        <v>2009-3</v>
      </c>
      <c r="J58" s="1446" t="str">
        <f t="shared" si="16"/>
        <v>2009-2</v>
      </c>
      <c r="K58" s="1446" t="str">
        <f t="shared" si="16"/>
        <v>2009-1</v>
      </c>
      <c r="L58" s="1446" t="str">
        <f t="shared" si="16"/>
        <v>2008-4</v>
      </c>
      <c r="M58" s="1446" t="str">
        <f t="shared" si="16"/>
        <v>2008-3</v>
      </c>
      <c r="N58" s="1446" t="str">
        <f t="shared" si="16"/>
        <v>2008-2</v>
      </c>
      <c r="O58" s="1446" t="str">
        <f t="shared" si="16"/>
        <v>2008-1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40605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33</v>
      </c>
      <c r="K1" s="1075">
        <f ca="1">MATCH(E1,C4:C8,1)+IF(SUMIF(C4:C8,E1,D4:D8)=0,3,2)</f>
        <v>3</v>
      </c>
      <c r="L1" s="1075">
        <f>IF(C1&gt;M14,0,MATCH(C1,M$14:M$52,-1))+IF(SUMIF(M14:M52,C1,N14:N52)=0,14,13)</f>
        <v>24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40605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33</v>
      </c>
      <c r="K2" s="1075">
        <f ca="1">MATCH(E2,C4:C8,1)+IF(SUMIF(C4:C8,E2,D4:D8)=0,3,2)</f>
        <v>3</v>
      </c>
      <c r="L2" s="1075">
        <f>IF(C2&gt;M14,0,MATCH(C2,M$14:M$52,-1))+IF(SUMIF(M14:M52,C2,N14:N52)=0,14,13)</f>
        <v>24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6.0999999999999999E-2</v>
      </c>
      <c r="H3" s="961" t="s">
        <v>1508</v>
      </c>
      <c r="I3" s="962">
        <f ca="1">SUMIF(F4:F8,E3,H4:H8)/100</f>
        <v>4.4999999999999998E-2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6.06</v>
      </c>
      <c r="E5" s="925">
        <f ca="1">INDIRECT("e"&amp;$J$2)</f>
        <v>6.06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</v>
      </c>
      <c r="E6" s="925">
        <f ca="1">INDIRECT("f"&amp;$J$2)</f>
        <v>6.1</v>
      </c>
      <c r="F6" s="924">
        <v>2</v>
      </c>
      <c r="G6" s="917">
        <f ca="1">INDIRECT("r"&amp;$L$1)</f>
        <v>3.9</v>
      </c>
      <c r="H6" s="917">
        <f ca="1">INDIRECT("r"&amp;$L$2)</f>
        <v>3.9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6.45</v>
      </c>
      <c r="E7" s="925">
        <f ca="1">INDIRECT("g"&amp;$J$2)</f>
        <v>6.45</v>
      </c>
      <c r="F7" s="924">
        <v>3</v>
      </c>
      <c r="G7" s="917">
        <f ca="1">INDIRECT("s"&amp;$L$1)</f>
        <v>4.5</v>
      </c>
      <c r="H7" s="917">
        <f ca="1">INDIRECT("s"&amp;$L$2)</f>
        <v>4.5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6.6</v>
      </c>
      <c r="E8" s="925">
        <f ca="1">INDIRECT("h"&amp;$J$2)</f>
        <v>6.6</v>
      </c>
      <c r="F8" s="924">
        <v>5</v>
      </c>
      <c r="G8" s="917">
        <f ca="1">INDIRECT("t"&amp;$L$1)</f>
        <v>5</v>
      </c>
      <c r="H8" s="917">
        <f ca="1">INDIRECT("t"&amp;$L$2)</f>
        <v>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J26" sqref="J26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11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37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58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40605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58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2664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2664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2664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15.4512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壹拾伍万肆仟伍佰壹拾贰元整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I27" sqref="I27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40605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15</v>
      </c>
    </row>
    <row r="4" spans="1:18" ht="15.75" customHeight="1">
      <c r="A4" s="1127" t="s">
        <v>1776</v>
      </c>
      <c r="B4" s="1479">
        <f>B3</f>
        <v>40605</v>
      </c>
      <c r="C4" s="1100"/>
      <c r="D4" s="1107" t="s">
        <v>1276</v>
      </c>
      <c r="E4" s="1108" t="s">
        <v>1569</v>
      </c>
      <c r="F4" s="1109">
        <f ca="1">F5+F8+F9+F10</f>
        <v>2664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2664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3239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58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575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2.1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55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0.94499999999999995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1996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2664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15.4512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0.75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58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11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40605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0.98440000000000005</v>
      </c>
      <c r="D20" s="1383" t="s">
        <v>935</v>
      </c>
      <c r="E20" s="1384">
        <f ca="1">INDIRECT("'存贷款利率'!e"&amp;存贷款利率!$K$4)/100</f>
        <v>6.0599999999999994E-2</v>
      </c>
      <c r="F20" s="1381" t="s">
        <v>936</v>
      </c>
      <c r="G20" s="1385">
        <f ca="1">SUMIF(P18:S18,E2,P20:S20)</f>
        <v>7.0000000000000007E-2</v>
      </c>
      <c r="H20" s="1386" t="s">
        <v>1634</v>
      </c>
      <c r="I20" s="964">
        <f>IF(H20="剩余土地使用年限",主表!B15,主表!B16)</f>
        <v>55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7.5999999999999998E-2</v>
      </c>
      <c r="Q20" s="567">
        <f ca="1">ROUND($E$20*(1+Q19),3)</f>
        <v>7.2999999999999995E-2</v>
      </c>
      <c r="R20" s="567">
        <f ca="1">ROUND($E$20*(1+R19),3)</f>
        <v>7.0000000000000007E-2</v>
      </c>
      <c r="S20" s="882">
        <f ca="1">ROUND($E$20*(1+S19),3)</f>
        <v>6.7000000000000004E-2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7.0000000000000007E-2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2025-11-25T07:18:47Z</dcterms:modified>
</cp:coreProperties>
</file>