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89A6D3CB-F5EE-49A6-9FAD-EB47B6125CEF}" xr6:coauthVersionLast="47" xr6:coauthVersionMax="47" xr10:uidLastSave="{00000000-0000-0000-0000-000000000000}"/>
  <bookViews>
    <workbookView xWindow="-108" yWindow="-108" windowWidth="23256" windowHeight="12576"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L8" i="1"/>
  <c r="L7" i="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2"/>
  <c r="D2" i="85"/>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0" i="1"/>
  <c r="D2" i="35"/>
  <c r="E10" i="76"/>
  <c r="E8" i="76"/>
  <c r="D2" i="21"/>
  <c r="B13" i="76"/>
  <c r="D2" i="36"/>
  <c r="AO9" i="1"/>
  <c r="B12" i="76"/>
  <c r="AO12" i="1"/>
  <c r="B9" i="76"/>
  <c r="F20" i="31"/>
  <c r="AO11" i="1"/>
  <c r="E7" i="76"/>
  <c r="B10" i="76"/>
  <c r="E2" i="69"/>
  <c r="E9" i="76"/>
  <c r="D2" i="37"/>
  <c r="AO13" i="1"/>
  <c r="E2" i="68"/>
  <c r="D2" i="34"/>
  <c r="B8" i="76"/>
  <c r="B11" i="76"/>
  <c r="E13" i="76"/>
  <c r="B7" i="76"/>
  <c r="E11" i="76"/>
  <c r="E12" i="76"/>
  <c r="D2" i="33"/>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3" i="73"/>
  <c r="M29" i="15"/>
  <c r="F4" i="73"/>
  <c r="F16" i="15"/>
  <c r="M9" i="67"/>
  <c r="M6" i="67"/>
  <c r="D9" i="69"/>
  <c r="F40" i="15"/>
  <c r="C36" i="69"/>
  <c r="F7" i="73"/>
  <c r="D7" i="73"/>
  <c r="F5" i="73"/>
  <c r="F6" i="73"/>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C16" i="15"/>
  <c r="F16" i="86"/>
  <c r="M22" i="86"/>
  <c r="L48" i="83"/>
  <c r="F36" i="83"/>
  <c r="M27" i="15"/>
  <c r="F35" i="15"/>
  <c r="M9" i="15"/>
  <c r="F9" i="86"/>
  <c r="F6" i="86"/>
  <c r="F8" i="83"/>
  <c r="M24" i="67"/>
  <c r="F27" i="69"/>
  <c r="L48" i="67"/>
  <c r="F26" i="86"/>
  <c r="F41" i="15"/>
  <c r="F13" i="67"/>
  <c r="F13" i="15"/>
  <c r="F13" i="86"/>
  <c r="M8" i="83"/>
  <c r="M28" i="15"/>
  <c r="M9" i="86"/>
  <c r="L48" i="86"/>
  <c r="M28" i="86"/>
  <c r="C76" i="67"/>
  <c r="M24" i="86"/>
  <c r="F42" i="83"/>
  <c r="M23" i="83"/>
  <c r="F9" i="67"/>
  <c r="M26" i="86"/>
  <c r="M27" i="86"/>
  <c r="F40" i="67"/>
  <c r="F38" i="86"/>
  <c r="F38" i="67"/>
  <c r="M28" i="67"/>
  <c r="F6" i="15"/>
  <c r="M26" i="15"/>
  <c r="F37" i="86"/>
  <c r="M22" i="83"/>
  <c r="M28" i="83"/>
  <c r="D3" i="73"/>
  <c r="M23" i="86"/>
  <c r="F7" i="86"/>
  <c r="F8" i="67"/>
  <c r="M22" i="67"/>
  <c r="L47" i="83"/>
  <c r="F9" i="83"/>
  <c r="C76" i="83"/>
  <c r="F40" i="86"/>
  <c r="F43" i="15"/>
  <c r="M27" i="83"/>
  <c r="M23" i="15"/>
  <c r="F37" i="15"/>
  <c r="F43" i="86"/>
  <c r="F7" i="15"/>
  <c r="M24" i="15"/>
  <c r="F42" i="86"/>
  <c r="M8" i="86"/>
  <c r="C76" i="86"/>
  <c r="C76" i="15"/>
  <c r="F8" i="15"/>
  <c r="M24" i="83"/>
  <c r="M26" i="67"/>
  <c r="F38" i="15"/>
  <c r="F42" i="15"/>
  <c r="M8" i="67"/>
  <c r="F8" i="86"/>
  <c r="D4" i="73"/>
  <c r="F6" i="83"/>
  <c r="L47" i="67"/>
  <c r="M26" i="83"/>
  <c r="M6" i="86"/>
  <c r="F37" i="67"/>
  <c r="M27" i="67"/>
  <c r="M8" i="15"/>
  <c r="M21" i="15"/>
  <c r="L47" i="86"/>
  <c r="D5" i="73"/>
  <c r="J15" i="15"/>
  <c r="D6" i="73"/>
  <c r="L48" i="15"/>
  <c r="C14" i="15"/>
  <c r="J15" i="67"/>
  <c r="M6" i="83"/>
  <c r="M22" i="15"/>
  <c r="F13" i="83"/>
  <c r="F6" i="67"/>
  <c r="J15" i="86"/>
  <c r="F40" i="83"/>
  <c r="F26" i="83"/>
  <c r="F36" i="67"/>
  <c r="F26" i="15"/>
  <c r="F36" i="15"/>
  <c r="M6" i="15"/>
  <c r="M29" i="86"/>
  <c r="M9" i="83"/>
  <c r="F26" i="67"/>
  <c r="F16" i="83"/>
  <c r="F36" i="86"/>
  <c r="J15" i="83"/>
  <c r="L47" i="15"/>
  <c r="F37" i="83"/>
  <c r="F16" i="67"/>
  <c r="F42" i="67"/>
  <c r="F38" i="83"/>
  <c r="F9" i="15"/>
  <c r="C34" i="15" l="1"/>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G1" i="73"/>
  <c r="C16" i="86"/>
  <c r="C17" i="15"/>
  <c r="C32" i="86" l="1"/>
  <c r="C33" i="86"/>
  <c r="BB6" i="3"/>
  <c r="BR6" i="3"/>
  <c r="AY36" i="3"/>
  <c r="AY21" i="3"/>
  <c r="AY49" i="3"/>
  <c r="AY373" i="3"/>
  <c r="AY539" i="3"/>
  <c r="AY241" i="3"/>
  <c r="AY257" i="3"/>
  <c r="AY377" i="3"/>
  <c r="AY395" i="3"/>
  <c r="AY459" i="3"/>
  <c r="E32" i="77"/>
  <c r="F7" i="82"/>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83"/>
  <c r="F7" i="83"/>
  <c r="M29" i="67"/>
  <c r="AE6" i="1"/>
  <c r="AE8" i="1"/>
  <c r="D10" i="69"/>
  <c r="F7" i="67"/>
  <c r="C34" i="69"/>
  <c r="F43" i="67"/>
  <c r="AE7" i="1"/>
  <c r="F43" i="83"/>
  <c r="J17" i="15" l="1"/>
  <c r="C48" i="15"/>
  <c r="J24" i="15"/>
  <c r="F25" i="12"/>
  <c r="C26" i="12" s="1"/>
  <c r="D25" i="12" s="1"/>
  <c r="F24" i="67"/>
  <c r="C24" i="67" s="1"/>
  <c r="F22" i="68"/>
  <c r="C44" i="68" s="1"/>
  <c r="D41" i="68" s="1"/>
  <c r="F24" i="15"/>
  <c r="C24" i="15" s="1"/>
  <c r="J18" i="86"/>
  <c r="J5" i="86"/>
  <c r="J26" i="86" s="1"/>
  <c r="W7" i="21"/>
  <c r="W7" i="34"/>
  <c r="C48" i="86"/>
  <c r="S7" i="34"/>
  <c r="D20" i="6"/>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83"/>
  <c r="F41" i="67"/>
  <c r="F41" i="83"/>
  <c r="F41" i="86"/>
  <c r="C16" i="67"/>
  <c r="C33" i="83" l="1"/>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7" i="67"/>
  <c r="C17" i="83"/>
  <c r="E6" i="76"/>
  <c r="C17" i="86"/>
  <c r="C14" i="86"/>
  <c r="C14"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I6" i="6"/>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M21" i="86"/>
  <c r="B6" i="76"/>
  <c r="C34" i="86" l="1"/>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20" i="84"/>
  <c r="C19" i="84"/>
  <c r="Q67" i="15" l="1"/>
  <c r="L57" i="15"/>
  <c r="L60" i="15" s="1"/>
  <c r="Q66" i="15" s="1"/>
  <c r="C43" i="15"/>
  <c r="Q56" i="15"/>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81"/>
  <c r="B3" i="69"/>
  <c r="C19" i="9"/>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9"/>
  <c r="M21" i="83"/>
  <c r="C20" i="81"/>
  <c r="F35" i="67"/>
  <c r="M21" i="67"/>
  <c r="F35" i="83"/>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C30" i="83" l="1"/>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Q68" i="67"/>
  <c r="J16" i="67"/>
  <c r="J25" i="67" s="1"/>
  <c r="H40" i="67"/>
  <c r="C40" i="67"/>
  <c r="Q47" i="67" s="1"/>
  <c r="Q53" i="67" s="1"/>
  <c r="C80" i="67"/>
  <c r="C79" i="67" s="1"/>
  <c r="D13" i="71"/>
  <c r="C12" i="71"/>
  <c r="L65" i="40"/>
  <c r="M63" i="40"/>
  <c r="L69" i="39"/>
  <c r="M67" i="39"/>
  <c r="L51" i="86"/>
  <c r="L51" i="67"/>
  <c r="C40" i="83" l="1"/>
  <c r="C43" i="83" s="1"/>
  <c r="Q69" i="83"/>
  <c r="Q68" i="83" s="1"/>
  <c r="H40" i="83"/>
  <c r="C80" i="86"/>
  <c r="C79" i="86" s="1"/>
  <c r="Q69" i="86"/>
  <c r="Q68" i="86" s="1"/>
  <c r="C40" i="86"/>
  <c r="C45" i="86" s="1"/>
  <c r="C46" i="86" s="1"/>
  <c r="H40" i="86"/>
  <c r="J16" i="86"/>
  <c r="J25" i="86" s="1"/>
  <c r="Q67" i="86"/>
  <c r="C45" i="83"/>
  <c r="C46" i="83" s="1"/>
  <c r="D2" i="83"/>
  <c r="Q65" i="83"/>
  <c r="Q75" i="83" s="1"/>
  <c r="Q56" i="83"/>
  <c r="Q62" i="83" s="1"/>
  <c r="C83" i="83"/>
  <c r="C82" i="83" s="1"/>
  <c r="Q67" i="67"/>
  <c r="C83" i="67"/>
  <c r="C82" i="67" s="1"/>
  <c r="D2" i="67"/>
  <c r="B3" i="67" s="1"/>
  <c r="C43" i="67"/>
  <c r="Q56" i="67"/>
  <c r="Q62" i="67" s="1"/>
  <c r="C45" i="67"/>
  <c r="C46" i="67" s="1"/>
  <c r="Q65" i="67"/>
  <c r="Q75" i="67" s="1"/>
  <c r="T12" i="71"/>
  <c r="D12" i="71"/>
  <c r="U12" i="71" s="1"/>
  <c r="C11" i="71"/>
  <c r="M69" i="39"/>
  <c r="N67" i="39"/>
  <c r="M65" i="40"/>
  <c r="N63" i="40"/>
  <c r="L51" i="83"/>
  <c r="D20" i="9"/>
  <c r="Q67" i="83" l="1"/>
  <c r="Q47" i="83"/>
  <c r="Q53" i="83" s="1"/>
  <c r="D2" i="86"/>
  <c r="B3" i="86" s="1"/>
  <c r="Q65" i="86"/>
  <c r="Q75" i="86" s="1"/>
  <c r="Q47" i="86"/>
  <c r="Q53" i="86" s="1"/>
  <c r="C43" i="86"/>
  <c r="Q56" i="86"/>
  <c r="Q62" i="86" s="1"/>
  <c r="C83" i="86"/>
  <c r="C82" i="86" s="1"/>
  <c r="B2" i="83"/>
  <c r="B3" i="83"/>
  <c r="B2" i="67"/>
  <c r="D103" i="9"/>
  <c r="G20" i="9"/>
  <c r="D11" i="71"/>
  <c r="C10" i="71"/>
  <c r="N65" i="40"/>
  <c r="O63" i="40"/>
  <c r="O65" i="40" s="1"/>
  <c r="N69" i="39"/>
  <c r="O67" i="39"/>
  <c r="O69" i="39" s="1"/>
  <c r="D19" i="9"/>
  <c r="D19" i="81"/>
  <c r="AO6" i="1"/>
  <c r="D34" i="81"/>
  <c r="D35" i="84"/>
  <c r="D34" i="84"/>
  <c r="AO7" i="1"/>
  <c r="D20" i="81"/>
  <c r="D20" i="84"/>
  <c r="D35" i="81"/>
  <c r="D35" i="9"/>
  <c r="D34" i="9"/>
  <c r="C32" i="9" l="1"/>
  <c r="I118" i="9" s="1"/>
  <c r="H118" i="9"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D14" i="74" s="1"/>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19" i="81" l="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<sst xmlns="http://schemas.openxmlformats.org/spreadsheetml/2006/main" count="10358" uniqueCount="2878">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</sst>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1009</v>
      </c>
    </row>
    <row r="21" spans="1:2">
      <c r="A21" s="3167" t="s">
        <v>21</v>
      </c>
      <c r="B21" s="3168">
        <f ca="1">'预评函-2'!D7</f>
        <v>28410</v>
      </c>
    </row>
    <row r="22" spans="1:2">
      <c r="A22" s="3167" t="s">
        <v>22</v>
      </c>
      <c r="B22" s="3168" t="str">
        <f ca="1">'预评函-2'!D6</f>
        <v>壹仟零玖万元整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1009</v>
      </c>
    </row>
    <row r="31" spans="1:2">
      <c r="A31" s="3167" t="s">
        <v>31</v>
      </c>
      <c r="B31" s="3168">
        <f ca="1">'预评函-2'!D15</f>
        <v>28410</v>
      </c>
    </row>
    <row r="32" spans="1:2">
      <c r="A32" s="3167" t="s">
        <v>32</v>
      </c>
      <c r="B32" s="3168" t="str">
        <f ca="1">'预评函-2'!D14</f>
        <v>壹仟零玖万元整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730</v>
      </c>
    </row>
    <row r="48" spans="1:2">
      <c r="A48" s="3167" t="s">
        <v>48</v>
      </c>
      <c r="B48" s="3168">
        <f ca="1">'预评函-3'!E4</f>
        <v>20540</v>
      </c>
    </row>
    <row r="49" spans="1:2">
      <c r="A49" s="3167" t="s">
        <v>49</v>
      </c>
      <c r="B49" s="3168" t="str">
        <f ca="1">'预评函-3'!D5</f>
        <v>柒佰叁拾万元整</v>
      </c>
    </row>
    <row r="50" spans="1:2">
      <c r="A50" s="3167" t="s">
        <v>50</v>
      </c>
      <c r="B50" s="3168" t="str">
        <f>'预评函-3'!F2</f>
        <v>在建建筑物价值</v>
      </c>
    </row>
    <row r="51" spans="1:2">
      <c r="A51" s="3167" t="s">
        <v>51</v>
      </c>
      <c r="B51" s="3168">
        <f ca="1">'预评函-3'!F4</f>
        <v>280</v>
      </c>
    </row>
    <row r="52" spans="1:2">
      <c r="A52" s="3167" t="s">
        <v>52</v>
      </c>
      <c r="B52" s="3168">
        <f ca="1">'预评函-3'!G4</f>
        <v>7870</v>
      </c>
    </row>
    <row r="53" spans="1:2">
      <c r="A53" s="3167" t="s">
        <v>53</v>
      </c>
      <c r="B53" s="3168" t="str">
        <f ca="1">'预评函-3'!F5</f>
        <v>贰佰捌拾万元整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2853</v>
      </c>
      <c r="C19" s="3059"/>
    </row>
    <row r="20" spans="1:3">
      <c r="A20" s="3058" t="s">
        <v>316</v>
      </c>
      <c r="B20" s="3058" t="s">
        <v>2856</v>
      </c>
      <c r="C20" s="3059"/>
    </row>
    <row r="21" spans="1:3">
      <c r="A21" s="3058" t="s">
        <v>260</v>
      </c>
      <c r="B21" s="3060" t="s">
        <v>2854</v>
      </c>
      <c r="C21" s="3059"/>
    </row>
    <row r="22" spans="1:3">
      <c r="A22" s="3058" t="s">
        <v>317</v>
      </c>
      <c r="B22" s="3058" t="s">
        <v>2858</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B4" sqref="B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4" t="str">
        <f>IF(B10="北京市","北京市",C10)&amp;F10&amp;IF(结果表110!G1="在建","出让国有建设用地使用权及在建建筑物",IF(结果表110!G1="土地","出让国有建设用地使用权",))&amp;B9&amp;"预评估"</f>
        <v>北京市房地产抵押价值预评估</v>
      </c>
      <c r="C1" s="3245"/>
      <c r="D1" s="3245"/>
      <c r="E1" s="3245"/>
      <c r="F1" s="3245"/>
      <c r="G1" s="3245"/>
      <c r="H1" s="3245"/>
      <c r="I1" s="3246"/>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59" t="s">
        <v>447</v>
      </c>
      <c r="E8" s="2901" t="s">
        <v>330</v>
      </c>
      <c r="F8" s="2902"/>
      <c r="G8" s="2658"/>
      <c r="H8" s="2658"/>
      <c r="I8" s="2658"/>
      <c r="J8" s="2522"/>
      <c r="K8" s="2976"/>
      <c r="L8" s="2974"/>
      <c r="M8" s="2974"/>
      <c r="N8" s="2522"/>
      <c r="O8" s="2239"/>
      <c r="P8" s="2522"/>
      <c r="Q8" s="2522"/>
      <c r="R8" s="2522"/>
    </row>
    <row r="9" spans="1:30">
      <c r="A9" s="2903" t="s">
        <v>448</v>
      </c>
      <c r="B9" s="2904" t="s">
        <v>330</v>
      </c>
      <c r="C9" s="2905"/>
      <c r="D9" s="3260"/>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c r="G10" s="2912"/>
      <c r="H10" s="2913"/>
      <c r="I10" s="2977"/>
      <c r="J10" s="2522"/>
      <c r="K10" s="2975"/>
      <c r="L10" s="2974"/>
      <c r="M10" s="2974"/>
      <c r="N10" s="2522"/>
      <c r="O10" s="2239"/>
      <c r="P10" s="2522"/>
      <c r="Q10" s="2522"/>
      <c r="R10" s="2522"/>
    </row>
    <row r="11" spans="1:30">
      <c r="A11" s="2914" t="s">
        <v>452</v>
      </c>
      <c r="B11" s="2915" t="s">
        <v>2877</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2844</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47" t="s">
        <v>466</v>
      </c>
      <c r="C16" s="3248"/>
      <c r="D16" s="3249"/>
      <c r="E16" s="2927" t="s">
        <v>467</v>
      </c>
      <c r="F16" s="3250"/>
      <c r="G16" s="3251"/>
      <c r="H16" s="3251"/>
      <c r="I16" s="3252"/>
      <c r="J16" s="2522"/>
      <c r="K16" s="2982"/>
      <c r="L16" s="2239"/>
      <c r="M16" s="2239"/>
      <c r="N16" s="2522"/>
      <c r="O16" s="2239"/>
      <c r="P16" s="2522"/>
      <c r="Q16" s="2522"/>
      <c r="R16" s="2522"/>
    </row>
    <row r="17" spans="1:28">
      <c r="A17" s="1866" t="s">
        <v>468</v>
      </c>
      <c r="B17" s="1855" t="s">
        <v>469</v>
      </c>
      <c r="C17" s="1472">
        <f>'数据-汇总表'!E3</f>
        <v>885.63</v>
      </c>
      <c r="D17" s="1908" t="s">
        <v>470</v>
      </c>
      <c r="E17" s="3253" t="s">
        <v>471</v>
      </c>
      <c r="F17" s="3254"/>
      <c r="G17" s="3254"/>
      <c r="H17" s="3254"/>
      <c r="I17" s="3255"/>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56" t="s">
        <v>474</v>
      </c>
      <c r="F18" s="3257"/>
      <c r="G18" s="3257"/>
      <c r="H18" s="3257"/>
      <c r="I18" s="3258"/>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63" t="s">
        <v>480</v>
      </c>
      <c r="C20" s="3264"/>
      <c r="D20" s="3265" t="s">
        <v>481</v>
      </c>
      <c r="E20" s="3266"/>
      <c r="F20" s="2936" t="s">
        <v>482</v>
      </c>
      <c r="G20" s="2658"/>
      <c r="H20" s="2658"/>
      <c r="I20" s="2658"/>
      <c r="J20" s="2522"/>
      <c r="K20" s="3261"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6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61"/>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0"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0"/>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0"/>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1"/>
      <c r="B30" s="1855" t="s">
        <v>499</v>
      </c>
      <c r="C30" s="3267"/>
      <c r="D30" s="3268"/>
      <c r="E30" s="2658"/>
      <c r="F30" s="2658"/>
      <c r="G30" s="2658"/>
      <c r="H30" s="2658"/>
      <c r="I30" s="2658"/>
      <c r="J30" s="2522"/>
      <c r="K30" s="2975"/>
      <c r="L30" s="2974"/>
      <c r="M30" s="2974"/>
      <c r="N30" s="2522"/>
      <c r="O30" s="2239"/>
      <c r="P30" s="2522"/>
      <c r="Q30" s="2522"/>
      <c r="R30" s="2522"/>
      <c r="S30" s="2522"/>
      <c r="T30" s="2522"/>
      <c r="U30" s="2522"/>
      <c r="V30" s="2522"/>
    </row>
    <row r="31" spans="1:28">
      <c r="A31" s="3242"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3"/>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3"/>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2" t="s">
        <v>510</v>
      </c>
      <c r="T34" s="1896" t="str">
        <f>NUMBERSTRING(7-K34,1)&amp;"通"</f>
        <v>七通</v>
      </c>
      <c r="U34" s="2522"/>
      <c r="V34" s="2522"/>
    </row>
    <row r="35" spans="1:30">
      <c r="A35" s="2961"/>
      <c r="B35" s="3262" t="s">
        <v>511</v>
      </c>
      <c r="C35" s="3262"/>
      <c r="D35" s="3262"/>
      <c r="E35" s="3262"/>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2"/>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1922</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U12" sqref="U1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766.7989</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f>L6</f>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2855</v>
      </c>
      <c r="AO7" s="1126">
        <f t="shared" ref="AO7:AO13" ca="1" si="9">SUMIF(INDIRECT("'"&amp;AN7&amp;"'"&amp;"!A:A"),"总价",INDIRECT("'"&amp;AN7&amp;"'"&amp;"!B:B"))</f>
        <v>809.1404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f>L6</f>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2857</v>
      </c>
      <c r="AO8" s="1126">
        <f t="shared" ca="1" si="9"/>
        <v>335.29700000000003</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81"/>
      <c r="V19" s="3109" t="s">
        <v>2827</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2828</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2829</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2830</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2831</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2832</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2843</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2849</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2794</v>
      </c>
      <c r="D6" s="2515"/>
      <c r="E6" s="2520"/>
      <c r="F6" s="1896" t="s">
        <v>740</v>
      </c>
      <c r="G6" s="2521"/>
      <c r="H6" s="2397"/>
      <c r="I6" s="2397"/>
      <c r="J6" s="2397"/>
      <c r="K6" s="2397"/>
      <c r="L6" s="2397"/>
      <c r="M6" s="2397"/>
      <c r="N6" s="2397"/>
      <c r="O6" s="2397"/>
      <c r="P6" s="2397"/>
      <c r="Q6" s="2397"/>
    </row>
    <row r="7" spans="1:29">
      <c r="A7" s="2516"/>
      <c r="B7" s="1896" t="s">
        <v>563</v>
      </c>
      <c r="C7" s="3178" t="s">
        <v>2794</v>
      </c>
      <c r="D7" s="2522"/>
      <c r="E7" s="2523"/>
      <c r="F7" s="2524" t="s">
        <v>741</v>
      </c>
      <c r="G7" s="2525"/>
      <c r="H7" s="2397"/>
      <c r="I7" s="2397"/>
      <c r="J7" s="2397"/>
      <c r="K7" s="2397"/>
      <c r="L7" s="2397"/>
      <c r="M7" s="2397"/>
      <c r="N7" s="2397"/>
      <c r="O7" s="2397"/>
      <c r="P7" s="2397"/>
      <c r="Q7" s="2397"/>
    </row>
    <row r="8" spans="1:29">
      <c r="A8" s="2516"/>
      <c r="B8" s="1896" t="s">
        <v>740</v>
      </c>
      <c r="C8" s="3179" t="s">
        <v>2795</v>
      </c>
      <c r="D8" s="2522"/>
      <c r="E8" s="2522"/>
      <c r="F8" s="1458"/>
      <c r="G8" s="1458"/>
      <c r="H8" s="2397"/>
      <c r="I8" s="2397"/>
      <c r="J8" s="2397"/>
      <c r="K8" s="2397"/>
      <c r="L8" s="2397"/>
      <c r="M8" s="2397"/>
      <c r="N8" s="2397"/>
      <c r="O8" s="2397"/>
      <c r="P8" s="2397"/>
      <c r="Q8" s="2397"/>
    </row>
    <row r="9" spans="1:29">
      <c r="A9" s="2516"/>
      <c r="B9" s="1896" t="s">
        <v>742</v>
      </c>
      <c r="C9" s="3178"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I20" sqref="I20"/>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155.37</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435</v>
      </c>
      <c r="C5" s="2490">
        <f ca="1">IF(B5=D14,结果表110!H102,ROUND(B5*10000/$B$1,0))</f>
        <v>28410</v>
      </c>
      <c r="D5" s="2490" t="e">
        <f ca="1">ROUND(B5*10000/$B$2,0)</f>
        <v>#DIV/0!</v>
      </c>
      <c r="E5" s="2491">
        <f ca="1">B5*10000</f>
        <v>4350000</v>
      </c>
      <c r="F5" s="3286" t="str">
        <f ca="1">NUMBERSTRING(INT(E5*10000),2)&amp;"元整"</f>
        <v>肆佰叁拾伍亿元整</v>
      </c>
      <c r="G5" s="3287"/>
      <c r="H5" s="2492"/>
      <c r="I5" s="2492"/>
      <c r="J5" s="2492"/>
      <c r="K5" s="2492"/>
    </row>
    <row r="6" spans="1:11" ht="15.6">
      <c r="A6" s="2490" t="s">
        <v>756</v>
      </c>
      <c r="B6" s="2490">
        <f ca="1">SUM(G14:G23)</f>
        <v>435</v>
      </c>
      <c r="C6" s="2490">
        <f ca="1">IF(B6=G14,结果表110!H108,ROUND(B6*10000/$B$1,0))</f>
        <v>28410</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112</v>
      </c>
      <c r="B14" s="2501">
        <f>结果表112!B118</f>
        <v>155.37</v>
      </c>
      <c r="C14" s="2501"/>
      <c r="D14" s="2501">
        <f ca="1">结果表112!H118</f>
        <v>435</v>
      </c>
      <c r="E14" s="2501">
        <f ca="1">结果表110!I118</f>
        <v>28410</v>
      </c>
      <c r="F14" s="2501" t="e">
        <f ca="1">ROUND(D14*10000/C14,0)</f>
        <v>#DIV/0!</v>
      </c>
      <c r="G14" s="2501">
        <f ca="1">D14</f>
        <v>435</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I118" sqref="I11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110</v>
      </c>
      <c r="D1" s="1998"/>
      <c r="E1" s="1998"/>
      <c r="F1" s="2117" t="s">
        <v>778</v>
      </c>
      <c r="G1" s="2118"/>
      <c r="H1" s="2117" t="str">
        <f>IF(G1="现房","——","估价对象范围")</f>
        <v>估价对象范围</v>
      </c>
      <c r="I1" s="2247"/>
    </row>
    <row r="2" spans="1:12" ht="21.75" customHeigh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2842</v>
      </c>
      <c r="D4" s="2121" t="s">
        <v>266</v>
      </c>
      <c r="E4" s="3293" t="s">
        <v>782</v>
      </c>
      <c r="F4" s="3294"/>
      <c r="G4" s="3294"/>
      <c r="H4" s="3294"/>
      <c r="I4" s="3295"/>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805</v>
      </c>
      <c r="B19" s="2132" t="s">
        <v>806</v>
      </c>
      <c r="C19" s="2133">
        <f ca="1">SUMIF(INDIRECT("'"&amp;C4&amp;"'"&amp;"!A:A"),结果表110!B19,INDIRECT("'"&amp;C4&amp;"'"&amp;"!B:B"))</f>
        <v>1113.4663</v>
      </c>
      <c r="D19" s="1245">
        <f ca="1">SUMIF(INDIRECT("'"&amp;D4&amp;"'"&amp;"!A:A"),结果表110!B19,INDIRECT("'"&amp;D4&amp;"'"&amp;"!B:B"))</f>
        <v>766.7989</v>
      </c>
      <c r="E19" s="1129" t="s">
        <v>807</v>
      </c>
      <c r="F19" s="2132" t="s">
        <v>806</v>
      </c>
      <c r="G19" s="2134">
        <f ca="1">ROUND(C19*$C$18+D19*$D$18,0)</f>
        <v>1009</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SUMIF(INDIRECT("'"&amp;C4&amp;"'"&amp;"!A:A"),结果表110!B20,INDIRECT("'"&amp;C4&amp;"'"&amp;"!B:B"))</f>
        <v>31337</v>
      </c>
      <c r="D20" s="1602">
        <f ca="1">SUMIF(INDIRECT("'"&amp;D4&amp;"'"&amp;"!A:A"),结果表110!B20,INDIRECT("'"&amp;D4&amp;"'"&amp;"!B:B"))</f>
        <v>21581</v>
      </c>
      <c r="E20" s="2136"/>
      <c r="F20" s="2137" t="s">
        <v>809</v>
      </c>
      <c r="G20" s="2138">
        <f ca="1">ROUND(C20*$C$18+D20*$D$18,0)</f>
        <v>28410</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0.45209689267942355</v>
      </c>
      <c r="E22" s="1458"/>
      <c r="F22" s="1458"/>
      <c r="G22" s="1458"/>
      <c r="H22" s="1458"/>
      <c r="I22" s="1458"/>
    </row>
    <row r="23" spans="1:36" ht="13.2">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row>
    <row r="25" spans="1:36" ht="14.4">
      <c r="A25" s="3370"/>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28410</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4.4">
      <c r="A35" s="2172"/>
      <c r="B35" s="2173" t="s">
        <v>827</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4.4">
      <c r="A36" s="3371" t="s">
        <v>829</v>
      </c>
      <c r="B36" s="2178" t="s">
        <v>830</v>
      </c>
      <c r="C36" s="2179"/>
      <c r="D36" s="2180"/>
      <c r="E36" s="2181"/>
      <c r="F36" s="2182"/>
      <c r="G36" s="1458"/>
      <c r="H36" s="1458"/>
      <c r="I36" s="1458"/>
    </row>
    <row r="37" spans="1:15" ht="14.4">
      <c r="A37" s="3372"/>
      <c r="B37" s="2183" t="s">
        <v>831</v>
      </c>
      <c r="C37" s="2184"/>
      <c r="D37" s="2185"/>
      <c r="E37" s="2185"/>
      <c r="F37" s="2182"/>
      <c r="G37" s="1458"/>
      <c r="H37" s="1458"/>
      <c r="I37" s="1458"/>
    </row>
    <row r="38" spans="1:15" ht="14.4">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298" t="s">
        <v>840</v>
      </c>
      <c r="B45" s="3299"/>
      <c r="C45" s="3300"/>
      <c r="D45" s="2204">
        <f ca="1">ROUND(H101*F45,4)</f>
        <v>1009</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52.852400000000003</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1009</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1009</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53</v>
      </c>
      <c r="E52" s="1908" t="s">
        <v>872</v>
      </c>
      <c r="F52" s="2226">
        <f>'数据-取费表'!B41</f>
        <v>5.5000000000000007E-2</v>
      </c>
      <c r="G52" s="2227"/>
      <c r="H52" s="2019"/>
      <c r="I52" s="2256"/>
      <c r="J52" s="576">
        <v>1</v>
      </c>
      <c r="K52" s="3317" t="s">
        <v>873</v>
      </c>
      <c r="L52" s="3317"/>
      <c r="M52" s="2257">
        <f ca="1">D48</f>
        <v>52.852400000000003</v>
      </c>
      <c r="N52" s="576" t="str">
        <f>E48</f>
        <v>(销售额-原购置价)×税（费）率</v>
      </c>
      <c r="O52" s="2258">
        <f>F48</f>
        <v>5.5000000000000007E-2</v>
      </c>
    </row>
    <row r="53" spans="1:35" ht="12" customHeight="1">
      <c r="A53" s="2225" t="s">
        <v>874</v>
      </c>
      <c r="B53" s="3318" t="s">
        <v>875</v>
      </c>
      <c r="C53" s="3319"/>
      <c r="D53" s="1904">
        <f ca="1">ROUND(D45*'数据-取费表'!B41/(1+'数据-取费表'!C42),0)</f>
        <v>53</v>
      </c>
      <c r="E53" s="1908" t="s">
        <v>872</v>
      </c>
      <c r="F53" s="2226">
        <f>'数据-取费表'!B41</f>
        <v>5.5000000000000007E-2</v>
      </c>
      <c r="G53" s="2227"/>
      <c r="H53" s="2019"/>
      <c r="I53" s="2256"/>
      <c r="J53" s="576">
        <v>2</v>
      </c>
      <c r="K53" s="3317" t="s">
        <v>876</v>
      </c>
      <c r="L53" s="3317"/>
      <c r="M53" s="2257">
        <f t="shared" ref="M53:O54" ca="1" si="0">D55</f>
        <v>0.50449999999999995</v>
      </c>
      <c r="N53" s="576" t="str">
        <f t="shared" si="0"/>
        <v>销售额×税（费）率</v>
      </c>
      <c r="O53" s="2258">
        <f t="shared" si="0"/>
        <v>5.0000000000000001E-4</v>
      </c>
    </row>
    <row r="54" spans="1:35" ht="12" customHeight="1">
      <c r="A54" s="2225" t="s">
        <v>877</v>
      </c>
      <c r="B54" s="3318" t="s">
        <v>878</v>
      </c>
      <c r="C54" s="3319"/>
      <c r="D54" s="1904">
        <f ca="1">C68</f>
        <v>52.852400000000003</v>
      </c>
      <c r="E54" s="1918" t="s">
        <v>879</v>
      </c>
      <c r="F54" s="2226">
        <f>'数据-取费表'!B41</f>
        <v>5.5000000000000007E-2</v>
      </c>
      <c r="G54" s="2227"/>
      <c r="H54" s="2228"/>
      <c r="I54" s="2256"/>
      <c r="J54" s="576">
        <v>3</v>
      </c>
      <c r="K54" s="3317" t="s">
        <v>880</v>
      </c>
      <c r="L54" s="3317"/>
      <c r="M54" s="2257">
        <f t="shared" ca="1" si="0"/>
        <v>572.00689999999997</v>
      </c>
      <c r="N54" s="576" t="str">
        <f t="shared" si="0"/>
        <v>增值额×税（费）率</v>
      </c>
      <c r="O54" s="2259" t="str">
        <f t="shared" si="0"/>
        <v>——</v>
      </c>
    </row>
    <row r="55" spans="1:35" ht="24" customHeight="1">
      <c r="A55" s="3320" t="s">
        <v>881</v>
      </c>
      <c r="B55" s="3313"/>
      <c r="C55" s="3313"/>
      <c r="D55" s="2229">
        <f ca="1">IF(H55="个人住宅",0,ROUND(D45*I55,4))</f>
        <v>0.50449999999999995</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10.09</v>
      </c>
      <c r="N55" s="557" t="str">
        <f>E59</f>
        <v>销售额×税（费）率</v>
      </c>
      <c r="O55" s="2262">
        <f>F59</f>
        <v>0.01</v>
      </c>
    </row>
    <row r="56" spans="1:35" ht="25.2">
      <c r="A56" s="3320" t="s">
        <v>884</v>
      </c>
      <c r="B56" s="3313"/>
      <c r="C56" s="3313"/>
      <c r="D56" s="2005">
        <f ca="1">IF(H56="个人住宅",D57,D58)</f>
        <v>572.00689999999997</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IF(AND(J55="",J56=""),4,IF(项目基本情况!K6="上海银行",结果表110!J56+1,结果表110!J55+1))</f>
        <v>5</v>
      </c>
      <c r="K57" s="3317" t="s">
        <v>888</v>
      </c>
      <c r="L57" s="2264" t="s">
        <v>889</v>
      </c>
      <c r="M57" s="2265"/>
      <c r="N57" s="2266">
        <f ca="1">SUMIF(M52:M56,"&lt;9e307")</f>
        <v>635.4538</v>
      </c>
      <c r="O57" s="2267"/>
      <c r="P57" s="2268">
        <f ca="1">N57/M49</f>
        <v>0.62978572844400393</v>
      </c>
    </row>
    <row r="58" spans="1:35" ht="25.2">
      <c r="A58" s="2225" t="s">
        <v>870</v>
      </c>
      <c r="B58" s="3318" t="s">
        <v>890</v>
      </c>
      <c r="C58" s="3315"/>
      <c r="D58" s="2005">
        <f ca="1">IF(H58="转让取得",C81,C97)</f>
        <v>572.00689999999997</v>
      </c>
      <c r="E58" s="1908" t="s">
        <v>885</v>
      </c>
      <c r="F58" s="1855" t="s">
        <v>124</v>
      </c>
      <c r="G58" s="2227"/>
      <c r="H58" s="2231" t="s">
        <v>891</v>
      </c>
      <c r="I58" s="2239"/>
      <c r="J58" s="3317"/>
      <c r="K58" s="3317"/>
      <c r="L58" s="2264" t="s">
        <v>892</v>
      </c>
      <c r="M58" s="2269"/>
      <c r="N58" s="2270" t="str">
        <f ca="1">NUMBERSTRING(INT(N57*10000),2)&amp;"元整"</f>
        <v>陆佰叁拾伍万肆仟伍佰叁拾捌元整</v>
      </c>
      <c r="O58" s="2271"/>
    </row>
    <row r="59" spans="1:35" ht="26.4">
      <c r="A59" s="3327" t="s">
        <v>893</v>
      </c>
      <c r="B59" s="3328"/>
      <c r="C59" s="3328"/>
      <c r="D59" s="3177">
        <f ca="1">IF(H59="非个人房产","——",IF(H59="个人住宅（满五唯一有凭证）",0,IF(H59="个人其他（无凭证）",ROUND(D45*F59,4),ROUND(C67*F59,4))))</f>
        <v>10.09</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373.5462</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叁佰柒拾叁万伍仟肆佰陆拾贰元整</v>
      </c>
      <c r="O60" s="2271"/>
    </row>
    <row r="61" spans="1:35" ht="13.2">
      <c r="A61" s="3329" t="s">
        <v>896</v>
      </c>
      <c r="B61" s="3329"/>
      <c r="C61" s="3329"/>
      <c r="D61" s="3329"/>
      <c r="E61" s="3329"/>
      <c r="F61" s="2239"/>
      <c r="G61" s="2239"/>
      <c r="H61" s="1459"/>
      <c r="I61" s="1458"/>
      <c r="J61" s="576">
        <f>J59+1</f>
        <v>7</v>
      </c>
      <c r="K61" s="3317" t="s">
        <v>897</v>
      </c>
      <c r="L61" s="3317"/>
      <c r="M61" s="2276"/>
      <c r="N61" s="2488">
        <f ca="1">ROUND(N59*10000/'数据-汇总表'!E3,0)</f>
        <v>4218</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960.95240000000001</v>
      </c>
      <c r="D63" s="586"/>
      <c r="E63" s="2243"/>
      <c r="F63" s="2239"/>
      <c r="G63" s="2239"/>
      <c r="H63" s="1459"/>
      <c r="I63" s="1458"/>
      <c r="J63" s="3316" t="s">
        <v>902</v>
      </c>
      <c r="K63" s="2278" t="s">
        <v>903</v>
      </c>
      <c r="L63" s="2278">
        <f ca="1">IF(M49&gt;10000,M49*0.5%,IF(AND(M49&gt;1000,M49&lt;=10000),M49*1%,IF(AND(M49&gt;100,M49&lt;=1000),M49*3%,IF(AND(M49&gt;10,M49&lt;=100),M49*5%,M49*8%))))</f>
        <v>10.09</v>
      </c>
      <c r="M63" s="1855">
        <f ca="1">ROUND(L63,1)</f>
        <v>10.1</v>
      </c>
      <c r="N63" s="2279"/>
      <c r="Z63" s="2113"/>
      <c r="AI63" s="2114"/>
    </row>
    <row r="64" spans="1:35" ht="14.25" customHeight="1">
      <c r="A64" s="2244" t="s">
        <v>904</v>
      </c>
      <c r="B64" s="509" t="s">
        <v>905</v>
      </c>
      <c r="C64" s="2245">
        <f ca="1">D45</f>
        <v>1009</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6.0540000000000003</v>
      </c>
      <c r="M64" s="1855">
        <f t="shared" ref="M64:M65" ca="1" si="1">ROUND(L64,1)</f>
        <v>6.1</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1.0090000000000001</v>
      </c>
      <c r="M65" s="1855">
        <f t="shared" ca="1" si="1"/>
        <v>1</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5.0449999999999999</v>
      </c>
      <c r="M66" s="1855">
        <f ca="1">IF(L66&gt;0.5,0.5,ROUND(L66,0))</f>
        <v>0.5</v>
      </c>
      <c r="N66" s="2019" t="s">
        <v>915</v>
      </c>
      <c r="Z66" s="2113"/>
      <c r="AI66" s="2114"/>
    </row>
    <row r="67" spans="1:35" ht="14.25" customHeight="1">
      <c r="A67" s="2241" t="s">
        <v>916</v>
      </c>
      <c r="B67" s="2282" t="s">
        <v>917</v>
      </c>
      <c r="C67" s="2285">
        <f ca="1">C63-C66</f>
        <v>960.95240000000001</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2.7635000000000001</v>
      </c>
      <c r="M67" s="1855">
        <f ca="1">ROUND(L67*0.9,1)</f>
        <v>2.5</v>
      </c>
      <c r="N67" s="2279"/>
      <c r="Z67" s="2113"/>
      <c r="AI67" s="2114"/>
    </row>
    <row r="68" spans="1:35" ht="14.25" customHeight="1">
      <c r="A68" s="2286" t="s">
        <v>919</v>
      </c>
      <c r="B68" s="2287" t="s">
        <v>920</v>
      </c>
      <c r="C68" s="2288">
        <f ca="1">IF(C67&lt;=0,0,ROUND(C67*D68,4))</f>
        <v>52.852400000000003</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20.18</v>
      </c>
      <c r="M68" s="1855">
        <f ca="1">ROUND(L68,1)</f>
        <v>20.2</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40</v>
      </c>
      <c r="N69" s="2358">
        <f ca="1">M69/M49</f>
        <v>3.9643211100099107E-2</v>
      </c>
      <c r="Z69" s="2113"/>
      <c r="AI69" s="2114"/>
    </row>
    <row r="70" spans="1:35" s="886" customFormat="1" ht="13.8">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960.95240000000001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4.8048000000000002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4.8048000000000002</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956.14760000000001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198.99841824841823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572.00689999999997</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961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956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191.2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572</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v>
      </c>
      <c r="D101" s="2335" t="str">
        <f>D4</f>
        <v>收益法 (元)</v>
      </c>
      <c r="E101" s="3365" t="s">
        <v>970</v>
      </c>
      <c r="F101" s="3361"/>
      <c r="G101" s="2337" t="s">
        <v>971</v>
      </c>
      <c r="H101" s="2338">
        <f ca="1">H118</f>
        <v>1009</v>
      </c>
      <c r="I101" s="1458"/>
    </row>
    <row r="102" spans="1:35" ht="18.75" customHeight="1">
      <c r="A102" s="3374" t="s">
        <v>972</v>
      </c>
      <c r="B102" s="2339" t="s">
        <v>971</v>
      </c>
      <c r="C102" s="2334">
        <f ca="1">IF(D32="楼面单价",ROUND(C19,0),C19)</f>
        <v>1113</v>
      </c>
      <c r="D102" s="2335">
        <f ca="1">IF(D32="楼面单价",ROUND(D19,0),D19)</f>
        <v>767</v>
      </c>
      <c r="E102" s="3365"/>
      <c r="F102" s="3361"/>
      <c r="G102" s="2337" t="s">
        <v>99</v>
      </c>
      <c r="H102" s="2227">
        <f ca="1">I118</f>
        <v>28410</v>
      </c>
      <c r="I102" s="1458"/>
    </row>
    <row r="103" spans="1:35" ht="42.75" customHeight="1">
      <c r="A103" s="3374"/>
      <c r="B103" s="2339" t="s">
        <v>99</v>
      </c>
      <c r="C103" s="2340">
        <f ca="1">C20</f>
        <v>31337</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1009</v>
      </c>
      <c r="D104" s="2345"/>
      <c r="E104" s="2183" t="s">
        <v>975</v>
      </c>
      <c r="F104" s="2346"/>
      <c r="G104" s="2342" t="s">
        <v>102</v>
      </c>
      <c r="H104" s="2347">
        <f>IF(D36="同一抵押权人同一抵押物续贷",C36&amp;"（续贷，未扣减，详见特别提示）",C36)</f>
        <v>0</v>
      </c>
      <c r="I104" s="1458"/>
    </row>
    <row r="105" spans="1:35" ht="18.75" customHeight="1">
      <c r="A105" s="3375"/>
      <c r="B105" s="2348" t="s">
        <v>99</v>
      </c>
      <c r="C105" s="2349">
        <f ca="1">I118</f>
        <v>28410</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1009</v>
      </c>
      <c r="I107" s="1458"/>
    </row>
    <row r="108" spans="1:35" ht="18.75" customHeight="1">
      <c r="A108" s="1458"/>
      <c r="B108" s="1458"/>
      <c r="C108" s="1458"/>
      <c r="D108" s="1458"/>
      <c r="E108" s="3360"/>
      <c r="F108" s="3361"/>
      <c r="G108" s="2337" t="s">
        <v>99</v>
      </c>
      <c r="H108" s="2227">
        <f ca="1">IF(H107=H101,H102,ROUND(H107*10000/'数据-汇总表'!E3,0))</f>
        <v>28410</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355.32</v>
      </c>
      <c r="C118" s="868">
        <f>M19</f>
        <v>0</v>
      </c>
      <c r="D118" s="868">
        <f ca="1">ROUND(IF(D32="总价",C34,E118*B118/10000),0)</f>
        <v>730</v>
      </c>
      <c r="E118" s="868">
        <f ca="1">ROUND(IF(C33="自定义",IF(D32="楼面单价",C34,D118*10000/B118),I118-G118),0)</f>
        <v>20540</v>
      </c>
      <c r="F118" s="868">
        <f ca="1">ROUND(IF(D32="总价",C35,G118*B118/10000),0)</f>
        <v>280</v>
      </c>
      <c r="G118" s="868">
        <f ca="1">ROUND(IF(D32="楼面单价",C35,F118*10000/B118),0)</f>
        <v>7870</v>
      </c>
      <c r="H118" s="2357">
        <f ca="1">ROUND(IF(D32="总价",C32,I118*B118/10000),0)</f>
        <v>1009</v>
      </c>
      <c r="I118" s="868">
        <f ca="1">ROUND(IF(D32="楼面单价",C32,H118*10000/B118),0)</f>
        <v>28410</v>
      </c>
    </row>
    <row r="119" spans="1:27" ht="18.75" customHeight="1">
      <c r="A119" s="3338" t="s">
        <v>987</v>
      </c>
      <c r="B119" s="3338"/>
      <c r="C119" s="3338"/>
      <c r="D119" s="3339" t="str">
        <f ca="1">NUMBERSTRING(INT(D118*10000),2)&amp;"元整"</f>
        <v>柒佰叁拾万元整</v>
      </c>
      <c r="E119" s="3341"/>
      <c r="F119" s="3339" t="str">
        <f ca="1">NUMBERSTRING(INT(F118*10000),2)&amp;"元整"</f>
        <v>贰佰捌拾万元整</v>
      </c>
      <c r="G119" s="3341"/>
      <c r="H119" s="3339" t="str">
        <f ca="1">NUMBERSTRING(INT(H118*10000),2)&amp;"元整"</f>
        <v>壹仟零玖万元整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1009</v>
      </c>
      <c r="E122" s="3336"/>
      <c r="F122" s="3336"/>
      <c r="G122" s="3336"/>
      <c r="H122" s="3336"/>
      <c r="I122" s="3337"/>
      <c r="AA122" s="1417"/>
    </row>
    <row r="123" spans="1:27" ht="18.75" customHeight="1">
      <c r="A123" s="3338" t="s">
        <v>987</v>
      </c>
      <c r="B123" s="3338"/>
      <c r="C123" s="3338"/>
      <c r="D123" s="3339" t="str">
        <f ca="1">NUMBERSTRING(INT(D122*10000),2)&amp;"元整"</f>
        <v>壹仟零玖万元整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453</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5115</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18</v>
      </c>
      <c r="D19" s="356">
        <f ca="1">D9+D10</f>
        <v>885.63</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1</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1</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3</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3</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24</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397</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1064</v>
      </c>
    </row>
    <row r="35" spans="1:7" ht="13.5" customHeight="1">
      <c r="A35" s="386" t="s">
        <v>1007</v>
      </c>
      <c r="B35" s="359" t="s">
        <v>1065</v>
      </c>
      <c r="C35" s="364">
        <f ca="1">ROUND(C34*F35,0)</f>
        <v>18</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18</v>
      </c>
      <c r="D37" s="361">
        <f ca="1">D19</f>
        <v>885.63</v>
      </c>
      <c r="E37" s="399">
        <f>'数据-取费表'!B35</f>
        <v>200</v>
      </c>
      <c r="F37" s="408"/>
      <c r="G37" s="410" t="s">
        <v>1070</v>
      </c>
    </row>
    <row r="38" spans="1:7" ht="13.5" customHeight="1">
      <c r="A38" s="386" t="s">
        <v>1071</v>
      </c>
      <c r="B38" s="359" t="s">
        <v>936</v>
      </c>
      <c r="C38" s="364">
        <f ca="1">ROUND(C34*F38,0)</f>
        <v>7</v>
      </c>
      <c r="D38" s="364"/>
      <c r="E38" s="364"/>
      <c r="F38" s="408">
        <f>'数据-取费表'!B36</f>
        <v>0.02</v>
      </c>
      <c r="G38" s="363" t="s">
        <v>1066</v>
      </c>
    </row>
    <row r="39" spans="1:7" s="335" customFormat="1" ht="13.5" customHeight="1">
      <c r="A39" s="353" t="s">
        <v>1032</v>
      </c>
      <c r="B39" s="354" t="s">
        <v>1035</v>
      </c>
      <c r="C39" s="378">
        <f ca="1">ROUND(C33*F20,0)</f>
        <v>8</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12</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12</v>
      </c>
      <c r="D42" s="388"/>
      <c r="E42" s="388"/>
      <c r="F42" s="389"/>
      <c r="G42" s="3382" t="s">
        <v>1075</v>
      </c>
    </row>
    <row r="43" spans="1:7" ht="13.5" customHeight="1">
      <c r="A43" s="386" t="s">
        <v>1007</v>
      </c>
      <c r="B43" s="359" t="s">
        <v>1045</v>
      </c>
      <c r="C43" s="388">
        <f ca="1">ROUND(IF('数据-取费表'!B22&lt;=1,C39*F22*'数据-取费表'!B21/2,C39*(POWER((1+F22),'数据-取费表'!B21/2)-1)),0)</f>
        <v>0</v>
      </c>
      <c r="D43" s="388"/>
      <c r="E43" s="388"/>
      <c r="F43" s="389"/>
      <c r="G43" s="3383"/>
    </row>
    <row r="44" spans="1:7" ht="13.5" customHeight="1">
      <c r="A44" s="386" t="s">
        <v>1009</v>
      </c>
      <c r="B44" s="359" t="s">
        <v>1047</v>
      </c>
      <c r="C44" s="388">
        <f ca="1">ROUND(IF('数据-取费表'!B22&lt;=1,C40*F22*'数据-取费表'!B21/2,C40*(POWER((1+F22),'数据-取费表'!B21/2)-1)),4)</f>
        <v>5.9999999999999995E-4</v>
      </c>
      <c r="D44" s="388"/>
      <c r="E44" s="388"/>
      <c r="F44" s="389"/>
      <c r="G44" s="3384"/>
    </row>
    <row r="45" spans="1:7" s="335" customFormat="1" ht="13.5" customHeight="1">
      <c r="A45" s="353" t="s">
        <v>1041</v>
      </c>
      <c r="B45" s="394" t="s">
        <v>1052</v>
      </c>
      <c r="C45" s="395">
        <f ca="1">C46</f>
        <v>61</v>
      </c>
      <c r="D45" s="381">
        <f ca="1">C47</f>
        <v>3.0000000000000001E-3</v>
      </c>
      <c r="E45" s="382" t="s">
        <v>1073</v>
      </c>
      <c r="F45" s="396">
        <f ca="1">F27</f>
        <v>0.15</v>
      </c>
      <c r="G45" s="397" t="s">
        <v>1076</v>
      </c>
    </row>
    <row r="46" spans="1:7" s="335" customFormat="1" ht="13.5" customHeight="1">
      <c r="A46" s="386" t="s">
        <v>1005</v>
      </c>
      <c r="B46" s="398" t="s">
        <v>1077</v>
      </c>
      <c r="C46" s="399">
        <f ca="1">ROUND((C33+C39)*F27,0)</f>
        <v>61</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517</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429</v>
      </c>
      <c r="D51" s="378"/>
      <c r="E51" s="378"/>
      <c r="F51" s="413"/>
      <c r="G51" s="383" t="s">
        <v>1087</v>
      </c>
    </row>
    <row r="52" spans="1:7" s="334" customFormat="1" ht="16.2">
      <c r="A52" s="414" t="s">
        <v>1088</v>
      </c>
      <c r="B52" s="415"/>
      <c r="C52" s="416">
        <f ca="1">C31+C51</f>
        <v>453</v>
      </c>
      <c r="D52" s="415"/>
      <c r="E52" s="415"/>
      <c r="F52" s="415"/>
      <c r="G52" s="417"/>
    </row>
    <row r="55" spans="1:7" ht="15">
      <c r="B55" s="418" t="s">
        <v>1089</v>
      </c>
      <c r="C55" s="419"/>
    </row>
    <row r="56" spans="1:7">
      <c r="B56" s="420" t="s">
        <v>1090</v>
      </c>
      <c r="C56" s="422">
        <f ca="1">1-C57</f>
        <v>5.3000000000000047E-2</v>
      </c>
    </row>
    <row r="57" spans="1:7">
      <c r="B57" s="420" t="s">
        <v>1091</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-20</v>
      </c>
      <c r="C2" s="2409" t="s">
        <v>1093</v>
      </c>
      <c r="D2" s="2409"/>
      <c r="E2" s="2407"/>
      <c r="F2" s="2407"/>
      <c r="G2" s="2407"/>
      <c r="H2" s="2407"/>
      <c r="I2" s="2407"/>
      <c r="J2" s="2407"/>
      <c r="K2" s="2407"/>
    </row>
    <row r="3" spans="1:33" ht="18" customHeight="1">
      <c r="A3" s="348" t="s">
        <v>998</v>
      </c>
      <c r="B3" s="349">
        <f ca="1">ROUND(B2*10000/IF(C1="",'数据-汇总表'!E3,INDIRECT("'数据-取费表'!K"&amp;$K$1)),0)</f>
        <v>-226</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885.63</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885.63</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18</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904</v>
      </c>
      <c r="B21" s="2439" t="s">
        <v>1124</v>
      </c>
      <c r="C21" s="2440">
        <f ca="1">C16+C17+C18</f>
        <v>18</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3</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3</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-20</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ROUND(F6*F8*F7*(1-F9)/10000,0)</f>
        <v>0</v>
      </c>
      <c r="D6" s="1854" t="s">
        <v>1160</v>
      </c>
      <c r="E6" s="1855" t="s">
        <v>1161</v>
      </c>
      <c r="F6" s="1856">
        <f ca="1">INDIRECT("'数据-取费表'!u"&amp;$G$1)</f>
        <v>0</v>
      </c>
      <c r="G6" s="714"/>
      <c r="H6" s="1852" t="s">
        <v>904</v>
      </c>
      <c r="I6" s="3387" t="s">
        <v>1159</v>
      </c>
      <c r="J6" s="1926">
        <f ca="1">ROUND(M6*M8*M7*(1-M9)/10000,0)</f>
        <v>0</v>
      </c>
      <c r="K6" s="1854" t="s">
        <v>1162</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0</v>
      </c>
      <c r="G7" s="714"/>
      <c r="H7" s="1861"/>
      <c r="I7" s="3388"/>
      <c r="J7" s="1862"/>
      <c r="K7" s="1859"/>
      <c r="L7" s="1855" t="s">
        <v>1163</v>
      </c>
      <c r="M7" s="1856">
        <f ca="1">F7</f>
        <v>0</v>
      </c>
    </row>
    <row r="8" spans="1:37" ht="18" customHeight="1">
      <c r="A8" s="1861"/>
      <c r="B8" s="3388"/>
      <c r="C8" s="1862"/>
      <c r="D8" s="1859"/>
      <c r="E8" s="1855" t="s">
        <v>1164</v>
      </c>
      <c r="F8" s="1856">
        <f ca="1">INDIRECT("'数据-取费表'!ai"&amp;$G$1)</f>
        <v>0</v>
      </c>
      <c r="G8" s="714"/>
      <c r="H8" s="1861"/>
      <c r="I8" s="3388"/>
      <c r="J8" s="1862"/>
      <c r="K8" s="1859"/>
      <c r="L8" s="1855" t="s">
        <v>1164</v>
      </c>
      <c r="M8" s="1856">
        <f ca="1">INDIRECT("'数据-取费表'!ai"&amp;$G$1)</f>
        <v>0</v>
      </c>
    </row>
    <row r="9" spans="1:37" ht="18" customHeight="1">
      <c r="A9" s="1861"/>
      <c r="B9" s="3389"/>
      <c r="C9" s="1862"/>
      <c r="D9" s="1859"/>
      <c r="E9" s="1855" t="s">
        <v>1165</v>
      </c>
      <c r="F9" s="1863">
        <f ca="1">INDIRECT("'数据-取费表'!w"&amp;$G$1)</f>
        <v>0</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85" t="s">
        <v>1283</v>
      </c>
      <c r="L53" s="3386"/>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25" t="s">
        <v>1351</v>
      </c>
      <c r="Q4" s="3426"/>
      <c r="R4" s="3431" t="s">
        <v>1347</v>
      </c>
      <c r="S4" s="3432"/>
      <c r="T4" s="3431" t="s">
        <v>1348</v>
      </c>
      <c r="U4" s="3432"/>
      <c r="V4" s="3437" t="s">
        <v>1349</v>
      </c>
      <c r="W4" s="3437"/>
      <c r="X4" s="2102"/>
      <c r="Y4" s="3431" t="s">
        <v>1351</v>
      </c>
      <c r="Z4" s="3432"/>
      <c r="AA4" s="3419" t="s">
        <v>1347</v>
      </c>
      <c r="AB4" s="3419" t="s">
        <v>1348</v>
      </c>
      <c r="AC4" s="3422" t="s">
        <v>1349</v>
      </c>
    </row>
    <row r="5" spans="1:29" ht="13.95" customHeight="1">
      <c r="A5" s="922"/>
      <c r="B5" s="923"/>
      <c r="C5" s="3394" t="s">
        <v>2789</v>
      </c>
      <c r="D5" s="3395"/>
      <c r="E5" s="3394" t="s">
        <v>2789</v>
      </c>
      <c r="F5" s="3395"/>
      <c r="G5" s="3394" t="s">
        <v>2789</v>
      </c>
      <c r="H5" s="3395"/>
      <c r="I5" s="3394" t="s">
        <v>2791</v>
      </c>
      <c r="J5" s="3395"/>
      <c r="K5" s="1064"/>
      <c r="L5" s="1065"/>
      <c r="M5" s="1015"/>
      <c r="N5" s="1015"/>
      <c r="O5" s="1015"/>
      <c r="P5" s="3427"/>
      <c r="Q5" s="3428"/>
      <c r="R5" s="3433"/>
      <c r="S5" s="3434"/>
      <c r="T5" s="3433"/>
      <c r="U5" s="3434"/>
      <c r="V5" s="3406"/>
      <c r="W5" s="3406"/>
      <c r="X5" s="1113"/>
      <c r="Y5" s="3433"/>
      <c r="Z5" s="3434"/>
      <c r="AA5" s="3420"/>
      <c r="AB5" s="3420"/>
      <c r="AC5" s="3423"/>
    </row>
    <row r="6" spans="1:29" ht="14.4">
      <c r="A6" s="924"/>
      <c r="B6" s="925"/>
      <c r="C6" s="3396" t="s">
        <v>1353</v>
      </c>
      <c r="D6" s="3397"/>
      <c r="E6" s="3398" t="s">
        <v>1353</v>
      </c>
      <c r="F6" s="3399"/>
      <c r="G6" s="3396" t="s">
        <v>1353</v>
      </c>
      <c r="H6" s="3397"/>
      <c r="I6" s="3396" t="s">
        <v>1353</v>
      </c>
      <c r="J6" s="3397"/>
      <c r="K6" s="1064" t="s">
        <v>1354</v>
      </c>
      <c r="L6" s="1065"/>
      <c r="M6" s="1015"/>
      <c r="N6" s="1015"/>
      <c r="O6" s="1015"/>
      <c r="P6" s="3429"/>
      <c r="Q6" s="3430"/>
      <c r="R6" s="3433"/>
      <c r="S6" s="3434"/>
      <c r="T6" s="3435"/>
      <c r="U6" s="3436"/>
      <c r="V6" s="3406"/>
      <c r="W6" s="3406"/>
      <c r="X6" s="1113"/>
      <c r="Y6" s="3435"/>
      <c r="Z6" s="3436"/>
      <c r="AA6" s="3421"/>
      <c r="AB6" s="3421"/>
      <c r="AC6" s="3424"/>
    </row>
    <row r="7" spans="1:29" s="899" customFormat="1" ht="14.4">
      <c r="A7" s="927" t="s">
        <v>1355</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00"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00" t="s">
        <v>1360</v>
      </c>
      <c r="Q8" s="3403"/>
      <c r="R8" s="1114" t="s">
        <v>1357</v>
      </c>
      <c r="S8" s="1115">
        <f t="shared" si="0"/>
        <v>103</v>
      </c>
      <c r="T8" s="1114" t="s">
        <v>1357</v>
      </c>
      <c r="U8" s="1115">
        <f t="shared" si="1"/>
        <v>103</v>
      </c>
      <c r="V8" s="1114" t="s">
        <v>1357</v>
      </c>
      <c r="W8" s="1115">
        <f t="shared" si="2"/>
        <v>103</v>
      </c>
      <c r="X8" s="1116"/>
      <c r="Y8" s="3402" t="s">
        <v>1360</v>
      </c>
      <c r="Z8" s="3403"/>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04"/>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7" t="s">
        <v>1369</v>
      </c>
      <c r="Q15" s="621" t="str">
        <f t="shared" si="6"/>
        <v>办公集聚程度</v>
      </c>
      <c r="R15" s="1118" t="s">
        <v>1357</v>
      </c>
      <c r="S15" s="1119">
        <f t="shared" si="0"/>
        <v>100</v>
      </c>
      <c r="T15" s="1118" t="s">
        <v>1357</v>
      </c>
      <c r="U15" s="1119">
        <f t="shared" si="1"/>
        <v>100</v>
      </c>
      <c r="V15" s="1118" t="s">
        <v>1357</v>
      </c>
      <c r="W15" s="1119">
        <f t="shared" si="2"/>
        <v>100</v>
      </c>
      <c r="X15" s="1113"/>
      <c r="Y15" s="341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08"/>
      <c r="Q16" s="621"/>
      <c r="R16" s="1118"/>
      <c r="S16" s="1119"/>
      <c r="T16" s="1118"/>
      <c r="U16" s="1119"/>
      <c r="V16" s="1118"/>
      <c r="W16" s="1119"/>
      <c r="X16" s="1113"/>
      <c r="Y16" s="341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8"/>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08"/>
      <c r="Q20" s="621"/>
      <c r="R20" s="1118"/>
      <c r="S20" s="1119"/>
      <c r="T20" s="1118"/>
      <c r="U20" s="1119"/>
      <c r="V20" s="1118"/>
      <c r="W20" s="1119"/>
      <c r="X20" s="1113"/>
      <c r="Y20" s="341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8"/>
      <c r="Q23" s="621" t="str">
        <f>B23</f>
        <v>环境质量</v>
      </c>
      <c r="R23" s="1118" t="s">
        <v>1357</v>
      </c>
      <c r="S23" s="1119">
        <f>F23</f>
        <v>100</v>
      </c>
      <c r="T23" s="1118" t="s">
        <v>1357</v>
      </c>
      <c r="U23" s="1119">
        <f>H23</f>
        <v>100</v>
      </c>
      <c r="V23" s="1118" t="s">
        <v>1357</v>
      </c>
      <c r="W23" s="1119">
        <f>J23</f>
        <v>100</v>
      </c>
      <c r="X23" s="1113"/>
      <c r="Y23" s="341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8"/>
      <c r="Q25" s="621" t="str">
        <f>B25</f>
        <v>毗邻道路的类型与等级</v>
      </c>
      <c r="R25" s="1118" t="s">
        <v>1357</v>
      </c>
      <c r="S25" s="1119">
        <f>F25</f>
        <v>100</v>
      </c>
      <c r="T25" s="1118" t="s">
        <v>1357</v>
      </c>
      <c r="U25" s="1119">
        <f>H25</f>
        <v>100</v>
      </c>
      <c r="V25" s="1118" t="s">
        <v>1357</v>
      </c>
      <c r="W25" s="1119">
        <f>J25</f>
        <v>100</v>
      </c>
      <c r="X25" s="1113"/>
      <c r="Y25" s="341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8"/>
      <c r="Q26" s="621"/>
      <c r="R26" s="1118"/>
      <c r="S26" s="1119"/>
      <c r="T26" s="1118"/>
      <c r="U26" s="1119"/>
      <c r="V26" s="1118"/>
      <c r="W26" s="1119"/>
      <c r="X26" s="1113"/>
      <c r="Y26" s="341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08"/>
      <c r="Q27" s="621" t="str">
        <f t="shared" ref="Q27:Q47" si="11">B27</f>
        <v>楼层</v>
      </c>
      <c r="R27" s="1118" t="s">
        <v>1357</v>
      </c>
      <c r="S27" s="1119">
        <f>F27</f>
        <v>100</v>
      </c>
      <c r="T27" s="1118" t="s">
        <v>1357</v>
      </c>
      <c r="U27" s="1119">
        <f>H27</f>
        <v>100</v>
      </c>
      <c r="V27" s="1118" t="s">
        <v>1357</v>
      </c>
      <c r="W27" s="1119">
        <f>J27</f>
        <v>97</v>
      </c>
      <c r="X27" s="1113"/>
      <c r="Y27" s="341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8"/>
      <c r="Q28" s="790" t="str">
        <f t="shared" si="11"/>
        <v>朝向</v>
      </c>
      <c r="R28" s="1114" t="s">
        <v>1357</v>
      </c>
      <c r="S28" s="1115">
        <f>F28</f>
        <v>100</v>
      </c>
      <c r="T28" s="1114" t="s">
        <v>1357</v>
      </c>
      <c r="U28" s="1115">
        <f>H28</f>
        <v>100</v>
      </c>
      <c r="V28" s="1114" t="s">
        <v>1357</v>
      </c>
      <c r="W28" s="1115">
        <f>J28</f>
        <v>100</v>
      </c>
      <c r="X28" s="1116"/>
      <c r="Y28" s="341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1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8"/>
      <c r="Q32" s="621">
        <f t="shared" si="11"/>
        <v>111</v>
      </c>
      <c r="R32" s="1118" t="s">
        <v>1357</v>
      </c>
      <c r="S32" s="1119">
        <f t="shared" si="12"/>
        <v>100</v>
      </c>
      <c r="T32" s="1118" t="s">
        <v>1357</v>
      </c>
      <c r="U32" s="1119">
        <f t="shared" si="13"/>
        <v>100</v>
      </c>
      <c r="V32" s="1118" t="s">
        <v>1357</v>
      </c>
      <c r="W32" s="1119">
        <f t="shared" si="14"/>
        <v>100</v>
      </c>
      <c r="X32" s="1113"/>
      <c r="Y32" s="341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09" t="s">
        <v>1383</v>
      </c>
      <c r="Q33" s="621" t="str">
        <f t="shared" si="11"/>
        <v>建筑类型</v>
      </c>
      <c r="R33" s="1118" t="s">
        <v>1357</v>
      </c>
      <c r="S33" s="1119">
        <f t="shared" si="12"/>
        <v>100</v>
      </c>
      <c r="T33" s="1118" t="s">
        <v>1357</v>
      </c>
      <c r="U33" s="1119">
        <f t="shared" si="13"/>
        <v>100</v>
      </c>
      <c r="V33" s="1118" t="s">
        <v>1357</v>
      </c>
      <c r="W33" s="1119">
        <f t="shared" si="14"/>
        <v>100</v>
      </c>
      <c r="X33" s="1113"/>
      <c r="Y33" s="341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0"/>
      <c r="Q34" s="1308" t="str">
        <f t="shared" si="11"/>
        <v>项目建筑规模</v>
      </c>
      <c r="R34" s="1120" t="s">
        <v>1357</v>
      </c>
      <c r="S34" s="1121">
        <f t="shared" si="12"/>
        <v>100</v>
      </c>
      <c r="T34" s="1120" t="s">
        <v>1357</v>
      </c>
      <c r="U34" s="1121">
        <f t="shared" si="13"/>
        <v>100</v>
      </c>
      <c r="V34" s="1120" t="s">
        <v>1357</v>
      </c>
      <c r="W34" s="1121">
        <f t="shared" si="14"/>
        <v>100</v>
      </c>
      <c r="X34" s="1122"/>
      <c r="Y34" s="341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10"/>
      <c r="Q35" s="621" t="str">
        <f t="shared" si="11"/>
        <v>建筑结构</v>
      </c>
      <c r="R35" s="1118" t="s">
        <v>1357</v>
      </c>
      <c r="S35" s="1119">
        <f t="shared" si="12"/>
        <v>100</v>
      </c>
      <c r="T35" s="1118" t="s">
        <v>1357</v>
      </c>
      <c r="U35" s="1119">
        <f t="shared" si="13"/>
        <v>100</v>
      </c>
      <c r="V35" s="1118" t="s">
        <v>1357</v>
      </c>
      <c r="W35" s="1119">
        <f t="shared" si="14"/>
        <v>100</v>
      </c>
      <c r="X35" s="1113"/>
      <c r="Y35" s="341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10"/>
      <c r="Q36" s="621" t="str">
        <f t="shared" si="11"/>
        <v>公共部分装修</v>
      </c>
      <c r="R36" s="1118" t="s">
        <v>1357</v>
      </c>
      <c r="S36" s="1119">
        <f t="shared" si="12"/>
        <v>100</v>
      </c>
      <c r="T36" s="1118" t="s">
        <v>1357</v>
      </c>
      <c r="U36" s="1119">
        <f t="shared" si="13"/>
        <v>100</v>
      </c>
      <c r="V36" s="1118" t="s">
        <v>1357</v>
      </c>
      <c r="W36" s="1119">
        <f t="shared" si="14"/>
        <v>100</v>
      </c>
      <c r="X36" s="1113"/>
      <c r="Y36" s="341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0"/>
      <c r="Q37" s="621" t="str">
        <f t="shared" si="11"/>
        <v>成新度</v>
      </c>
      <c r="R37" s="1118" t="s">
        <v>1357</v>
      </c>
      <c r="S37" s="1119">
        <f t="shared" si="12"/>
        <v>100</v>
      </c>
      <c r="T37" s="1118" t="s">
        <v>1357</v>
      </c>
      <c r="U37" s="1119">
        <f t="shared" si="13"/>
        <v>100</v>
      </c>
      <c r="V37" s="1118" t="s">
        <v>1357</v>
      </c>
      <c r="W37" s="1119">
        <f t="shared" si="14"/>
        <v>100</v>
      </c>
      <c r="X37" s="1113"/>
      <c r="Y37" s="341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10"/>
      <c r="Q38" s="790" t="str">
        <f t="shared" si="11"/>
        <v>写字楼等级</v>
      </c>
      <c r="R38" s="1114" t="s">
        <v>1357</v>
      </c>
      <c r="S38" s="1115">
        <f t="shared" si="12"/>
        <v>100</v>
      </c>
      <c r="T38" s="1114" t="s">
        <v>1357</v>
      </c>
      <c r="U38" s="1115">
        <f t="shared" si="13"/>
        <v>100</v>
      </c>
      <c r="V38" s="1114" t="s">
        <v>1357</v>
      </c>
      <c r="W38" s="1115">
        <f t="shared" si="14"/>
        <v>100</v>
      </c>
      <c r="X38" s="1116"/>
      <c r="Y38" s="341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10" t="s">
        <v>1383</v>
      </c>
      <c r="Q39" s="621" t="str">
        <f t="shared" si="11"/>
        <v>物业管理</v>
      </c>
      <c r="R39" s="1118" t="s">
        <v>1357</v>
      </c>
      <c r="S39" s="1119">
        <f t="shared" si="12"/>
        <v>100</v>
      </c>
      <c r="T39" s="1118" t="s">
        <v>1357</v>
      </c>
      <c r="U39" s="1119">
        <f t="shared" si="13"/>
        <v>100</v>
      </c>
      <c r="V39" s="1118" t="s">
        <v>1357</v>
      </c>
      <c r="W39" s="1119">
        <f t="shared" si="14"/>
        <v>100</v>
      </c>
      <c r="X39" s="1113"/>
      <c r="Y39" s="341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0"/>
      <c r="Q40" s="621" t="str">
        <f t="shared" si="11"/>
        <v>市政基础设施</v>
      </c>
      <c r="R40" s="1118" t="s">
        <v>1357</v>
      </c>
      <c r="S40" s="1119">
        <f t="shared" si="12"/>
        <v>100</v>
      </c>
      <c r="T40" s="1118" t="s">
        <v>1357</v>
      </c>
      <c r="U40" s="1119">
        <f t="shared" si="13"/>
        <v>100</v>
      </c>
      <c r="V40" s="1118" t="s">
        <v>1357</v>
      </c>
      <c r="W40" s="1119">
        <f t="shared" si="14"/>
        <v>100</v>
      </c>
      <c r="X40" s="1113"/>
      <c r="Y40" s="341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10"/>
      <c r="Q41" s="621" t="str">
        <f t="shared" si="11"/>
        <v>层高</v>
      </c>
      <c r="R41" s="1118" t="s">
        <v>1357</v>
      </c>
      <c r="S41" s="1119">
        <f t="shared" si="12"/>
        <v>100</v>
      </c>
      <c r="T41" s="1118" t="s">
        <v>1357</v>
      </c>
      <c r="U41" s="1119">
        <f t="shared" si="13"/>
        <v>100</v>
      </c>
      <c r="V41" s="1118" t="s">
        <v>1357</v>
      </c>
      <c r="W41" s="1119">
        <f t="shared" si="14"/>
        <v>100</v>
      </c>
      <c r="X41" s="1113"/>
      <c r="Y41" s="341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0"/>
      <c r="Q42" s="1308" t="str">
        <f t="shared" si="11"/>
        <v>单套建筑面积</v>
      </c>
      <c r="R42" s="1120" t="s">
        <v>1357</v>
      </c>
      <c r="S42" s="1121">
        <f t="shared" si="12"/>
        <v>100</v>
      </c>
      <c r="T42" s="1120" t="s">
        <v>1357</v>
      </c>
      <c r="U42" s="1121">
        <f t="shared" si="13"/>
        <v>100</v>
      </c>
      <c r="V42" s="1120" t="s">
        <v>1357</v>
      </c>
      <c r="W42" s="1121">
        <f t="shared" si="14"/>
        <v>100</v>
      </c>
      <c r="X42" s="1122"/>
      <c r="Y42" s="341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10"/>
      <c r="Q43" s="621" t="str">
        <f t="shared" si="11"/>
        <v>内部装修</v>
      </c>
      <c r="R43" s="1118" t="s">
        <v>1357</v>
      </c>
      <c r="S43" s="1119">
        <f t="shared" si="12"/>
        <v>102</v>
      </c>
      <c r="T43" s="1118" t="s">
        <v>1357</v>
      </c>
      <c r="U43" s="1119">
        <f t="shared" si="13"/>
        <v>98</v>
      </c>
      <c r="V43" s="1118" t="s">
        <v>1357</v>
      </c>
      <c r="W43" s="1119">
        <f t="shared" si="14"/>
        <v>100</v>
      </c>
      <c r="X43" s="1113"/>
      <c r="Y43" s="341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10"/>
      <c r="Q44" s="621" t="str">
        <f t="shared" si="11"/>
        <v>内部装修维护情况</v>
      </c>
      <c r="R44" s="1118" t="s">
        <v>1357</v>
      </c>
      <c r="S44" s="1119">
        <f t="shared" si="12"/>
        <v>100</v>
      </c>
      <c r="T44" s="1118" t="s">
        <v>1357</v>
      </c>
      <c r="U44" s="1119">
        <f t="shared" si="13"/>
        <v>100</v>
      </c>
      <c r="V44" s="1118" t="s">
        <v>1357</v>
      </c>
      <c r="W44" s="1119">
        <f t="shared" si="14"/>
        <v>100</v>
      </c>
      <c r="X44" s="1113"/>
      <c r="Y44" s="341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0"/>
      <c r="Q45" s="790">
        <f t="shared" si="11"/>
        <v>111</v>
      </c>
      <c r="R45" s="1114" t="s">
        <v>1357</v>
      </c>
      <c r="S45" s="1115">
        <f t="shared" si="12"/>
        <v>100</v>
      </c>
      <c r="T45" s="1114" t="s">
        <v>1357</v>
      </c>
      <c r="U45" s="1115">
        <f t="shared" si="13"/>
        <v>100</v>
      </c>
      <c r="V45" s="1114" t="s">
        <v>1357</v>
      </c>
      <c r="W45" s="1115">
        <f t="shared" si="14"/>
        <v>100</v>
      </c>
      <c r="X45" s="1116"/>
      <c r="Y45" s="341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0"/>
      <c r="Q46" s="621">
        <f t="shared" si="11"/>
        <v>111</v>
      </c>
      <c r="R46" s="1118" t="s">
        <v>1357</v>
      </c>
      <c r="S46" s="1119">
        <f t="shared" si="12"/>
        <v>100</v>
      </c>
      <c r="T46" s="1118" t="s">
        <v>1357</v>
      </c>
      <c r="U46" s="1119">
        <f t="shared" si="13"/>
        <v>100</v>
      </c>
      <c r="V46" s="1118" t="s">
        <v>1357</v>
      </c>
      <c r="W46" s="1119">
        <f t="shared" si="14"/>
        <v>100</v>
      </c>
      <c r="X46" s="1113"/>
      <c r="Y46" s="341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1"/>
      <c r="Q47" s="621">
        <f t="shared" si="11"/>
        <v>111</v>
      </c>
      <c r="R47" s="1118" t="s">
        <v>1357</v>
      </c>
      <c r="S47" s="1119">
        <f t="shared" si="12"/>
        <v>100</v>
      </c>
      <c r="T47" s="1118" t="s">
        <v>1357</v>
      </c>
      <c r="U47" s="1119">
        <f t="shared" si="13"/>
        <v>100</v>
      </c>
      <c r="V47" s="1118" t="s">
        <v>1357</v>
      </c>
      <c r="W47" s="1119">
        <f t="shared" si="14"/>
        <v>100</v>
      </c>
      <c r="X47" s="1113"/>
      <c r="Y47" s="341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04" t="str">
        <f>A48</f>
        <v>成交单价（元/平方米）</v>
      </c>
      <c r="Q48" s="3405"/>
      <c r="R48" s="3406">
        <f>E48</f>
        <v>39809</v>
      </c>
      <c r="S48" s="3406"/>
      <c r="T48" s="3406">
        <f>G48</f>
        <v>36512</v>
      </c>
      <c r="U48" s="3406"/>
      <c r="V48" s="3406">
        <f>I48</f>
        <v>34724</v>
      </c>
      <c r="W48" s="3406"/>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04" t="str">
        <f>A49</f>
        <v>比较价值（元/平方米）</v>
      </c>
      <c r="Q49" s="3405"/>
      <c r="R49" s="3406">
        <f>IF(F1="售价",ROUND(PRODUCT(R48,AA7:AA47),0),ROUND(PRODUCT(R48,AA7:AA47),1))</f>
        <v>37892</v>
      </c>
      <c r="S49" s="3406"/>
      <c r="T49" s="3406">
        <f>IF(F1="售价",ROUND(PRODUCT(T48,AB7:AB47),0),ROUND(PRODUCT(T48,AB7:AB47),1))</f>
        <v>36172</v>
      </c>
      <c r="U49" s="3406"/>
      <c r="V49" s="3406">
        <f>IF(F1="售价",ROUND(PRODUCT(V48,AC7:AC47),0),ROUND(PRODUCT(V48,AC7:AC47),1))</f>
        <v>34755</v>
      </c>
      <c r="W49" s="3406"/>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16" t="str">
        <f>A50</f>
        <v>估价对象XX用房的比较价值（楼面单价，元/平方米）</v>
      </c>
      <c r="Q50" s="3417"/>
      <c r="R50" s="3418">
        <f>IF(F1="售价",ROUND(IF(D49="简单平均",AVERAGE(R49:V49),R49*F49+T49*H49+V49*J49),0),ROUND(IF(D49="简单平均",AVERAGE(R49:V49),R49*F49+T49*H49+V49*J49),1))</f>
        <v>36273</v>
      </c>
      <c r="S50" s="3418"/>
      <c r="T50" s="3418"/>
      <c r="U50" s="3418"/>
      <c r="V50" s="3418"/>
      <c r="W50" s="3418"/>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C19" zoomScaleNormal="70" zoomScaleSheetLayoutView="100" workbookViewId="0">
      <selection activeCell="C25" sqref="C25:J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110</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31337</v>
      </c>
      <c r="C3" s="1273" t="s">
        <v>1344</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4.4">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4.4">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4.4">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3194" t="s">
        <v>1605</v>
      </c>
      <c r="C25" s="976" t="s">
        <v>2862</v>
      </c>
      <c r="D25" s="755">
        <v>100</v>
      </c>
      <c r="E25" s="976" t="s">
        <v>2860</v>
      </c>
      <c r="F25" s="1097">
        <f>SUMIF(86:86,E25,87:87)-SUMIF(86:86,C25,87:87)+100</f>
        <v>102</v>
      </c>
      <c r="G25" s="976" t="s">
        <v>2860</v>
      </c>
      <c r="H25" s="755">
        <f>SUMIF(86:86,G25,87:87)-SUMIF(86:86,C25,87:87)+100</f>
        <v>102</v>
      </c>
      <c r="I25" s="976" t="s">
        <v>2860</v>
      </c>
      <c r="J25" s="755">
        <f>SUMIF(86:86,I25,87:87)-SUMIF(86:86,C25,87:87)+100</f>
        <v>102</v>
      </c>
      <c r="K25" s="1088">
        <v>2</v>
      </c>
      <c r="L25" s="1081"/>
      <c r="M25" s="1015"/>
      <c r="N25" s="1015"/>
      <c r="O25" s="1015"/>
      <c r="P25" s="3408"/>
      <c r="Q25" s="621" t="str">
        <f t="shared" ref="Q25:Q46" si="11">B25</f>
        <v>临街状况</v>
      </c>
      <c r="R25" s="1118" t="s">
        <v>1357</v>
      </c>
      <c r="S25" s="1119">
        <f>F25</f>
        <v>102</v>
      </c>
      <c r="T25" s="1118" t="s">
        <v>1357</v>
      </c>
      <c r="U25" s="1119">
        <f>H25</f>
        <v>102</v>
      </c>
      <c r="V25" s="1118" t="s">
        <v>1357</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1606</v>
      </c>
      <c r="C26" s="3193" t="s">
        <v>2864</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08"/>
      <c r="Q26" s="621" t="str">
        <f t="shared" si="11"/>
        <v>平面位置/可视性</v>
      </c>
      <c r="R26" s="1118" t="s">
        <v>1357</v>
      </c>
      <c r="S26" s="1119">
        <f>F26</f>
        <v>100</v>
      </c>
      <c r="T26" s="1118" t="s">
        <v>1357</v>
      </c>
      <c r="U26" s="1119">
        <f>H26</f>
        <v>100</v>
      </c>
      <c r="V26" s="1118" t="s">
        <v>1357</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3194" t="s">
        <v>1384</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1357</v>
      </c>
      <c r="S33" s="1121">
        <f t="shared" si="12"/>
        <v>102</v>
      </c>
      <c r="T33" s="1120" t="s">
        <v>1357</v>
      </c>
      <c r="U33" s="1121">
        <f t="shared" si="13"/>
        <v>102</v>
      </c>
      <c r="V33" s="1120" t="s">
        <v>1357</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4.4">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4.4">
      <c r="A49" s="1012" t="s">
        <v>1402</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2861</v>
      </c>
      <c r="D86" s="2106" t="s">
        <v>2863</v>
      </c>
      <c r="E86" s="2106" t="s">
        <v>2859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110</v>
      </c>
      <c r="D1" s="1827" t="s">
        <v>124</v>
      </c>
      <c r="E1" s="1828" t="s">
        <v>1146</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766.7989</v>
      </c>
      <c r="C2" s="1833" t="s">
        <v>1148</v>
      </c>
      <c r="D2" s="1834">
        <f ca="1">C40+J29+L46</f>
        <v>7667989</v>
      </c>
      <c r="E2" s="1835" t="s">
        <v>1437</v>
      </c>
      <c r="F2" s="1836"/>
      <c r="G2" s="1837"/>
      <c r="H2" s="1838"/>
      <c r="I2" s="1838"/>
      <c r="J2" s="1838"/>
      <c r="K2" s="1993"/>
      <c r="L2" s="1838"/>
      <c r="M2" s="1838"/>
    </row>
    <row r="3" spans="1:37" ht="18" customHeigh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531752</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531088</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355.32</v>
      </c>
      <c r="G7" s="714"/>
      <c r="H7" s="1861"/>
      <c r="I7" s="3388"/>
      <c r="J7" s="1862"/>
      <c r="K7" s="1859"/>
      <c r="L7" s="1855" t="s">
        <v>1163</v>
      </c>
      <c r="M7" s="1856">
        <f ca="1">F7</f>
        <v>355.32</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664</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1721021</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1421280</v>
      </c>
      <c r="D14" s="1886" t="s">
        <v>1176</v>
      </c>
      <c r="E14" s="1887"/>
      <c r="F14" s="1888"/>
      <c r="G14" s="714"/>
      <c r="H14" s="1884" t="s">
        <v>904</v>
      </c>
      <c r="I14" s="1855" t="s">
        <v>1177</v>
      </c>
      <c r="J14" s="1469">
        <f ca="1">C29</f>
        <v>2073519</v>
      </c>
      <c r="K14" s="2005"/>
      <c r="L14" s="2006"/>
      <c r="M14" s="2007"/>
    </row>
    <row r="15" spans="1:37" s="1823" customFormat="1" ht="18" customHeight="1">
      <c r="A15" s="1884" t="s">
        <v>932</v>
      </c>
      <c r="B15" s="1855" t="s">
        <v>1106</v>
      </c>
      <c r="C15" s="1469">
        <f ca="1">ROUND(C14*F15,0)</f>
        <v>71064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4147</v>
      </c>
      <c r="K16" s="1904" t="s">
        <v>1182</v>
      </c>
      <c r="L16" s="1905"/>
      <c r="M16" s="1851"/>
    </row>
    <row r="17" spans="1:37" s="1823" customFormat="1" ht="18" customHeight="1">
      <c r="A17" s="1884" t="s">
        <v>1183</v>
      </c>
      <c r="B17" s="1855" t="s">
        <v>1184</v>
      </c>
      <c r="C17" s="1469">
        <f ca="1">ROUND(F17*(F43+INDIRECT("'数据-取费表'!S"&amp;$G$1)),0)</f>
        <v>71064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28426</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1591834</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31837</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4147</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-4147</v>
      </c>
      <c r="K25" s="1923" t="s">
        <v>1220</v>
      </c>
      <c r="L25" s="1924"/>
      <c r="M25" s="1925"/>
    </row>
    <row r="26" spans="1:37" ht="18" customHeight="1">
      <c r="A26" s="1884" t="s">
        <v>927</v>
      </c>
      <c r="B26" s="1855" t="s">
        <v>1221</v>
      </c>
      <c r="C26" s="1469">
        <f ca="1">ROUND((C19+C20)*F26,0)</f>
        <v>243551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2073519</v>
      </c>
      <c r="D29" s="1901"/>
      <c r="E29" s="1877"/>
      <c r="F29" s="1902"/>
      <c r="G29" s="1891"/>
      <c r="H29" s="1903" t="s">
        <v>1236</v>
      </c>
      <c r="I29" s="1932" t="s">
        <v>1237</v>
      </c>
      <c r="J29" s="1933">
        <f ca="1">ROUND(J26/(1+F40)^F41,0)</f>
        <v>0</v>
      </c>
      <c r="K29" s="1934" t="s">
        <v>1238</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97042</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88515</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27819</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60696</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4147</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1721</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2659</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434710</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7556835</v>
      </c>
      <c r="D40" s="1914" t="s">
        <v>1226</v>
      </c>
      <c r="E40" s="1855" t="s">
        <v>1227</v>
      </c>
      <c r="F40" s="1863">
        <f ca="1">INDIRECT("'数据-取费表'!I"&amp;$G$1)</f>
        <v>5.5E-2</v>
      </c>
      <c r="G40" s="714"/>
      <c r="H40" s="1927">
        <f ca="1">C39/C5</f>
        <v>0.81750515277798674</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21268</v>
      </c>
      <c r="D43" s="1934" t="s">
        <v>1243</v>
      </c>
      <c r="E43" s="1935" t="s">
        <v>1244</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-763.94299999999998</v>
      </c>
      <c r="D45" s="1941" t="s">
        <v>1445</v>
      </c>
      <c r="E45" s="1937"/>
      <c r="F45" s="1937"/>
      <c r="O45" s="2021" t="s">
        <v>1245</v>
      </c>
      <c r="P45" s="1927"/>
      <c r="Q45" s="1927"/>
      <c r="R45" s="1927"/>
    </row>
    <row r="46" spans="1:18" s="714" customFormat="1">
      <c r="A46" s="1942" t="s">
        <v>1246</v>
      </c>
      <c r="C46" s="1943">
        <f ca="1">ROUND(C45,0)</f>
        <v>-764</v>
      </c>
      <c r="D46" s="1944" t="str">
        <f>C2</f>
        <v>万元</v>
      </c>
      <c r="I46" s="2022" t="s">
        <v>1247</v>
      </c>
      <c r="J46" s="2023"/>
      <c r="K46" s="2024"/>
      <c r="L46" s="2025">
        <f ca="1">IF(M47="住宅",0,IF(L48&gt;J51,L60,J60))</f>
        <v>111154</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7556835</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111154</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2073519</v>
      </c>
      <c r="R49" s="2070" t="s">
        <v>1255</v>
      </c>
    </row>
    <row r="50" spans="1:18" s="714" customFormat="1">
      <c r="A50" s="1960"/>
      <c r="B50" s="1431"/>
      <c r="C50" s="1961"/>
      <c r="D50" s="1962"/>
      <c r="E50" s="1963" t="s">
        <v>1163</v>
      </c>
      <c r="F50" s="1964">
        <f ca="1">F7</f>
        <v>355.32</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5736715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7667989</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c r="A56" s="1972">
        <v>2</v>
      </c>
      <c r="B56" s="1973" t="s">
        <v>1172</v>
      </c>
      <c r="C56" s="378">
        <f ca="1">C13</f>
        <v>1721021</v>
      </c>
      <c r="D56" s="1974"/>
      <c r="E56" s="1975"/>
      <c r="F56" s="1971"/>
      <c r="I56" s="2058" t="s">
        <v>1289</v>
      </c>
      <c r="J56" s="2059" t="s">
        <v>1449</v>
      </c>
      <c r="K56" s="2035" t="s">
        <v>1290</v>
      </c>
      <c r="L56" s="2038" t="str">
        <f ca="1">IF(L48&lt;J51,"——",L48-J51)</f>
        <v>——</v>
      </c>
      <c r="O56" s="2033" t="s">
        <v>1011</v>
      </c>
      <c r="P56" s="2034" t="s">
        <v>1254</v>
      </c>
      <c r="Q56" s="2070">
        <f ca="1">C40+J29</f>
        <v>7556835</v>
      </c>
      <c r="R56" s="2070" t="s">
        <v>1255</v>
      </c>
    </row>
    <row r="57" spans="1:18" s="714" customFormat="1" ht="24">
      <c r="A57" s="1976"/>
      <c r="B57" s="1977" t="s">
        <v>1235</v>
      </c>
      <c r="C57" s="388">
        <f ca="1">C29</f>
        <v>2073519</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5868</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111154</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7556835</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4147</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1721</v>
      </c>
      <c r="D65" s="1985" t="s">
        <v>1212</v>
      </c>
      <c r="E65" s="1977" t="s">
        <v>1179</v>
      </c>
      <c r="F65" s="1921">
        <f t="shared" ca="1" si="0"/>
        <v>1E-3</v>
      </c>
      <c r="I65" s="2066" t="s">
        <v>1313</v>
      </c>
      <c r="J65" s="1032">
        <v>40</v>
      </c>
      <c r="K65" s="1032">
        <v>30</v>
      </c>
      <c r="L65" s="1032">
        <v>50</v>
      </c>
      <c r="M65" s="2068">
        <v>0.02</v>
      </c>
      <c r="O65" s="2033" t="s">
        <v>1011</v>
      </c>
      <c r="P65" s="2034" t="s">
        <v>1254</v>
      </c>
      <c r="Q65" s="2070">
        <f ca="1">C40+J29</f>
        <v>7556835</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-5868</v>
      </c>
      <c r="D67" s="1984" t="s">
        <v>1220</v>
      </c>
      <c r="E67" s="2073"/>
      <c r="F67" s="2074"/>
      <c r="O67" s="2041" t="s">
        <v>1266</v>
      </c>
      <c r="P67" s="2034" t="s">
        <v>1297</v>
      </c>
      <c r="Q67" s="2094">
        <f ca="1">L51</f>
        <v>5736715</v>
      </c>
      <c r="R67" s="2070" t="s">
        <v>1314</v>
      </c>
    </row>
    <row r="68" spans="1:18" s="714" customFormat="1" ht="15.6">
      <c r="A68" s="2075" t="s">
        <v>1224</v>
      </c>
      <c r="B68" s="2076" t="s">
        <v>1241</v>
      </c>
      <c r="C68" s="1926">
        <f ca="1">ROUND(C67*(1-((1+F70)/(1+F68))^F69)/(F68-F70),0)</f>
        <v>-82595</v>
      </c>
      <c r="D68" s="1987" t="s">
        <v>1226</v>
      </c>
      <c r="E68" s="1977" t="s">
        <v>1227</v>
      </c>
      <c r="F68" s="1863">
        <f ca="1">F40</f>
        <v>5.5E-2</v>
      </c>
      <c r="O68" s="2041" t="s">
        <v>1270</v>
      </c>
      <c r="P68" s="2093" t="s">
        <v>1315</v>
      </c>
      <c r="Q68" s="2070">
        <f ca="1">ROUND(Q69-Q70*Q71,0)</f>
        <v>314239</v>
      </c>
      <c r="R68" s="2070" t="s">
        <v>1316</v>
      </c>
    </row>
    <row r="69" spans="1:18" s="714" customFormat="1">
      <c r="A69" s="2077"/>
      <c r="B69" s="2078"/>
      <c r="C69" s="1862"/>
      <c r="D69" s="2079" t="s">
        <v>1230</v>
      </c>
      <c r="E69" s="1977" t="s">
        <v>1231</v>
      </c>
      <c r="F69" s="1930">
        <f ca="1">F41</f>
        <v>27.79</v>
      </c>
      <c r="O69" s="2041" t="s">
        <v>1317</v>
      </c>
      <c r="P69" s="2093" t="s">
        <v>1318</v>
      </c>
      <c r="Q69" s="2070">
        <f ca="1">C39</f>
        <v>434710</v>
      </c>
      <c r="R69" s="2070" t="s">
        <v>1255</v>
      </c>
    </row>
    <row r="70" spans="1:18" s="714" customFormat="1">
      <c r="A70" s="2080"/>
      <c r="B70" s="2081"/>
      <c r="C70" s="1881"/>
      <c r="D70" s="1989"/>
      <c r="E70" s="1977" t="s">
        <v>1234</v>
      </c>
      <c r="F70" s="1967"/>
      <c r="O70" s="2041" t="s">
        <v>1319</v>
      </c>
      <c r="P70" s="2093" t="s">
        <v>1320</v>
      </c>
      <c r="Q70" s="2070">
        <f ca="1">C13</f>
        <v>1721021</v>
      </c>
      <c r="R70" s="2070" t="s">
        <v>1255</v>
      </c>
    </row>
    <row r="71" spans="1:18" s="714" customFormat="1">
      <c r="A71" s="2082" t="s">
        <v>1236</v>
      </c>
      <c r="B71" s="2083" t="s">
        <v>1242</v>
      </c>
      <c r="C71" s="1933">
        <f ca="1">ROUND(C68/F71,0)</f>
        <v>-232</v>
      </c>
      <c r="D71" s="2084" t="s">
        <v>1243</v>
      </c>
      <c r="E71" s="2085" t="s">
        <v>1244</v>
      </c>
      <c r="F71" s="1936">
        <f ca="1">F43</f>
        <v>355.32</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120471</v>
      </c>
      <c r="D75" s="714"/>
      <c r="E75" s="714"/>
      <c r="F75" s="714"/>
      <c r="K75" s="2020"/>
      <c r="L75" s="714"/>
      <c r="O75" s="2033" t="s">
        <v>1108</v>
      </c>
      <c r="P75" s="2034" t="s">
        <v>1284</v>
      </c>
      <c r="Q75" s="2070">
        <f ca="1">Q65+Q66</f>
        <v>7556835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51" t="s">
        <v>1455</v>
      </c>
      <c r="K2" s="3452"/>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53" t="s">
        <v>1463</v>
      </c>
      <c r="K3" s="3454"/>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53" t="s">
        <v>1464</v>
      </c>
      <c r="K4" s="3454"/>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55" t="s">
        <v>1468</v>
      </c>
      <c r="B6" s="3456"/>
      <c r="C6" s="3457"/>
      <c r="D6" s="1678"/>
      <c r="E6" s="1679"/>
      <c r="F6" s="1680"/>
      <c r="G6" s="1681"/>
      <c r="H6" s="1669"/>
      <c r="I6" s="1754"/>
      <c r="J6" s="3464">
        <v>1</v>
      </c>
      <c r="K6" s="3467"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4"/>
      <c r="K7" s="3468"/>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58" t="s">
        <v>1482</v>
      </c>
      <c r="C8" s="3459"/>
      <c r="D8" s="1692" t="s">
        <v>1483</v>
      </c>
      <c r="E8" s="1693" t="s">
        <v>1484</v>
      </c>
      <c r="F8" s="1694" t="s">
        <v>1485</v>
      </c>
      <c r="G8" s="1695"/>
      <c r="H8" s="1669"/>
      <c r="I8" s="1754"/>
      <c r="J8" s="3464"/>
      <c r="K8" s="3468"/>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58" t="s">
        <v>1488</v>
      </c>
      <c r="C9" s="3459"/>
      <c r="D9" s="1692">
        <f>ROUND(D6*E9,0)</f>
        <v>0</v>
      </c>
      <c r="E9" s="1696"/>
      <c r="F9" s="1697" t="s">
        <v>1489</v>
      </c>
      <c r="G9" s="1681"/>
      <c r="H9" s="1669"/>
      <c r="I9" s="1754"/>
      <c r="J9" s="3464"/>
      <c r="K9" s="3468"/>
      <c r="L9" s="1774" t="s">
        <v>1490</v>
      </c>
      <c r="M9" s="1775"/>
      <c r="N9" s="1674"/>
      <c r="O9" s="1776"/>
      <c r="P9" s="1776"/>
      <c r="Q9" s="1707">
        <v>365</v>
      </c>
      <c r="R9" s="1808">
        <f t="shared" si="0"/>
        <v>0</v>
      </c>
      <c r="S9" s="1723"/>
      <c r="T9" s="1723"/>
      <c r="U9" s="1723"/>
      <c r="V9" s="1754"/>
    </row>
    <row r="10" spans="1:22" s="1651" customFormat="1" ht="13.2" customHeight="1">
      <c r="A10" s="1689">
        <v>2</v>
      </c>
      <c r="B10" s="3458" t="s">
        <v>1491</v>
      </c>
      <c r="C10" s="3459"/>
      <c r="D10" s="1692">
        <f>ROUND(D6*E10,0)</f>
        <v>0</v>
      </c>
      <c r="E10" s="1696"/>
      <c r="F10" s="1697" t="s">
        <v>1492</v>
      </c>
      <c r="G10" s="1681"/>
      <c r="H10" s="1669"/>
      <c r="I10" s="1754"/>
      <c r="J10" s="3464"/>
      <c r="K10" s="3468"/>
      <c r="L10" s="1774" t="s">
        <v>1493</v>
      </c>
      <c r="M10" s="1775"/>
      <c r="N10" s="1674"/>
      <c r="O10" s="1776"/>
      <c r="P10" s="1776"/>
      <c r="Q10" s="1707">
        <v>365</v>
      </c>
      <c r="R10" s="1808">
        <f t="shared" si="0"/>
        <v>0</v>
      </c>
      <c r="S10" s="1723"/>
      <c r="T10" s="1723"/>
      <c r="U10" s="1723"/>
      <c r="V10" s="1754"/>
    </row>
    <row r="11" spans="1:22" s="1651" customFormat="1" ht="13.2" customHeight="1">
      <c r="A11" s="1689">
        <v>3</v>
      </c>
      <c r="B11" s="3458" t="s">
        <v>1494</v>
      </c>
      <c r="C11" s="3459"/>
      <c r="D11" s="1692">
        <f>D12+D14+D15+D16</f>
        <v>0</v>
      </c>
      <c r="E11" s="1698" t="e">
        <f>D11/D6</f>
        <v>#DIV/0!</v>
      </c>
      <c r="F11" s="1694"/>
      <c r="G11" s="1695"/>
      <c r="H11" s="1669"/>
      <c r="I11" s="1754"/>
      <c r="J11" s="3464"/>
      <c r="K11" s="3468"/>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0" t="s">
        <v>1497</v>
      </c>
      <c r="C12" s="3461"/>
      <c r="D12" s="1702">
        <f>ROUND(D13*1.2%*(1-30%),0)</f>
        <v>0</v>
      </c>
      <c r="E12" s="1703">
        <v>1.2E-2</v>
      </c>
      <c r="F12" s="1694" t="s">
        <v>1498</v>
      </c>
      <c r="G12" s="1695"/>
      <c r="H12" s="1669"/>
      <c r="I12" s="1754"/>
      <c r="J12" s="3464"/>
      <c r="K12" s="3468"/>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4"/>
      <c r="K13" s="3468"/>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0" t="s">
        <v>1503</v>
      </c>
      <c r="C14" s="3461"/>
      <c r="D14" s="1702">
        <f>ROUND(E14*B5/10000,0)</f>
        <v>0</v>
      </c>
      <c r="E14" s="1707"/>
      <c r="F14" s="1694" t="s">
        <v>1504</v>
      </c>
      <c r="G14" s="1695"/>
      <c r="H14" s="1669"/>
      <c r="I14" s="1754"/>
      <c r="J14" s="3464"/>
      <c r="K14" s="3469"/>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0" t="s">
        <v>1507</v>
      </c>
      <c r="C15" s="3461"/>
      <c r="D15" s="1702">
        <f>ROUND(D6*E15,0)</f>
        <v>0</v>
      </c>
      <c r="E15" s="1703">
        <v>5.5E-2</v>
      </c>
      <c r="F15" s="1694" t="s">
        <v>1508</v>
      </c>
      <c r="G15" s="1681"/>
      <c r="H15" s="1669"/>
      <c r="I15" s="1754"/>
      <c r="J15" s="3464">
        <v>2</v>
      </c>
      <c r="K15" s="3467"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0" t="s">
        <v>1515</v>
      </c>
      <c r="C16" s="3461"/>
      <c r="D16" s="1708">
        <f>D6*E16</f>
        <v>0</v>
      </c>
      <c r="E16" s="1709"/>
      <c r="F16" s="1697" t="s">
        <v>1516</v>
      </c>
      <c r="G16" s="1681"/>
      <c r="H16" s="1669"/>
      <c r="I16" s="1754"/>
      <c r="J16" s="3464"/>
      <c r="K16" s="3468"/>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62" t="s">
        <v>1518</v>
      </c>
      <c r="C17" s="3463"/>
      <c r="D17" s="1711">
        <f>ROUND(D6*E17,0)</f>
        <v>0</v>
      </c>
      <c r="E17" s="1712"/>
      <c r="F17" s="1713" t="s">
        <v>1519</v>
      </c>
      <c r="G17" s="1681"/>
      <c r="H17" s="1669"/>
      <c r="I17" s="1754"/>
      <c r="J17" s="3464"/>
      <c r="K17" s="3468"/>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4"/>
      <c r="K18" s="3468"/>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4"/>
      <c r="K19" s="3469"/>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4">
        <v>3</v>
      </c>
      <c r="K20" s="3467"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4"/>
      <c r="K21" s="3468"/>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4"/>
      <c r="K22" s="3468"/>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4"/>
      <c r="K23" s="3468"/>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4"/>
      <c r="K24" s="3469"/>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5">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6"/>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51" t="s">
        <v>1455</v>
      </c>
      <c r="K32" s="3452"/>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53" t="s">
        <v>1463</v>
      </c>
      <c r="K33" s="3454"/>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53" t="s">
        <v>1464</v>
      </c>
      <c r="K34" s="3454"/>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4">
        <v>1</v>
      </c>
      <c r="K36" s="3467"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4"/>
      <c r="K37" s="3468"/>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4"/>
      <c r="K38" s="3468"/>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4"/>
      <c r="K39" s="3468"/>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4"/>
      <c r="K40" s="3469"/>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5">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6"/>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1911.2363</v>
      </c>
      <c r="C2" s="1636" t="s">
        <v>1565</v>
      </c>
      <c r="D2" s="1637" t="s">
        <v>1566</v>
      </c>
      <c r="E2" s="1638">
        <f>SUM(E6:E13)</f>
        <v>885.63</v>
      </c>
      <c r="F2" s="1634"/>
      <c r="G2" s="1400"/>
      <c r="H2" s="1400"/>
      <c r="I2" s="1400"/>
      <c r="J2" s="1400"/>
      <c r="K2" s="1400"/>
      <c r="L2" s="1400"/>
      <c r="M2" s="1400"/>
      <c r="N2" s="1400"/>
      <c r="O2" s="1400"/>
      <c r="P2" s="1400"/>
      <c r="Q2" s="1400"/>
      <c r="R2" s="1400"/>
      <c r="S2" s="1400"/>
    </row>
    <row r="3" spans="1:22" ht="15.6">
      <c r="A3" s="1635" t="s">
        <v>998</v>
      </c>
      <c r="B3" s="1639">
        <f ca="1">ROUND(B2*10000/E2,0)</f>
        <v>21581</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0" t="s">
        <v>1569</v>
      </c>
      <c r="C5" s="3471"/>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766.7989</v>
      </c>
      <c r="C6" s="1636" t="s">
        <v>1565</v>
      </c>
      <c r="D6" s="1634"/>
      <c r="E6" s="1646">
        <f>IF(OR(A6=0,F6="否"),0,'数据-取费表'!K6+'数据-取费表'!S6)</f>
        <v>355.32</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809.1404</v>
      </c>
      <c r="C7" s="1636" t="s">
        <v>1565</v>
      </c>
      <c r="D7" s="1634"/>
      <c r="E7" s="1646">
        <f>IF(OR(A7=0,F7="否"),0,'数据-取费表'!K7+'数据-取费表'!S7)</f>
        <v>374.94</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335.29700000000003</v>
      </c>
      <c r="C8" s="1636" t="s">
        <v>1565</v>
      </c>
      <c r="D8" s="1634"/>
      <c r="E8" s="1646">
        <f>IF(OR(A8=0,F8="否"),0,'数据-取费表'!K8+'数据-取费表'!S8)</f>
        <v>155.37</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390" t="s">
        <v>1346</v>
      </c>
      <c r="D4" s="3391"/>
      <c r="E4" s="3392" t="s">
        <v>1347</v>
      </c>
      <c r="F4" s="3393"/>
      <c r="G4" s="3390" t="s">
        <v>1348</v>
      </c>
      <c r="H4" s="3391"/>
      <c r="I4" s="3390" t="s">
        <v>1349</v>
      </c>
      <c r="J4" s="3391"/>
      <c r="K4" s="1569"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44" t="s">
        <v>1348</v>
      </c>
      <c r="AC4" s="3444" t="s">
        <v>1349</v>
      </c>
    </row>
    <row r="5" spans="1:29">
      <c r="A5" s="922"/>
      <c r="B5" s="923"/>
      <c r="C5" s="3438" t="s">
        <v>1574</v>
      </c>
      <c r="D5" s="3395"/>
      <c r="E5" s="3472" t="s">
        <v>1575</v>
      </c>
      <c r="F5" s="3440"/>
      <c r="G5" s="3438" t="s">
        <v>1576</v>
      </c>
      <c r="H5" s="3395"/>
      <c r="I5" s="3438" t="s">
        <v>1352</v>
      </c>
      <c r="J5" s="3395"/>
      <c r="K5" s="1570"/>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570"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4"/>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4"/>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7" t="s">
        <v>1369</v>
      </c>
      <c r="Q15" s="621" t="str">
        <f t="shared" si="6"/>
        <v>居住社区成熟度</v>
      </c>
      <c r="R15" s="1118" t="s">
        <v>1357</v>
      </c>
      <c r="S15" s="1119">
        <f t="shared" si="0"/>
        <v>100</v>
      </c>
      <c r="T15" s="1118" t="s">
        <v>1357</v>
      </c>
      <c r="U15" s="1119">
        <f t="shared" si="1"/>
        <v>100</v>
      </c>
      <c r="V15" s="1118" t="s">
        <v>1357</v>
      </c>
      <c r="W15" s="1119">
        <f t="shared" si="2"/>
        <v>100</v>
      </c>
      <c r="X15" s="1113"/>
      <c r="Y15" s="341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8"/>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1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8"/>
      <c r="Q26" s="621" t="str">
        <f t="shared" si="11"/>
        <v>朝向</v>
      </c>
      <c r="R26" s="1118" t="s">
        <v>1357</v>
      </c>
      <c r="S26" s="1119">
        <f t="shared" si="12"/>
        <v>100</v>
      </c>
      <c r="T26" s="1118" t="s">
        <v>1357</v>
      </c>
      <c r="U26" s="1119">
        <f t="shared" si="13"/>
        <v>100</v>
      </c>
      <c r="V26" s="1118" t="s">
        <v>1357</v>
      </c>
      <c r="W26" s="1119">
        <f t="shared" si="14"/>
        <v>100</v>
      </c>
      <c r="X26" s="1113"/>
      <c r="Y26" s="341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8"/>
      <c r="Q27" s="790">
        <f t="shared" si="11"/>
        <v>111</v>
      </c>
      <c r="R27" s="1114" t="s">
        <v>1357</v>
      </c>
      <c r="S27" s="1115">
        <f t="shared" si="12"/>
        <v>100</v>
      </c>
      <c r="T27" s="1114" t="s">
        <v>1357</v>
      </c>
      <c r="U27" s="1115">
        <f t="shared" si="13"/>
        <v>100</v>
      </c>
      <c r="V27" s="1114" t="s">
        <v>1357</v>
      </c>
      <c r="W27" s="1115">
        <f t="shared" si="14"/>
        <v>100</v>
      </c>
      <c r="X27" s="1116"/>
      <c r="Y27" s="341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8"/>
      <c r="Q28" s="621">
        <f t="shared" si="11"/>
        <v>111</v>
      </c>
      <c r="R28" s="1118" t="s">
        <v>1357</v>
      </c>
      <c r="S28" s="1119">
        <f t="shared" si="12"/>
        <v>100</v>
      </c>
      <c r="T28" s="1118" t="s">
        <v>1357</v>
      </c>
      <c r="U28" s="1119">
        <f t="shared" si="13"/>
        <v>100</v>
      </c>
      <c r="V28" s="1118" t="s">
        <v>1357</v>
      </c>
      <c r="W28" s="1119">
        <f t="shared" si="14"/>
        <v>100</v>
      </c>
      <c r="X28" s="1113"/>
      <c r="Y28" s="341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9" t="s">
        <v>1383</v>
      </c>
      <c r="Q32" s="621" t="str">
        <f t="shared" si="11"/>
        <v>建筑类型</v>
      </c>
      <c r="R32" s="1118" t="s">
        <v>1357</v>
      </c>
      <c r="S32" s="1119">
        <f t="shared" si="12"/>
        <v>100</v>
      </c>
      <c r="T32" s="1118" t="s">
        <v>1357</v>
      </c>
      <c r="U32" s="1119">
        <f t="shared" si="13"/>
        <v>100</v>
      </c>
      <c r="V32" s="1118" t="s">
        <v>1357</v>
      </c>
      <c r="W32" s="1119">
        <f t="shared" si="14"/>
        <v>100</v>
      </c>
      <c r="X32" s="1113"/>
      <c r="Y32" s="341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0"/>
      <c r="Q33" s="1308" t="str">
        <f t="shared" si="11"/>
        <v>项目建筑规模</v>
      </c>
      <c r="R33" s="1120" t="s">
        <v>1357</v>
      </c>
      <c r="S33" s="1121" t="e">
        <f t="shared" si="12"/>
        <v>#N/A</v>
      </c>
      <c r="T33" s="1120" t="s">
        <v>1357</v>
      </c>
      <c r="U33" s="1121" t="e">
        <f t="shared" si="13"/>
        <v>#N/A</v>
      </c>
      <c r="V33" s="1120" t="s">
        <v>1357</v>
      </c>
      <c r="W33" s="1121" t="e">
        <f t="shared" si="14"/>
        <v>#N/A</v>
      </c>
      <c r="X33" s="1122"/>
      <c r="Y33" s="341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0"/>
      <c r="Q35" s="621" t="str">
        <f t="shared" si="11"/>
        <v>建筑品质</v>
      </c>
      <c r="R35" s="1118" t="s">
        <v>1357</v>
      </c>
      <c r="S35" s="1119">
        <f t="shared" si="12"/>
        <v>100</v>
      </c>
      <c r="T35" s="1118" t="s">
        <v>1357</v>
      </c>
      <c r="U35" s="1119">
        <f t="shared" si="13"/>
        <v>100</v>
      </c>
      <c r="V35" s="1118" t="s">
        <v>1357</v>
      </c>
      <c r="W35" s="1119">
        <f t="shared" si="14"/>
        <v>100</v>
      </c>
      <c r="X35" s="1113"/>
      <c r="Y35" s="341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0"/>
      <c r="Q36" s="621" t="str">
        <f t="shared" si="11"/>
        <v>公共部分装修</v>
      </c>
      <c r="R36" s="1118" t="s">
        <v>1357</v>
      </c>
      <c r="S36" s="1119">
        <f t="shared" si="12"/>
        <v>100</v>
      </c>
      <c r="T36" s="1118" t="s">
        <v>1357</v>
      </c>
      <c r="U36" s="1119">
        <f t="shared" si="13"/>
        <v>100</v>
      </c>
      <c r="V36" s="1118" t="s">
        <v>1357</v>
      </c>
      <c r="W36" s="1119">
        <f t="shared" si="14"/>
        <v>100</v>
      </c>
      <c r="X36" s="1113"/>
      <c r="Y36" s="341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0"/>
      <c r="Q37" s="790" t="str">
        <f t="shared" si="11"/>
        <v>成新度</v>
      </c>
      <c r="R37" s="1114" t="s">
        <v>1357</v>
      </c>
      <c r="S37" s="1115" t="e">
        <f t="shared" si="12"/>
        <v>#N/A</v>
      </c>
      <c r="T37" s="1114" t="s">
        <v>1357</v>
      </c>
      <c r="U37" s="1115" t="e">
        <f t="shared" si="13"/>
        <v>#N/A</v>
      </c>
      <c r="V37" s="1114" t="s">
        <v>1357</v>
      </c>
      <c r="W37" s="1115" t="e">
        <f t="shared" si="14"/>
        <v>#N/A</v>
      </c>
      <c r="X37" s="1116"/>
      <c r="Y37" s="341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0" t="s">
        <v>1383</v>
      </c>
      <c r="Q38" s="621" t="str">
        <f t="shared" si="11"/>
        <v>物业管理</v>
      </c>
      <c r="R38" s="1118" t="s">
        <v>1357</v>
      </c>
      <c r="S38" s="1119">
        <f t="shared" si="12"/>
        <v>100</v>
      </c>
      <c r="T38" s="1118" t="s">
        <v>1357</v>
      </c>
      <c r="U38" s="1119">
        <f t="shared" si="13"/>
        <v>100</v>
      </c>
      <c r="V38" s="1118" t="s">
        <v>1357</v>
      </c>
      <c r="W38" s="1119">
        <f t="shared" si="14"/>
        <v>100</v>
      </c>
      <c r="X38" s="1113"/>
      <c r="Y38" s="341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0"/>
      <c r="Q39" s="621" t="str">
        <f t="shared" si="11"/>
        <v>市政基础设施</v>
      </c>
      <c r="R39" s="1118" t="s">
        <v>1357</v>
      </c>
      <c r="S39" s="1119">
        <f t="shared" si="12"/>
        <v>100</v>
      </c>
      <c r="T39" s="1118" t="s">
        <v>1357</v>
      </c>
      <c r="U39" s="1119">
        <f t="shared" si="13"/>
        <v>100</v>
      </c>
      <c r="V39" s="1118" t="s">
        <v>1357</v>
      </c>
      <c r="W39" s="1119">
        <f t="shared" si="14"/>
        <v>100</v>
      </c>
      <c r="X39" s="1113"/>
      <c r="Y39" s="341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0"/>
      <c r="Q40" s="621" t="str">
        <f t="shared" si="11"/>
        <v>房型</v>
      </c>
      <c r="R40" s="1118" t="s">
        <v>1357</v>
      </c>
      <c r="S40" s="1119">
        <f t="shared" si="12"/>
        <v>100</v>
      </c>
      <c r="T40" s="1118" t="s">
        <v>1357</v>
      </c>
      <c r="U40" s="1119">
        <f t="shared" si="13"/>
        <v>100</v>
      </c>
      <c r="V40" s="1118" t="s">
        <v>1357</v>
      </c>
      <c r="W40" s="1119">
        <f t="shared" si="14"/>
        <v>100</v>
      </c>
      <c r="X40" s="1113"/>
      <c r="Y40" s="341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0"/>
      <c r="Q41" s="1308" t="str">
        <f t="shared" si="11"/>
        <v>单套/主力户型建筑面积</v>
      </c>
      <c r="R41" s="1120" t="s">
        <v>1357</v>
      </c>
      <c r="S41" s="1121">
        <f t="shared" si="12"/>
        <v>100</v>
      </c>
      <c r="T41" s="1120" t="s">
        <v>1357</v>
      </c>
      <c r="U41" s="1121">
        <f t="shared" si="13"/>
        <v>100</v>
      </c>
      <c r="V41" s="1120" t="s">
        <v>1357</v>
      </c>
      <c r="W41" s="1121">
        <f t="shared" si="14"/>
        <v>100</v>
      </c>
      <c r="X41" s="1122"/>
      <c r="Y41" s="341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0"/>
      <c r="Q42" s="621" t="str">
        <f t="shared" si="11"/>
        <v>内部装修</v>
      </c>
      <c r="R42" s="1118" t="s">
        <v>1357</v>
      </c>
      <c r="S42" s="1119">
        <f t="shared" si="12"/>
        <v>100</v>
      </c>
      <c r="T42" s="1118" t="s">
        <v>1357</v>
      </c>
      <c r="U42" s="1119">
        <f t="shared" si="13"/>
        <v>100</v>
      </c>
      <c r="V42" s="1118" t="s">
        <v>1357</v>
      </c>
      <c r="W42" s="1119">
        <f t="shared" si="14"/>
        <v>100</v>
      </c>
      <c r="X42" s="1113"/>
      <c r="Y42" s="341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0"/>
      <c r="Q44" s="790">
        <f t="shared" si="11"/>
        <v>111</v>
      </c>
      <c r="R44" s="1114" t="s">
        <v>1357</v>
      </c>
      <c r="S44" s="1115">
        <f t="shared" si="12"/>
        <v>100</v>
      </c>
      <c r="T44" s="1114" t="s">
        <v>1357</v>
      </c>
      <c r="U44" s="1115">
        <f t="shared" si="13"/>
        <v>100</v>
      </c>
      <c r="V44" s="1114" t="s">
        <v>1357</v>
      </c>
      <c r="W44" s="1115">
        <f t="shared" si="14"/>
        <v>100</v>
      </c>
      <c r="X44" s="1116"/>
      <c r="Y44" s="341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05" t="str">
        <f>A47</f>
        <v>成交单价（元/平方米）</v>
      </c>
      <c r="Q47" s="3405"/>
      <c r="R47" s="3406">
        <f>E47</f>
        <v>0</v>
      </c>
      <c r="S47" s="3406"/>
      <c r="T47" s="3406">
        <f>G47</f>
        <v>0</v>
      </c>
      <c r="U47" s="3406"/>
      <c r="V47" s="3406">
        <f>I47</f>
        <v>0</v>
      </c>
      <c r="W47" s="3406"/>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73" t="s">
        <v>1613</v>
      </c>
      <c r="D1" s="3474"/>
      <c r="E1" s="3474"/>
      <c r="F1" s="3474"/>
      <c r="G1" s="3474"/>
      <c r="H1" s="3474"/>
      <c r="I1" s="3474"/>
      <c r="J1" s="3474"/>
      <c r="K1" s="3474"/>
      <c r="L1" s="3474"/>
      <c r="M1" s="3474"/>
      <c r="N1" s="3474"/>
      <c r="O1" s="3474"/>
      <c r="P1" s="3474"/>
      <c r="Q1" s="3474"/>
      <c r="R1" s="3474"/>
      <c r="S1" s="3475"/>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2516.0747999999999</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28410</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28410</v>
      </c>
      <c r="S22" s="1469">
        <f ca="1">SUM(S24:S10000)</f>
        <v>2516.0747999999999</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结果表110!H102</f>
        <v>28410</v>
      </c>
      <c r="S24" s="1525">
        <f t="shared" ref="S24:S32" ca="1" si="11">ROUND(R24*B24/10000,4)</f>
        <v>1009.4641</v>
      </c>
      <c r="T24" s="1526">
        <f ca="1">结果表110!N59</f>
        <v>373.5462</v>
      </c>
      <c r="U24" s="1526">
        <f ca="1">结果表110!N61</f>
        <v>4218</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28410</v>
      </c>
      <c r="S25" s="1468">
        <f t="shared" ca="1" si="11"/>
        <v>1065.2045000000001</v>
      </c>
      <c r="T25" s="1417" t="e">
        <f>#REF!</f>
        <v>#REF!</v>
      </c>
      <c r="U25" s="1417" t="e">
        <f>#REF!</f>
        <v>#REF!</v>
      </c>
    </row>
    <row r="26" spans="1:45">
      <c r="A26" s="1476">
        <f>'数据-基础表'!C15</f>
        <v>112</v>
      </c>
      <c r="B26" s="1477">
        <f>'数据-基础表'!G15</f>
        <v>155.37</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28410</v>
      </c>
      <c r="S26" s="1468">
        <f t="shared" ca="1" si="11"/>
        <v>441.40620000000001</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28410</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28410</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28410</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28410</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28410</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28410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380"/>
      <c r="M4" s="1050"/>
      <c r="N4" s="1050"/>
      <c r="O4" s="1050"/>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380"/>
      <c r="M5" s="1050"/>
      <c r="N5" s="1050"/>
      <c r="O5" s="1050"/>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380"/>
      <c r="M6" s="1050"/>
      <c r="N6" s="1050"/>
      <c r="O6" s="1050"/>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5"/>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2" t="s">
        <v>1369</v>
      </c>
      <c r="Q15" s="621" t="str">
        <f t="shared" si="6"/>
        <v>产业集聚程度</v>
      </c>
      <c r="R15" s="1118" t="s">
        <v>1357</v>
      </c>
      <c r="S15" s="1119">
        <f t="shared" si="0"/>
        <v>100</v>
      </c>
      <c r="T15" s="1118" t="s">
        <v>1357</v>
      </c>
      <c r="U15" s="1119">
        <f t="shared" si="1"/>
        <v>100</v>
      </c>
      <c r="V15" s="1118" t="s">
        <v>1357</v>
      </c>
      <c r="W15" s="1119">
        <f t="shared" si="2"/>
        <v>100</v>
      </c>
      <c r="X15" s="1113"/>
      <c r="Y15" s="341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3"/>
      <c r="Q16" s="621"/>
      <c r="R16" s="1118"/>
      <c r="S16" s="1119"/>
      <c r="T16" s="1118"/>
      <c r="U16" s="1119"/>
      <c r="V16" s="1118"/>
      <c r="W16" s="1119"/>
      <c r="X16" s="1113"/>
      <c r="Y16" s="341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3"/>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3"/>
      <c r="Q18" s="621"/>
      <c r="R18" s="1118"/>
      <c r="S18" s="1119"/>
      <c r="T18" s="1118"/>
      <c r="U18" s="1119"/>
      <c r="V18" s="1118"/>
      <c r="W18" s="1119"/>
      <c r="X18" s="1113"/>
      <c r="Y18" s="341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3"/>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3"/>
      <c r="Q20" s="621"/>
      <c r="R20" s="1118"/>
      <c r="S20" s="1119"/>
      <c r="T20" s="1118"/>
      <c r="U20" s="1119"/>
      <c r="V20" s="1118"/>
      <c r="W20" s="1119"/>
      <c r="X20" s="1113"/>
      <c r="Y20" s="341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3"/>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3"/>
      <c r="Q22" s="621"/>
      <c r="R22" s="1118"/>
      <c r="S22" s="1119"/>
      <c r="T22" s="1118"/>
      <c r="U22" s="1119"/>
      <c r="V22" s="1118"/>
      <c r="W22" s="1119"/>
      <c r="X22" s="1113"/>
      <c r="Y22" s="341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3"/>
      <c r="Q23" s="621" t="str">
        <f>B23</f>
        <v>环境质量</v>
      </c>
      <c r="R23" s="1118" t="s">
        <v>1357</v>
      </c>
      <c r="S23" s="1119">
        <f>F23</f>
        <v>100</v>
      </c>
      <c r="T23" s="1118" t="s">
        <v>1357</v>
      </c>
      <c r="U23" s="1119">
        <f>H23</f>
        <v>100</v>
      </c>
      <c r="V23" s="1118" t="s">
        <v>1357</v>
      </c>
      <c r="W23" s="1119">
        <f>J23</f>
        <v>100</v>
      </c>
      <c r="X23" s="1113"/>
      <c r="Y23" s="341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3"/>
      <c r="Q24" s="621"/>
      <c r="R24" s="1118"/>
      <c r="S24" s="1119"/>
      <c r="T24" s="1118"/>
      <c r="U24" s="1119"/>
      <c r="V24" s="1118"/>
      <c r="W24" s="1119"/>
      <c r="X24" s="1113"/>
      <c r="Y24" s="341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3"/>
      <c r="Q25" s="621">
        <f>B25</f>
        <v>111</v>
      </c>
      <c r="R25" s="1118" t="s">
        <v>1357</v>
      </c>
      <c r="S25" s="1119">
        <f>F25</f>
        <v>100</v>
      </c>
      <c r="T25" s="1118" t="s">
        <v>1357</v>
      </c>
      <c r="U25" s="1119">
        <f>H25</f>
        <v>100</v>
      </c>
      <c r="V25" s="1118" t="s">
        <v>1357</v>
      </c>
      <c r="W25" s="1119">
        <f>J25</f>
        <v>100</v>
      </c>
      <c r="X25" s="1113"/>
      <c r="Y25" s="341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3"/>
      <c r="Q26" s="621">
        <f t="shared" ref="Q26:Q40" si="11">B26</f>
        <v>111</v>
      </c>
      <c r="R26" s="1118" t="s">
        <v>1357</v>
      </c>
      <c r="S26" s="1119">
        <f>F26</f>
        <v>100</v>
      </c>
      <c r="T26" s="1118" t="s">
        <v>1357</v>
      </c>
      <c r="U26" s="1119">
        <f>H26</f>
        <v>100</v>
      </c>
      <c r="V26" s="1118" t="s">
        <v>1357</v>
      </c>
      <c r="W26" s="1119">
        <f>J26</f>
        <v>100</v>
      </c>
      <c r="X26" s="1113"/>
      <c r="Y26" s="341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3"/>
      <c r="Q27" s="790">
        <f t="shared" si="11"/>
        <v>111</v>
      </c>
      <c r="R27" s="1114" t="s">
        <v>1357</v>
      </c>
      <c r="S27" s="1115">
        <f>F27</f>
        <v>100</v>
      </c>
      <c r="T27" s="1114" t="s">
        <v>1357</v>
      </c>
      <c r="U27" s="1115">
        <f>H27</f>
        <v>100</v>
      </c>
      <c r="V27" s="1114" t="s">
        <v>1357</v>
      </c>
      <c r="W27" s="1115">
        <f>J27</f>
        <v>100</v>
      </c>
      <c r="X27" s="1116"/>
      <c r="Y27" s="341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1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1383</v>
      </c>
      <c r="Q29" s="621" t="str">
        <f t="shared" si="11"/>
        <v>建筑类型</v>
      </c>
      <c r="R29" s="1118" t="s">
        <v>1357</v>
      </c>
      <c r="S29" s="1119">
        <f t="shared" si="12"/>
        <v>100</v>
      </c>
      <c r="T29" s="1118" t="s">
        <v>1357</v>
      </c>
      <c r="U29" s="1119">
        <f t="shared" si="13"/>
        <v>100</v>
      </c>
      <c r="V29" s="1118" t="s">
        <v>1357</v>
      </c>
      <c r="W29" s="1119">
        <f t="shared" si="14"/>
        <v>100</v>
      </c>
      <c r="X29" s="1113"/>
      <c r="Y29" s="341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4"/>
      <c r="Q30" s="1308" t="str">
        <f t="shared" si="11"/>
        <v>项目建筑规模</v>
      </c>
      <c r="R30" s="1120" t="s">
        <v>1357</v>
      </c>
      <c r="S30" s="1121" t="e">
        <f t="shared" si="12"/>
        <v>#N/A</v>
      </c>
      <c r="T30" s="1120" t="s">
        <v>1357</v>
      </c>
      <c r="U30" s="1121" t="e">
        <f t="shared" si="13"/>
        <v>#N/A</v>
      </c>
      <c r="V30" s="1120" t="s">
        <v>1357</v>
      </c>
      <c r="W30" s="1121" t="e">
        <f t="shared" si="14"/>
        <v>#N/A</v>
      </c>
      <c r="X30" s="1122"/>
      <c r="Y30" s="341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4"/>
      <c r="Q31" s="621" t="str">
        <f t="shared" si="11"/>
        <v>建筑结构</v>
      </c>
      <c r="R31" s="1118" t="s">
        <v>1357</v>
      </c>
      <c r="S31" s="1119">
        <f t="shared" si="12"/>
        <v>100</v>
      </c>
      <c r="T31" s="1118" t="s">
        <v>1357</v>
      </c>
      <c r="U31" s="1119">
        <f t="shared" si="13"/>
        <v>100</v>
      </c>
      <c r="V31" s="1118" t="s">
        <v>1357</v>
      </c>
      <c r="W31" s="1119">
        <f t="shared" si="14"/>
        <v>100</v>
      </c>
      <c r="X31" s="1113"/>
      <c r="Y31" s="341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4"/>
      <c r="Q32" s="621" t="str">
        <f t="shared" si="11"/>
        <v>公共部分装修</v>
      </c>
      <c r="R32" s="1118" t="s">
        <v>1357</v>
      </c>
      <c r="S32" s="1119">
        <f t="shared" si="12"/>
        <v>100</v>
      </c>
      <c r="T32" s="1118" t="s">
        <v>1357</v>
      </c>
      <c r="U32" s="1119">
        <f t="shared" si="13"/>
        <v>100</v>
      </c>
      <c r="V32" s="1118" t="s">
        <v>1357</v>
      </c>
      <c r="W32" s="1119">
        <f t="shared" si="14"/>
        <v>100</v>
      </c>
      <c r="X32" s="1113"/>
      <c r="Y32" s="341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4"/>
      <c r="Q33" s="621" t="str">
        <f t="shared" si="11"/>
        <v>成新度</v>
      </c>
      <c r="R33" s="1118" t="s">
        <v>1357</v>
      </c>
      <c r="S33" s="1119" t="e">
        <f t="shared" si="12"/>
        <v>#N/A</v>
      </c>
      <c r="T33" s="1118" t="s">
        <v>1357</v>
      </c>
      <c r="U33" s="1119" t="e">
        <f t="shared" si="13"/>
        <v>#N/A</v>
      </c>
      <c r="V33" s="1118" t="s">
        <v>1357</v>
      </c>
      <c r="W33" s="1119" t="e">
        <f t="shared" si="14"/>
        <v>#N/A</v>
      </c>
      <c r="X33" s="1113"/>
      <c r="Y33" s="341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4"/>
      <c r="Q34" s="790" t="str">
        <f t="shared" si="11"/>
        <v>物业管理</v>
      </c>
      <c r="R34" s="1114" t="s">
        <v>1357</v>
      </c>
      <c r="S34" s="1115">
        <f t="shared" si="12"/>
        <v>100</v>
      </c>
      <c r="T34" s="1114" t="s">
        <v>1357</v>
      </c>
      <c r="U34" s="1115">
        <f t="shared" si="13"/>
        <v>100</v>
      </c>
      <c r="V34" s="1114" t="s">
        <v>1357</v>
      </c>
      <c r="W34" s="1115">
        <f t="shared" si="14"/>
        <v>100</v>
      </c>
      <c r="X34" s="1116"/>
      <c r="Y34" s="341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4" t="s">
        <v>1383</v>
      </c>
      <c r="Q35" s="621" t="str">
        <f t="shared" si="11"/>
        <v>市政基础设施</v>
      </c>
      <c r="R35" s="1118" t="s">
        <v>1357</v>
      </c>
      <c r="S35" s="1119">
        <f t="shared" si="12"/>
        <v>100</v>
      </c>
      <c r="T35" s="1118" t="s">
        <v>1357</v>
      </c>
      <c r="U35" s="1119">
        <f t="shared" si="13"/>
        <v>100</v>
      </c>
      <c r="V35" s="1118" t="s">
        <v>1357</v>
      </c>
      <c r="W35" s="1119">
        <f t="shared" si="14"/>
        <v>100</v>
      </c>
      <c r="X35" s="1113"/>
      <c r="Y35" s="341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4"/>
      <c r="Q36" s="621" t="str">
        <f t="shared" si="11"/>
        <v>内部装修</v>
      </c>
      <c r="R36" s="1118" t="s">
        <v>1357</v>
      </c>
      <c r="S36" s="1119">
        <f t="shared" si="12"/>
        <v>100</v>
      </c>
      <c r="T36" s="1118" t="s">
        <v>1357</v>
      </c>
      <c r="U36" s="1119">
        <f t="shared" si="13"/>
        <v>100</v>
      </c>
      <c r="V36" s="1118" t="s">
        <v>1357</v>
      </c>
      <c r="W36" s="1119">
        <f t="shared" si="14"/>
        <v>100</v>
      </c>
      <c r="X36" s="1113"/>
      <c r="Y36" s="341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4"/>
      <c r="Q37" s="621" t="str">
        <f t="shared" si="11"/>
        <v>内部装修状况</v>
      </c>
      <c r="R37" s="1118" t="s">
        <v>1357</v>
      </c>
      <c r="S37" s="1119">
        <f t="shared" si="12"/>
        <v>100</v>
      </c>
      <c r="T37" s="1118" t="s">
        <v>1357</v>
      </c>
      <c r="U37" s="1119">
        <f t="shared" si="13"/>
        <v>100</v>
      </c>
      <c r="V37" s="1118" t="s">
        <v>1357</v>
      </c>
      <c r="W37" s="1119">
        <f t="shared" si="14"/>
        <v>100</v>
      </c>
      <c r="X37" s="1113"/>
      <c r="Y37" s="341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4"/>
      <c r="Q38" s="1308">
        <f t="shared" si="11"/>
        <v>111</v>
      </c>
      <c r="R38" s="1120" t="s">
        <v>1357</v>
      </c>
      <c r="S38" s="1121">
        <f t="shared" si="12"/>
        <v>100</v>
      </c>
      <c r="T38" s="1120" t="s">
        <v>1357</v>
      </c>
      <c r="U38" s="1121">
        <f t="shared" si="13"/>
        <v>100</v>
      </c>
      <c r="V38" s="1120" t="s">
        <v>1357</v>
      </c>
      <c r="W38" s="1121">
        <f t="shared" si="14"/>
        <v>100</v>
      </c>
      <c r="X38" s="1122"/>
      <c r="Y38" s="341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4"/>
      <c r="Q39" s="621">
        <f t="shared" si="11"/>
        <v>111</v>
      </c>
      <c r="R39" s="1118" t="s">
        <v>1357</v>
      </c>
      <c r="S39" s="1119">
        <f t="shared" si="12"/>
        <v>100</v>
      </c>
      <c r="T39" s="1118" t="s">
        <v>1357</v>
      </c>
      <c r="U39" s="1119">
        <f t="shared" si="13"/>
        <v>100</v>
      </c>
      <c r="V39" s="1118" t="s">
        <v>1357</v>
      </c>
      <c r="W39" s="1119">
        <f t="shared" si="14"/>
        <v>100</v>
      </c>
      <c r="X39" s="1113"/>
      <c r="Y39" s="341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5"/>
      <c r="Q40" s="621">
        <f t="shared" si="11"/>
        <v>111</v>
      </c>
      <c r="R40" s="1118" t="s">
        <v>1357</v>
      </c>
      <c r="S40" s="1119">
        <f t="shared" si="12"/>
        <v>100</v>
      </c>
      <c r="T40" s="1118" t="s">
        <v>1357</v>
      </c>
      <c r="U40" s="1119">
        <f t="shared" si="13"/>
        <v>100</v>
      </c>
      <c r="V40" s="1118" t="s">
        <v>1357</v>
      </c>
      <c r="W40" s="1119">
        <f t="shared" si="14"/>
        <v>100</v>
      </c>
      <c r="X40" s="1113"/>
      <c r="Y40" s="341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05" t="str">
        <f>A41</f>
        <v>成交单价（元/平方米）</v>
      </c>
      <c r="Q41" s="3405"/>
      <c r="R41" s="3406">
        <f>E41</f>
        <v>0</v>
      </c>
      <c r="S41" s="3406"/>
      <c r="T41" s="3406">
        <f>G41</f>
        <v>0</v>
      </c>
      <c r="U41" s="3406"/>
      <c r="V41" s="3406">
        <f>I41</f>
        <v>0</v>
      </c>
      <c r="W41" s="3406"/>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17.399999999999999">
      <c r="A4" s="3148" t="str">
        <f>"受贵公司委托，我公司对"&amp;项目基本情况!S1&amp;"进行了预评估。"</f>
        <v>受贵公司委托，我公司对北京市房地产抵押价值进行了预评估。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估价对象为北京市房地产，为所有。根据《国有土地使用证》[]，估价对象（分摊）出让国有建设用地使用权面积为0平方米，建筑面积为885.63平方米。</v>
      </c>
    </row>
    <row r="8" spans="1:1" ht="54.6">
      <c r="A8" s="3151" t="s">
        <v>85</v>
      </c>
    </row>
    <row r="9" spans="1:1" ht="17.399999999999999">
      <c r="A9" s="3150" t="s">
        <v>86</v>
      </c>
    </row>
    <row r="10" spans="1:1" ht="52.2">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1356</v>
      </c>
      <c r="Q7" s="3401"/>
      <c r="R7" s="1114" t="s">
        <v>1357</v>
      </c>
      <c r="S7" s="1115">
        <f t="shared" ref="S7:S14" si="0">F7</f>
        <v>0</v>
      </c>
      <c r="T7" s="1114" t="s">
        <v>1357</v>
      </c>
      <c r="U7" s="1115">
        <f t="shared" ref="U7:U14" si="1">H7</f>
        <v>0</v>
      </c>
      <c r="V7" s="1114" t="s">
        <v>1357</v>
      </c>
      <c r="W7" s="1115">
        <f t="shared" ref="W7:W14"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5" t="s">
        <v>1363</v>
      </c>
      <c r="Q9" s="790" t="str">
        <f t="shared" ref="Q9:Q14" si="6">B9</f>
        <v>用途</v>
      </c>
      <c r="R9" s="1114" t="s">
        <v>1357</v>
      </c>
      <c r="S9" s="1115">
        <f t="shared" si="0"/>
        <v>100</v>
      </c>
      <c r="T9" s="1114" t="s">
        <v>1357</v>
      </c>
      <c r="U9" s="1115">
        <f t="shared" si="1"/>
        <v>100</v>
      </c>
      <c r="V9" s="1114" t="s">
        <v>1357</v>
      </c>
      <c r="W9" s="1115">
        <f t="shared" si="2"/>
        <v>100</v>
      </c>
      <c r="X9" s="1116"/>
      <c r="Y9" s="337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5"/>
      <c r="Q11" s="790">
        <f t="shared" si="6"/>
        <v>111</v>
      </c>
      <c r="R11" s="1114" t="s">
        <v>1357</v>
      </c>
      <c r="S11" s="1115">
        <f t="shared" si="0"/>
        <v>100</v>
      </c>
      <c r="T11" s="1114" t="s">
        <v>1357</v>
      </c>
      <c r="U11" s="1115">
        <f t="shared" si="1"/>
        <v>100</v>
      </c>
      <c r="V11" s="1114" t="s">
        <v>1357</v>
      </c>
      <c r="W11" s="1115">
        <f t="shared" si="2"/>
        <v>100</v>
      </c>
      <c r="X11" s="1116"/>
      <c r="Y11" s="337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2" t="s">
        <v>1369</v>
      </c>
      <c r="Q14" s="621" t="str">
        <f t="shared" si="6"/>
        <v>交通便捷度</v>
      </c>
      <c r="R14" s="1118" t="s">
        <v>1357</v>
      </c>
      <c r="S14" s="1119">
        <f t="shared" si="0"/>
        <v>100</v>
      </c>
      <c r="T14" s="1118" t="s">
        <v>1357</v>
      </c>
      <c r="U14" s="1119">
        <f t="shared" si="1"/>
        <v>100</v>
      </c>
      <c r="V14" s="1118" t="s">
        <v>1357</v>
      </c>
      <c r="W14" s="1119">
        <f t="shared" si="2"/>
        <v>100</v>
      </c>
      <c r="X14" s="1113"/>
      <c r="Y14" s="341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3"/>
      <c r="Q15" s="621"/>
      <c r="R15" s="1118"/>
      <c r="S15" s="1119"/>
      <c r="T15" s="1118"/>
      <c r="U15" s="1119"/>
      <c r="V15" s="1118"/>
      <c r="W15" s="1119"/>
      <c r="X15" s="1113"/>
      <c r="Y15" s="341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3"/>
      <c r="Q16" s="621" t="str">
        <f>B16</f>
        <v>公共配套设施</v>
      </c>
      <c r="R16" s="1118" t="s">
        <v>1357</v>
      </c>
      <c r="S16" s="1119">
        <f>F16</f>
        <v>100</v>
      </c>
      <c r="T16" s="1118" t="s">
        <v>1357</v>
      </c>
      <c r="U16" s="1119">
        <f>H16</f>
        <v>100</v>
      </c>
      <c r="V16" s="1118" t="s">
        <v>1357</v>
      </c>
      <c r="W16" s="1119">
        <f>J16</f>
        <v>100</v>
      </c>
      <c r="X16" s="1113"/>
      <c r="Y16" s="341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3"/>
      <c r="Q17" s="621"/>
      <c r="R17" s="1118"/>
      <c r="S17" s="1119"/>
      <c r="T17" s="1118"/>
      <c r="U17" s="1119"/>
      <c r="V17" s="1118"/>
      <c r="W17" s="1119"/>
      <c r="X17" s="1113"/>
      <c r="Y17" s="341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3"/>
      <c r="Q18" s="621" t="str">
        <f>B18</f>
        <v>基础设施水平</v>
      </c>
      <c r="R18" s="1118" t="s">
        <v>1357</v>
      </c>
      <c r="S18" s="1119">
        <f>F18</f>
        <v>100</v>
      </c>
      <c r="T18" s="1118" t="s">
        <v>1357</v>
      </c>
      <c r="U18" s="1119">
        <f>H18</f>
        <v>100</v>
      </c>
      <c r="V18" s="1118" t="s">
        <v>1357</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3"/>
      <c r="Q19" s="621"/>
      <c r="R19" s="1118"/>
      <c r="S19" s="1119"/>
      <c r="T19" s="1118"/>
      <c r="U19" s="1119"/>
      <c r="V19" s="1118"/>
      <c r="W19" s="1119"/>
      <c r="X19" s="1113"/>
      <c r="Y19" s="341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3"/>
      <c r="Q20" s="621" t="str">
        <f>B20</f>
        <v>自然及人文环境</v>
      </c>
      <c r="R20" s="1118" t="s">
        <v>1357</v>
      </c>
      <c r="S20" s="1119">
        <f>F20</f>
        <v>100</v>
      </c>
      <c r="T20" s="1118" t="s">
        <v>1357</v>
      </c>
      <c r="U20" s="1119">
        <f>H20</f>
        <v>100</v>
      </c>
      <c r="V20" s="1118" t="s">
        <v>1357</v>
      </c>
      <c r="W20" s="1119">
        <f>J20</f>
        <v>100</v>
      </c>
      <c r="X20" s="1113"/>
      <c r="Y20" s="341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3"/>
      <c r="Q21" s="621"/>
      <c r="R21" s="1118"/>
      <c r="S21" s="1119"/>
      <c r="T21" s="1118"/>
      <c r="U21" s="1119"/>
      <c r="V21" s="1118"/>
      <c r="W21" s="1119"/>
      <c r="X21" s="1113"/>
      <c r="Y21" s="341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3"/>
      <c r="Q22" s="621" t="str">
        <f>B22</f>
        <v>楼层</v>
      </c>
      <c r="R22" s="1118" t="s">
        <v>1357</v>
      </c>
      <c r="S22" s="1119">
        <f>F22</f>
        <v>100</v>
      </c>
      <c r="T22" s="1118" t="s">
        <v>1357</v>
      </c>
      <c r="U22" s="1119">
        <f>H22</f>
        <v>100</v>
      </c>
      <c r="V22" s="1118" t="s">
        <v>1357</v>
      </c>
      <c r="W22" s="1119">
        <f>J22</f>
        <v>100</v>
      </c>
      <c r="X22" s="1113"/>
      <c r="Y22" s="341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3"/>
      <c r="Q23" s="621">
        <f>B23</f>
        <v>111</v>
      </c>
      <c r="R23" s="1118" t="s">
        <v>1357</v>
      </c>
      <c r="S23" s="1119">
        <f>F23</f>
        <v>100</v>
      </c>
      <c r="T23" s="1118" t="s">
        <v>1357</v>
      </c>
      <c r="U23" s="1119">
        <f>H23</f>
        <v>100</v>
      </c>
      <c r="V23" s="1118" t="s">
        <v>1357</v>
      </c>
      <c r="W23" s="1119">
        <f>J23</f>
        <v>100</v>
      </c>
      <c r="X23" s="1113"/>
      <c r="Y23" s="341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3"/>
      <c r="Q24" s="621">
        <f t="shared" ref="Q24:Q36" si="11">B24</f>
        <v>111</v>
      </c>
      <c r="R24" s="1118" t="s">
        <v>1357</v>
      </c>
      <c r="S24" s="1119">
        <f>F24</f>
        <v>100</v>
      </c>
      <c r="T24" s="1118" t="s">
        <v>1357</v>
      </c>
      <c r="U24" s="1119">
        <f>H24</f>
        <v>100</v>
      </c>
      <c r="V24" s="1118" t="s">
        <v>1357</v>
      </c>
      <c r="W24" s="1119">
        <f>J24</f>
        <v>100</v>
      </c>
      <c r="X24" s="1113"/>
      <c r="Y24" s="341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3"/>
      <c r="Q25" s="790">
        <f t="shared" si="11"/>
        <v>111</v>
      </c>
      <c r="R25" s="1114" t="s">
        <v>1357</v>
      </c>
      <c r="S25" s="1115">
        <f>F25</f>
        <v>100</v>
      </c>
      <c r="T25" s="1114" t="s">
        <v>1357</v>
      </c>
      <c r="U25" s="1115">
        <f>H25</f>
        <v>100</v>
      </c>
      <c r="V25" s="1114" t="s">
        <v>1357</v>
      </c>
      <c r="W25" s="1115">
        <f>J25</f>
        <v>100</v>
      </c>
      <c r="X25" s="1116"/>
      <c r="Y25" s="341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1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4"/>
      <c r="Q27" s="1308" t="str">
        <f t="shared" si="11"/>
        <v>项目停车位配比</v>
      </c>
      <c r="R27" s="1120" t="s">
        <v>1357</v>
      </c>
      <c r="S27" s="1121">
        <f t="shared" si="12"/>
        <v>100</v>
      </c>
      <c r="T27" s="1120" t="s">
        <v>1357</v>
      </c>
      <c r="U27" s="1121">
        <f t="shared" si="13"/>
        <v>100</v>
      </c>
      <c r="V27" s="1120" t="s">
        <v>1357</v>
      </c>
      <c r="W27" s="1121">
        <f t="shared" si="14"/>
        <v>100</v>
      </c>
      <c r="X27" s="1122"/>
      <c r="Y27" s="341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4"/>
      <c r="Q28" s="621" t="str">
        <f t="shared" si="11"/>
        <v>公共部分装修</v>
      </c>
      <c r="R28" s="1118" t="s">
        <v>1357</v>
      </c>
      <c r="S28" s="1119">
        <f t="shared" si="12"/>
        <v>100</v>
      </c>
      <c r="T28" s="1118" t="s">
        <v>1357</v>
      </c>
      <c r="U28" s="1119">
        <f t="shared" si="13"/>
        <v>100</v>
      </c>
      <c r="V28" s="1118" t="s">
        <v>1357</v>
      </c>
      <c r="W28" s="1119">
        <f t="shared" si="14"/>
        <v>100</v>
      </c>
      <c r="X28" s="1113"/>
      <c r="Y28" s="341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4"/>
      <c r="Q29" s="621" t="str">
        <f t="shared" si="11"/>
        <v>成新率</v>
      </c>
      <c r="R29" s="1118" t="s">
        <v>1357</v>
      </c>
      <c r="S29" s="1119" t="e">
        <f t="shared" si="12"/>
        <v>#N/A</v>
      </c>
      <c r="T29" s="1118" t="s">
        <v>1357</v>
      </c>
      <c r="U29" s="1119" t="e">
        <f t="shared" si="13"/>
        <v>#N/A</v>
      </c>
      <c r="V29" s="1118" t="s">
        <v>1357</v>
      </c>
      <c r="W29" s="1119" t="e">
        <f t="shared" si="14"/>
        <v>#N/A</v>
      </c>
      <c r="X29" s="1113"/>
      <c r="Y29" s="341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4"/>
      <c r="Q30" s="621" t="str">
        <f t="shared" si="11"/>
        <v>物业等级</v>
      </c>
      <c r="R30" s="1118" t="s">
        <v>1357</v>
      </c>
      <c r="S30" s="1119">
        <f t="shared" si="12"/>
        <v>100</v>
      </c>
      <c r="T30" s="1118" t="s">
        <v>1357</v>
      </c>
      <c r="U30" s="1119">
        <f t="shared" si="13"/>
        <v>100</v>
      </c>
      <c r="V30" s="1118" t="s">
        <v>1357</v>
      </c>
      <c r="W30" s="1119">
        <f t="shared" si="14"/>
        <v>100</v>
      </c>
      <c r="X30" s="1113"/>
      <c r="Y30" s="341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4"/>
      <c r="Q31" s="790" t="str">
        <f t="shared" si="11"/>
        <v>停车位面积</v>
      </c>
      <c r="R31" s="1114" t="s">
        <v>1357</v>
      </c>
      <c r="S31" s="1115" t="e">
        <f t="shared" si="12"/>
        <v>#N/A</v>
      </c>
      <c r="T31" s="1114" t="s">
        <v>1357</v>
      </c>
      <c r="U31" s="1115" t="e">
        <f t="shared" si="13"/>
        <v>#N/A</v>
      </c>
      <c r="V31" s="1114" t="s">
        <v>1357</v>
      </c>
      <c r="W31" s="1115" t="e">
        <f t="shared" si="14"/>
        <v>#N/A</v>
      </c>
      <c r="X31" s="1116"/>
      <c r="Y31" s="341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4" t="s">
        <v>1383</v>
      </c>
      <c r="Q32" s="621" t="str">
        <f t="shared" si="11"/>
        <v>车位类型</v>
      </c>
      <c r="R32" s="1118" t="s">
        <v>1357</v>
      </c>
      <c r="S32" s="1119">
        <f t="shared" si="12"/>
        <v>100</v>
      </c>
      <c r="T32" s="1118" t="s">
        <v>1357</v>
      </c>
      <c r="U32" s="1119">
        <f t="shared" si="13"/>
        <v>100</v>
      </c>
      <c r="V32" s="1118" t="s">
        <v>1357</v>
      </c>
      <c r="W32" s="1119">
        <f t="shared" si="14"/>
        <v>100</v>
      </c>
      <c r="X32" s="1113"/>
      <c r="Y32" s="341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4"/>
      <c r="Q33" s="621" t="str">
        <f t="shared" si="11"/>
        <v>是否直接入户</v>
      </c>
      <c r="R33" s="1118" t="s">
        <v>1357</v>
      </c>
      <c r="S33" s="1119">
        <f t="shared" si="12"/>
        <v>100</v>
      </c>
      <c r="T33" s="1118" t="s">
        <v>1357</v>
      </c>
      <c r="U33" s="1119">
        <f t="shared" si="13"/>
        <v>100</v>
      </c>
      <c r="V33" s="1118" t="s">
        <v>1357</v>
      </c>
      <c r="W33" s="1119">
        <f t="shared" si="14"/>
        <v>100</v>
      </c>
      <c r="X33" s="1113"/>
      <c r="Y33" s="341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4"/>
      <c r="Q34" s="621">
        <f t="shared" si="11"/>
        <v>111</v>
      </c>
      <c r="R34" s="1118" t="s">
        <v>1357</v>
      </c>
      <c r="S34" s="1119">
        <f t="shared" si="12"/>
        <v>100</v>
      </c>
      <c r="T34" s="1118" t="s">
        <v>1357</v>
      </c>
      <c r="U34" s="1119">
        <f t="shared" si="13"/>
        <v>100</v>
      </c>
      <c r="V34" s="1118" t="s">
        <v>1357</v>
      </c>
      <c r="W34" s="1119">
        <f t="shared" si="14"/>
        <v>100</v>
      </c>
      <c r="X34" s="1113"/>
      <c r="Y34" s="341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4"/>
      <c r="Q35" s="1308">
        <f t="shared" si="11"/>
        <v>111</v>
      </c>
      <c r="R35" s="1120" t="s">
        <v>1357</v>
      </c>
      <c r="S35" s="1121">
        <f t="shared" si="12"/>
        <v>100</v>
      </c>
      <c r="T35" s="1120" t="s">
        <v>1357</v>
      </c>
      <c r="U35" s="1121">
        <f t="shared" si="13"/>
        <v>100</v>
      </c>
      <c r="V35" s="1120" t="s">
        <v>1357</v>
      </c>
      <c r="W35" s="1121">
        <f t="shared" si="14"/>
        <v>100</v>
      </c>
      <c r="X35" s="1122"/>
      <c r="Y35" s="341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4"/>
      <c r="Q36" s="621">
        <f t="shared" si="11"/>
        <v>111</v>
      </c>
      <c r="R36" s="1118" t="s">
        <v>1357</v>
      </c>
      <c r="S36" s="1119">
        <f t="shared" si="12"/>
        <v>100</v>
      </c>
      <c r="T36" s="1118" t="s">
        <v>1357</v>
      </c>
      <c r="U36" s="1119">
        <f t="shared" si="13"/>
        <v>100</v>
      </c>
      <c r="V36" s="1118" t="s">
        <v>1357</v>
      </c>
      <c r="W36" s="1119">
        <f t="shared" si="14"/>
        <v>100</v>
      </c>
      <c r="X36" s="1113"/>
      <c r="Y36" s="341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05" t="str">
        <f>A37</f>
        <v>成交单价</v>
      </c>
      <c r="Q37" s="3405"/>
      <c r="R37" s="3406">
        <f>E37</f>
        <v>0</v>
      </c>
      <c r="S37" s="3406"/>
      <c r="T37" s="3406">
        <f>G37</f>
        <v>0</v>
      </c>
      <c r="U37" s="3406"/>
      <c r="V37" s="3406">
        <f>I37</f>
        <v>0</v>
      </c>
      <c r="W37" s="3406"/>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41" t="str">
        <f>A39</f>
        <v>估价对象XX用房的比较价值（楼面单价，元/平方米）</v>
      </c>
      <c r="Q39" s="3442"/>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1356</v>
      </c>
      <c r="Q7" s="3401"/>
      <c r="R7" s="1114" t="s">
        <v>1357</v>
      </c>
      <c r="S7" s="1115">
        <f t="shared" ref="S7:S14" si="0">F7</f>
        <v>0</v>
      </c>
      <c r="T7" s="1114" t="s">
        <v>1357</v>
      </c>
      <c r="U7" s="1115">
        <f t="shared" ref="U7:U14" si="1">H7</f>
        <v>0</v>
      </c>
      <c r="V7" s="1114" t="s">
        <v>1357</v>
      </c>
      <c r="W7" s="1115">
        <f t="shared" ref="W7:W14"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5" t="s">
        <v>1363</v>
      </c>
      <c r="Q9" s="790" t="str">
        <f t="shared" ref="Q9:Q14" si="6">B9</f>
        <v>用途</v>
      </c>
      <c r="R9" s="1114" t="s">
        <v>1357</v>
      </c>
      <c r="S9" s="1115">
        <f t="shared" si="0"/>
        <v>100</v>
      </c>
      <c r="T9" s="1114" t="s">
        <v>1357</v>
      </c>
      <c r="U9" s="1115">
        <f t="shared" si="1"/>
        <v>100</v>
      </c>
      <c r="V9" s="1114" t="s">
        <v>1357</v>
      </c>
      <c r="W9" s="1115">
        <f t="shared" si="2"/>
        <v>100</v>
      </c>
      <c r="X9" s="1116"/>
      <c r="Y9" s="337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5"/>
      <c r="Q11" s="790">
        <f t="shared" si="6"/>
        <v>111</v>
      </c>
      <c r="R11" s="1114" t="s">
        <v>1357</v>
      </c>
      <c r="S11" s="1115">
        <f t="shared" si="0"/>
        <v>100</v>
      </c>
      <c r="T11" s="1114" t="s">
        <v>1357</v>
      </c>
      <c r="U11" s="1115">
        <f t="shared" si="1"/>
        <v>100</v>
      </c>
      <c r="V11" s="1114" t="s">
        <v>1357</v>
      </c>
      <c r="W11" s="1115">
        <f t="shared" si="2"/>
        <v>100</v>
      </c>
      <c r="X11" s="1116"/>
      <c r="Y11" s="337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2" t="s">
        <v>1369</v>
      </c>
      <c r="Q14" s="621" t="str">
        <f t="shared" si="6"/>
        <v>交通便捷度</v>
      </c>
      <c r="R14" s="1118" t="s">
        <v>1357</v>
      </c>
      <c r="S14" s="1119">
        <f t="shared" si="0"/>
        <v>100</v>
      </c>
      <c r="T14" s="1118" t="s">
        <v>1357</v>
      </c>
      <c r="U14" s="1119">
        <f t="shared" si="1"/>
        <v>100</v>
      </c>
      <c r="V14" s="1118" t="s">
        <v>1357</v>
      </c>
      <c r="W14" s="1119">
        <f t="shared" si="2"/>
        <v>100</v>
      </c>
      <c r="X14" s="1113"/>
      <c r="Y14" s="341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3"/>
      <c r="Q15" s="621"/>
      <c r="R15" s="1118"/>
      <c r="S15" s="1119"/>
      <c r="T15" s="1118"/>
      <c r="U15" s="1119"/>
      <c r="V15" s="1118"/>
      <c r="W15" s="1119"/>
      <c r="X15" s="1113"/>
      <c r="Y15" s="341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3"/>
      <c r="Q16" s="621" t="str">
        <f>B16</f>
        <v>公共配套设施</v>
      </c>
      <c r="R16" s="1118" t="s">
        <v>1357</v>
      </c>
      <c r="S16" s="1119">
        <f>F16</f>
        <v>100</v>
      </c>
      <c r="T16" s="1118" t="s">
        <v>1357</v>
      </c>
      <c r="U16" s="1119">
        <f>H16</f>
        <v>100</v>
      </c>
      <c r="V16" s="1118" t="s">
        <v>1357</v>
      </c>
      <c r="W16" s="1119">
        <f>J16</f>
        <v>100</v>
      </c>
      <c r="X16" s="1113"/>
      <c r="Y16" s="341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3"/>
      <c r="Q17" s="621"/>
      <c r="R17" s="1118"/>
      <c r="S17" s="1119"/>
      <c r="T17" s="1118"/>
      <c r="U17" s="1119"/>
      <c r="V17" s="1118"/>
      <c r="W17" s="1119"/>
      <c r="X17" s="1113"/>
      <c r="Y17" s="341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3"/>
      <c r="Q18" s="621" t="str">
        <f>B18</f>
        <v>基础设施水平</v>
      </c>
      <c r="R18" s="1118" t="s">
        <v>1357</v>
      </c>
      <c r="S18" s="1119">
        <f>F18</f>
        <v>100</v>
      </c>
      <c r="T18" s="1118" t="s">
        <v>1357</v>
      </c>
      <c r="U18" s="1119">
        <f>H18</f>
        <v>100</v>
      </c>
      <c r="V18" s="1118" t="s">
        <v>1357</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3"/>
      <c r="Q19" s="621"/>
      <c r="R19" s="1118"/>
      <c r="S19" s="1119"/>
      <c r="T19" s="1118"/>
      <c r="U19" s="1119"/>
      <c r="V19" s="1118"/>
      <c r="W19" s="1119"/>
      <c r="X19" s="1113"/>
      <c r="Y19" s="341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3"/>
      <c r="Q20" s="621" t="str">
        <f>B20</f>
        <v>自然及人文环境</v>
      </c>
      <c r="R20" s="1118" t="s">
        <v>1357</v>
      </c>
      <c r="S20" s="1119">
        <f>F20</f>
        <v>100</v>
      </c>
      <c r="T20" s="1118" t="s">
        <v>1357</v>
      </c>
      <c r="U20" s="1119">
        <f>H20</f>
        <v>100</v>
      </c>
      <c r="V20" s="1118" t="s">
        <v>1357</v>
      </c>
      <c r="W20" s="1119">
        <f>J20</f>
        <v>100</v>
      </c>
      <c r="X20" s="1113"/>
      <c r="Y20" s="341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3"/>
      <c r="Q21" s="621"/>
      <c r="R21" s="1118"/>
      <c r="S21" s="1119"/>
      <c r="T21" s="1118"/>
      <c r="U21" s="1119"/>
      <c r="V21" s="1118"/>
      <c r="W21" s="1119"/>
      <c r="X21" s="1113"/>
      <c r="Y21" s="341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3"/>
      <c r="Q22" s="621" t="str">
        <f>B22</f>
        <v>楼层</v>
      </c>
      <c r="R22" s="1118" t="s">
        <v>1357</v>
      </c>
      <c r="S22" s="1119">
        <f>F22</f>
        <v>100</v>
      </c>
      <c r="T22" s="1118" t="s">
        <v>1357</v>
      </c>
      <c r="U22" s="1119">
        <f>H22</f>
        <v>100</v>
      </c>
      <c r="V22" s="1118" t="s">
        <v>1357</v>
      </c>
      <c r="W22" s="1119">
        <f>J22</f>
        <v>100</v>
      </c>
      <c r="X22" s="1113"/>
      <c r="Y22" s="341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3"/>
      <c r="Q23" s="621">
        <f>B23</f>
        <v>111</v>
      </c>
      <c r="R23" s="1118" t="s">
        <v>1357</v>
      </c>
      <c r="S23" s="1119">
        <f>F23</f>
        <v>100</v>
      </c>
      <c r="T23" s="1118" t="s">
        <v>1357</v>
      </c>
      <c r="U23" s="1119">
        <f>H23</f>
        <v>100</v>
      </c>
      <c r="V23" s="1118" t="s">
        <v>1357</v>
      </c>
      <c r="W23" s="1119">
        <f>J23</f>
        <v>100</v>
      </c>
      <c r="X23" s="1113"/>
      <c r="Y23" s="341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3"/>
      <c r="Q24" s="621">
        <f t="shared" ref="Q24:Q34" si="11">B24</f>
        <v>111</v>
      </c>
      <c r="R24" s="1118" t="s">
        <v>1357</v>
      </c>
      <c r="S24" s="1119">
        <f>F24</f>
        <v>100</v>
      </c>
      <c r="T24" s="1118" t="s">
        <v>1357</v>
      </c>
      <c r="U24" s="1119">
        <f>H24</f>
        <v>100</v>
      </c>
      <c r="V24" s="1118" t="s">
        <v>1357</v>
      </c>
      <c r="W24" s="1119">
        <f>J24</f>
        <v>100</v>
      </c>
      <c r="X24" s="1113"/>
      <c r="Y24" s="341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3"/>
      <c r="Q25" s="790">
        <f t="shared" si="11"/>
        <v>111</v>
      </c>
      <c r="R25" s="1114" t="s">
        <v>1357</v>
      </c>
      <c r="S25" s="1115">
        <f>F25</f>
        <v>100</v>
      </c>
      <c r="T25" s="1114" t="s">
        <v>1357</v>
      </c>
      <c r="U25" s="1115">
        <f>H25</f>
        <v>100</v>
      </c>
      <c r="V25" s="1114" t="s">
        <v>1357</v>
      </c>
      <c r="W25" s="1115">
        <f>J25</f>
        <v>100</v>
      </c>
      <c r="X25" s="1116"/>
      <c r="Y25" s="341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1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4"/>
      <c r="Q27" s="1308" t="str">
        <f t="shared" si="11"/>
        <v>成新率</v>
      </c>
      <c r="R27" s="1120" t="s">
        <v>1357</v>
      </c>
      <c r="S27" s="1121" t="e">
        <f t="shared" si="12"/>
        <v>#N/A</v>
      </c>
      <c r="T27" s="1120" t="s">
        <v>1357</v>
      </c>
      <c r="U27" s="1121" t="e">
        <f t="shared" si="13"/>
        <v>#N/A</v>
      </c>
      <c r="V27" s="1120" t="s">
        <v>1357</v>
      </c>
      <c r="W27" s="1121" t="e">
        <f t="shared" si="14"/>
        <v>#N/A</v>
      </c>
      <c r="X27" s="1122"/>
      <c r="Y27" s="341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4"/>
      <c r="Q28" s="621" t="str">
        <f t="shared" si="11"/>
        <v>物业等级</v>
      </c>
      <c r="R28" s="1118" t="s">
        <v>1357</v>
      </c>
      <c r="S28" s="1119">
        <f t="shared" si="12"/>
        <v>100</v>
      </c>
      <c r="T28" s="1118" t="s">
        <v>1357</v>
      </c>
      <c r="U28" s="1119">
        <f t="shared" si="13"/>
        <v>100</v>
      </c>
      <c r="V28" s="1118" t="s">
        <v>1357</v>
      </c>
      <c r="W28" s="1119">
        <f t="shared" si="14"/>
        <v>100</v>
      </c>
      <c r="X28" s="1113"/>
      <c r="Y28" s="341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4"/>
      <c r="Q29" s="621" t="str">
        <f t="shared" si="11"/>
        <v>有无电梯</v>
      </c>
      <c r="R29" s="1118" t="s">
        <v>1357</v>
      </c>
      <c r="S29" s="1119">
        <f t="shared" si="12"/>
        <v>100</v>
      </c>
      <c r="T29" s="1118" t="s">
        <v>1357</v>
      </c>
      <c r="U29" s="1119">
        <f t="shared" si="13"/>
        <v>100</v>
      </c>
      <c r="V29" s="1118" t="s">
        <v>1357</v>
      </c>
      <c r="W29" s="1119">
        <f t="shared" si="14"/>
        <v>100</v>
      </c>
      <c r="X29" s="1113"/>
      <c r="Y29" s="341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4"/>
      <c r="Q30" s="621" t="str">
        <f t="shared" si="11"/>
        <v>建筑面积</v>
      </c>
      <c r="R30" s="1118" t="s">
        <v>1357</v>
      </c>
      <c r="S30" s="1119" t="e">
        <f t="shared" si="12"/>
        <v>#N/A</v>
      </c>
      <c r="T30" s="1118" t="s">
        <v>1357</v>
      </c>
      <c r="U30" s="1119" t="e">
        <f t="shared" si="13"/>
        <v>#N/A</v>
      </c>
      <c r="V30" s="1118" t="s">
        <v>1357</v>
      </c>
      <c r="W30" s="1119" t="e">
        <f t="shared" si="14"/>
        <v>#N/A</v>
      </c>
      <c r="X30" s="1113"/>
      <c r="Y30" s="341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4"/>
      <c r="Q31" s="790" t="str">
        <f t="shared" si="11"/>
        <v>是否封闭</v>
      </c>
      <c r="R31" s="1114" t="s">
        <v>1357</v>
      </c>
      <c r="S31" s="1115">
        <f t="shared" si="12"/>
        <v>100</v>
      </c>
      <c r="T31" s="1114" t="s">
        <v>1357</v>
      </c>
      <c r="U31" s="1115">
        <f t="shared" si="13"/>
        <v>100</v>
      </c>
      <c r="V31" s="1114" t="s">
        <v>1357</v>
      </c>
      <c r="W31" s="1115">
        <f t="shared" si="14"/>
        <v>100</v>
      </c>
      <c r="X31" s="1116"/>
      <c r="Y31" s="341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4" t="s">
        <v>1383</v>
      </c>
      <c r="Q32" s="621">
        <f t="shared" si="11"/>
        <v>111</v>
      </c>
      <c r="R32" s="1118" t="s">
        <v>1357</v>
      </c>
      <c r="S32" s="1119">
        <f t="shared" si="12"/>
        <v>100</v>
      </c>
      <c r="T32" s="1118" t="s">
        <v>1357</v>
      </c>
      <c r="U32" s="1119">
        <f t="shared" si="13"/>
        <v>100</v>
      </c>
      <c r="V32" s="1118" t="s">
        <v>1357</v>
      </c>
      <c r="W32" s="1119">
        <f t="shared" si="14"/>
        <v>100</v>
      </c>
      <c r="X32" s="1113"/>
      <c r="Y32" s="341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4"/>
      <c r="Q33" s="621">
        <f t="shared" si="11"/>
        <v>111</v>
      </c>
      <c r="R33" s="1118" t="s">
        <v>1357</v>
      </c>
      <c r="S33" s="1119">
        <f t="shared" si="12"/>
        <v>100</v>
      </c>
      <c r="T33" s="1118" t="s">
        <v>1357</v>
      </c>
      <c r="U33" s="1119">
        <f t="shared" si="13"/>
        <v>100</v>
      </c>
      <c r="V33" s="1118" t="s">
        <v>1357</v>
      </c>
      <c r="W33" s="1119">
        <f t="shared" si="14"/>
        <v>100</v>
      </c>
      <c r="X33" s="1113"/>
      <c r="Y33" s="341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4"/>
      <c r="Q34" s="621">
        <f t="shared" si="11"/>
        <v>111</v>
      </c>
      <c r="R34" s="1118" t="s">
        <v>1357</v>
      </c>
      <c r="S34" s="1119">
        <f t="shared" si="12"/>
        <v>100</v>
      </c>
      <c r="T34" s="1118" t="s">
        <v>1357</v>
      </c>
      <c r="U34" s="1119">
        <f t="shared" si="13"/>
        <v>100</v>
      </c>
      <c r="V34" s="1118" t="s">
        <v>1357</v>
      </c>
      <c r="W34" s="1119">
        <f t="shared" si="14"/>
        <v>100</v>
      </c>
      <c r="X34" s="1113"/>
      <c r="Y34" s="341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05" t="str">
        <f>A35</f>
        <v>成交单价（元/平方米）</v>
      </c>
      <c r="Q35" s="3405"/>
      <c r="R35" s="3406">
        <f>E35</f>
        <v>0</v>
      </c>
      <c r="S35" s="3406"/>
      <c r="T35" s="3406">
        <f>G35</f>
        <v>0</v>
      </c>
      <c r="U35" s="3406"/>
      <c r="V35" s="3406">
        <f>I35</f>
        <v>0</v>
      </c>
      <c r="W35" s="3406"/>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41" t="str">
        <f>A37</f>
        <v>估价对象XX用房的比较价值（楼面单价，元/平方米）</v>
      </c>
      <c r="Q37" s="3442"/>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1360</v>
      </c>
      <c r="Q8" s="3403"/>
      <c r="R8" s="1114" t="s">
        <v>1357</v>
      </c>
      <c r="S8" s="1115">
        <f t="shared" si="0"/>
        <v>0</v>
      </c>
      <c r="T8" s="1114" t="s">
        <v>1357</v>
      </c>
      <c r="U8" s="1115">
        <f t="shared" si="1"/>
        <v>0</v>
      </c>
      <c r="V8" s="1114" t="s">
        <v>1357</v>
      </c>
      <c r="W8" s="1115">
        <f t="shared" si="2"/>
        <v>0</v>
      </c>
      <c r="X8" s="1116"/>
      <c r="Y8" s="3402" t="s">
        <v>1360</v>
      </c>
      <c r="Z8" s="3403"/>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5"/>
      <c r="Q10" s="790" t="str">
        <f t="shared" si="6"/>
        <v>土地使用年限（年）</v>
      </c>
      <c r="R10" s="1114" t="s">
        <v>1357</v>
      </c>
      <c r="S10" s="1115">
        <f t="shared" si="0"/>
        <v>116</v>
      </c>
      <c r="T10" s="1114" t="s">
        <v>1357</v>
      </c>
      <c r="U10" s="1115">
        <f t="shared" si="1"/>
        <v>116</v>
      </c>
      <c r="V10" s="1114" t="s">
        <v>1357</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5"/>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5"/>
      <c r="Q12" s="790" t="str">
        <f t="shared" si="6"/>
        <v>配建</v>
      </c>
      <c r="R12" s="1114" t="s">
        <v>1357</v>
      </c>
      <c r="S12" s="1115">
        <f t="shared" si="0"/>
        <v>100</v>
      </c>
      <c r="T12" s="1114" t="s">
        <v>1357</v>
      </c>
      <c r="U12" s="1115">
        <f t="shared" si="1"/>
        <v>100</v>
      </c>
      <c r="V12" s="1114" t="s">
        <v>1357</v>
      </c>
      <c r="W12" s="1115">
        <f t="shared" si="2"/>
        <v>100</v>
      </c>
      <c r="X12" s="1116"/>
      <c r="Y12" s="337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2" t="s">
        <v>1369</v>
      </c>
      <c r="Q15" s="621" t="str">
        <f t="shared" si="6"/>
        <v>居住社区成熟度</v>
      </c>
      <c r="R15" s="1118" t="s">
        <v>1357</v>
      </c>
      <c r="S15" s="1119">
        <f t="shared" si="0"/>
        <v>100</v>
      </c>
      <c r="T15" s="1118" t="s">
        <v>1357</v>
      </c>
      <c r="U15" s="1119">
        <f t="shared" si="1"/>
        <v>100</v>
      </c>
      <c r="V15" s="1118" t="s">
        <v>1357</v>
      </c>
      <c r="W15" s="1119">
        <f t="shared" si="2"/>
        <v>100</v>
      </c>
      <c r="X15" s="1113"/>
      <c r="Y15" s="341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1234" t="s">
        <v>1604</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3"/>
      <c r="Q17" s="621" t="str">
        <f>B17</f>
        <v>商业繁华度</v>
      </c>
      <c r="R17" s="1118" t="s">
        <v>1357</v>
      </c>
      <c r="S17" s="1119">
        <f>F17</f>
        <v>100</v>
      </c>
      <c r="T17" s="1118" t="s">
        <v>1357</v>
      </c>
      <c r="U17" s="1119">
        <f>H17</f>
        <v>100</v>
      </c>
      <c r="V17" s="1118" t="s">
        <v>1357</v>
      </c>
      <c r="W17" s="1119">
        <f>J17</f>
        <v>100</v>
      </c>
      <c r="X17" s="1113"/>
      <c r="Y17" s="341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3"/>
      <c r="Q19" s="621" t="str">
        <f>B19</f>
        <v>办公集聚程度</v>
      </c>
      <c r="R19" s="1118" t="s">
        <v>1357</v>
      </c>
      <c r="S19" s="1119">
        <f>F19</f>
        <v>100</v>
      </c>
      <c r="T19" s="1118" t="s">
        <v>1357</v>
      </c>
      <c r="U19" s="1119">
        <f>H19</f>
        <v>100</v>
      </c>
      <c r="V19" s="1118" t="s">
        <v>1357</v>
      </c>
      <c r="W19" s="1119">
        <f>J19</f>
        <v>100</v>
      </c>
      <c r="X19" s="1113"/>
      <c r="Y19" s="341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3"/>
      <c r="Q20" s="621"/>
      <c r="R20" s="1118"/>
      <c r="S20" s="1119"/>
      <c r="T20" s="1118"/>
      <c r="U20" s="1119"/>
      <c r="V20" s="1118"/>
      <c r="W20" s="1119"/>
      <c r="X20" s="1113"/>
      <c r="Y20" s="341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3"/>
      <c r="Q21" s="621" t="str">
        <f>B21</f>
        <v>交通便捷度</v>
      </c>
      <c r="R21" s="1118" t="s">
        <v>1357</v>
      </c>
      <c r="S21" s="1119">
        <f>F21</f>
        <v>100</v>
      </c>
      <c r="T21" s="1118" t="s">
        <v>1357</v>
      </c>
      <c r="U21" s="1119">
        <f>H21</f>
        <v>100</v>
      </c>
      <c r="V21" s="1118" t="s">
        <v>1357</v>
      </c>
      <c r="W21" s="1119">
        <f>J21</f>
        <v>100</v>
      </c>
      <c r="X21" s="1113"/>
      <c r="Y21" s="341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3"/>
      <c r="Q23" s="621" t="str">
        <f t="shared" ref="Q23:Q38" si="8">B23</f>
        <v>区域土地利用方向</v>
      </c>
      <c r="R23" s="1118" t="s">
        <v>1357</v>
      </c>
      <c r="S23" s="1119">
        <f>F23</f>
        <v>100</v>
      </c>
      <c r="T23" s="1118" t="s">
        <v>1357</v>
      </c>
      <c r="U23" s="1119">
        <f>H23</f>
        <v>100</v>
      </c>
      <c r="V23" s="1118" t="s">
        <v>1357</v>
      </c>
      <c r="W23" s="1119">
        <f>J23</f>
        <v>100</v>
      </c>
      <c r="X23" s="1113"/>
      <c r="Y23" s="341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3"/>
      <c r="Q24" s="621"/>
      <c r="R24" s="1118"/>
      <c r="S24" s="1119"/>
      <c r="T24" s="1118"/>
      <c r="U24" s="1119"/>
      <c r="V24" s="1118"/>
      <c r="W24" s="1119"/>
      <c r="X24" s="1113"/>
      <c r="Y24" s="341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3"/>
      <c r="Q25" s="621" t="str">
        <f t="shared" si="8"/>
        <v>自然及人文环境状况</v>
      </c>
      <c r="R25" s="1118" t="s">
        <v>1357</v>
      </c>
      <c r="S25" s="1119">
        <f>F25</f>
        <v>100</v>
      </c>
      <c r="T25" s="1118" t="s">
        <v>1357</v>
      </c>
      <c r="U25" s="1119">
        <f>H25</f>
        <v>100</v>
      </c>
      <c r="V25" s="1118" t="s">
        <v>1357</v>
      </c>
      <c r="W25" s="1119">
        <f>J25</f>
        <v>100</v>
      </c>
      <c r="X25" s="1113"/>
      <c r="Y25" s="341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3"/>
      <c r="Q26" s="621"/>
      <c r="R26" s="1118"/>
      <c r="S26" s="1119"/>
      <c r="T26" s="1118"/>
      <c r="U26" s="1119"/>
      <c r="V26" s="1118"/>
      <c r="W26" s="1119"/>
      <c r="X26" s="1113"/>
      <c r="Y26" s="341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3"/>
      <c r="Q27" s="790" t="str">
        <f t="shared" si="8"/>
        <v>公共配套设施</v>
      </c>
      <c r="R27" s="1114" t="s">
        <v>1357</v>
      </c>
      <c r="S27" s="1115">
        <f>F27</f>
        <v>100</v>
      </c>
      <c r="T27" s="1114" t="s">
        <v>1357</v>
      </c>
      <c r="U27" s="1115">
        <f>H27</f>
        <v>100</v>
      </c>
      <c r="V27" s="1114" t="s">
        <v>1357</v>
      </c>
      <c r="W27" s="1115">
        <f>J27</f>
        <v>100</v>
      </c>
      <c r="X27" s="1116"/>
      <c r="Y27" s="341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3"/>
      <c r="Q28" s="790"/>
      <c r="R28" s="1114"/>
      <c r="S28" s="1115"/>
      <c r="T28" s="1114"/>
      <c r="U28" s="1115"/>
      <c r="V28" s="1114"/>
      <c r="W28" s="1115"/>
      <c r="X28" s="1116"/>
      <c r="Y28" s="341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3"/>
      <c r="Q29" s="790" t="str">
        <f t="shared" ref="Q29" si="9">B29</f>
        <v>基础设施水平</v>
      </c>
      <c r="R29" s="1114" t="s">
        <v>1357</v>
      </c>
      <c r="S29" s="1115">
        <f>F29</f>
        <v>100</v>
      </c>
      <c r="T29" s="1114" t="s">
        <v>1357</v>
      </c>
      <c r="U29" s="1115">
        <f>H29</f>
        <v>100</v>
      </c>
      <c r="V29" s="1114" t="s">
        <v>1357</v>
      </c>
      <c r="W29" s="1115">
        <f>J29</f>
        <v>100</v>
      </c>
      <c r="X29" s="1116"/>
      <c r="Y29" s="341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3"/>
      <c r="Q30" s="790"/>
      <c r="R30" s="1114"/>
      <c r="S30" s="1115"/>
      <c r="T30" s="1114"/>
      <c r="U30" s="1115"/>
      <c r="V30" s="1114"/>
      <c r="W30" s="1115"/>
      <c r="X30" s="1116"/>
      <c r="Y30" s="341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1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3"/>
      <c r="Q32" s="621" t="str">
        <f t="shared" si="8"/>
        <v>毗邻道路的类型与等级</v>
      </c>
      <c r="R32" s="1118" t="s">
        <v>1357</v>
      </c>
      <c r="S32" s="1119">
        <f t="shared" si="10"/>
        <v>100</v>
      </c>
      <c r="T32" s="1118" t="s">
        <v>1357</v>
      </c>
      <c r="U32" s="1119">
        <f t="shared" si="11"/>
        <v>100</v>
      </c>
      <c r="V32" s="1118" t="s">
        <v>1357</v>
      </c>
      <c r="W32" s="1119">
        <f t="shared" si="12"/>
        <v>100</v>
      </c>
      <c r="X32" s="1113"/>
      <c r="Y32" s="341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3"/>
      <c r="Q33" s="621"/>
      <c r="R33" s="1118"/>
      <c r="S33" s="1119"/>
      <c r="T33" s="1118"/>
      <c r="U33" s="1119"/>
      <c r="V33" s="1118"/>
      <c r="W33" s="1119"/>
      <c r="X33" s="1113"/>
      <c r="Y33" s="341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3"/>
      <c r="Q34" s="621" t="str">
        <f t="shared" si="8"/>
        <v>土地级别</v>
      </c>
      <c r="R34" s="1118" t="s">
        <v>1357</v>
      </c>
      <c r="S34" s="1119">
        <f t="shared" si="10"/>
        <v>100</v>
      </c>
      <c r="T34" s="1118" t="s">
        <v>1357</v>
      </c>
      <c r="U34" s="1119">
        <f t="shared" si="11"/>
        <v>100</v>
      </c>
      <c r="V34" s="1118" t="s">
        <v>1357</v>
      </c>
      <c r="W34" s="1119">
        <f t="shared" si="12"/>
        <v>100</v>
      </c>
      <c r="X34" s="1113"/>
      <c r="Y34" s="341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3"/>
      <c r="Q35" s="621">
        <f t="shared" si="8"/>
        <v>111</v>
      </c>
      <c r="R35" s="1118" t="s">
        <v>1357</v>
      </c>
      <c r="S35" s="1119">
        <f t="shared" si="10"/>
        <v>100</v>
      </c>
      <c r="T35" s="1118" t="s">
        <v>1357</v>
      </c>
      <c r="U35" s="1119">
        <f t="shared" si="11"/>
        <v>100</v>
      </c>
      <c r="V35" s="1118" t="s">
        <v>1357</v>
      </c>
      <c r="W35" s="1119">
        <f t="shared" si="12"/>
        <v>100</v>
      </c>
      <c r="X35" s="1113"/>
      <c r="Y35" s="341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1383</v>
      </c>
      <c r="Q36" s="621">
        <f t="shared" si="8"/>
        <v>111</v>
      </c>
      <c r="R36" s="1118" t="s">
        <v>1357</v>
      </c>
      <c r="S36" s="1119">
        <f t="shared" si="10"/>
        <v>100</v>
      </c>
      <c r="T36" s="1118" t="s">
        <v>1357</v>
      </c>
      <c r="U36" s="1119">
        <f t="shared" si="11"/>
        <v>100</v>
      </c>
      <c r="V36" s="1118" t="s">
        <v>1357</v>
      </c>
      <c r="W36" s="1119">
        <f t="shared" si="12"/>
        <v>100</v>
      </c>
      <c r="X36" s="1113"/>
      <c r="Y36" s="341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4"/>
      <c r="Q37" s="621">
        <f t="shared" si="8"/>
        <v>111</v>
      </c>
      <c r="R37" s="1120" t="s">
        <v>1357</v>
      </c>
      <c r="S37" s="1121">
        <f t="shared" si="10"/>
        <v>100</v>
      </c>
      <c r="T37" s="1120" t="s">
        <v>1357</v>
      </c>
      <c r="U37" s="1121">
        <f t="shared" si="11"/>
        <v>100</v>
      </c>
      <c r="V37" s="1120" t="s">
        <v>1357</v>
      </c>
      <c r="W37" s="1121">
        <f t="shared" si="12"/>
        <v>100</v>
      </c>
      <c r="X37" s="1122"/>
      <c r="Y37" s="341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4"/>
      <c r="Q38" s="621" t="str">
        <f t="shared" si="8"/>
        <v>宗地面积</v>
      </c>
      <c r="R38" s="1118" t="s">
        <v>1357</v>
      </c>
      <c r="S38" s="1119" t="e">
        <f t="shared" si="10"/>
        <v>#N/A</v>
      </c>
      <c r="T38" s="1118" t="s">
        <v>1357</v>
      </c>
      <c r="U38" s="1119" t="e">
        <f t="shared" si="11"/>
        <v>#N/A</v>
      </c>
      <c r="V38" s="1118" t="s">
        <v>1357</v>
      </c>
      <c r="W38" s="1119" t="e">
        <f t="shared" si="12"/>
        <v>#N/A</v>
      </c>
      <c r="X38" s="1113"/>
      <c r="Y38" s="341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4"/>
      <c r="Q39" s="621" t="str">
        <f t="shared" ref="Q39:Q45" si="14">B39</f>
        <v>宗地形状</v>
      </c>
      <c r="R39" s="1118" t="s">
        <v>1357</v>
      </c>
      <c r="S39" s="1119">
        <f t="shared" si="10"/>
        <v>100</v>
      </c>
      <c r="T39" s="1118" t="s">
        <v>1357</v>
      </c>
      <c r="U39" s="1119">
        <f t="shared" si="11"/>
        <v>100</v>
      </c>
      <c r="V39" s="1118" t="s">
        <v>1357</v>
      </c>
      <c r="W39" s="1119">
        <f t="shared" si="12"/>
        <v>100</v>
      </c>
      <c r="X39" s="1113"/>
      <c r="Y39" s="341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4"/>
      <c r="Q40" s="621" t="str">
        <f t="shared" si="14"/>
        <v>临街宽度及深度</v>
      </c>
      <c r="R40" s="1118" t="s">
        <v>1357</v>
      </c>
      <c r="S40" s="1119">
        <f t="shared" si="10"/>
        <v>100</v>
      </c>
      <c r="T40" s="1118" t="s">
        <v>1357</v>
      </c>
      <c r="U40" s="1119">
        <f t="shared" si="11"/>
        <v>100</v>
      </c>
      <c r="V40" s="1118" t="s">
        <v>1357</v>
      </c>
      <c r="W40" s="1119">
        <f t="shared" si="12"/>
        <v>100</v>
      </c>
      <c r="X40" s="1113"/>
      <c r="Y40" s="341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4"/>
      <c r="Q41" s="621" t="str">
        <f t="shared" si="14"/>
        <v>宗地开发程度</v>
      </c>
      <c r="R41" s="1114" t="s">
        <v>1357</v>
      </c>
      <c r="S41" s="1115">
        <f t="shared" si="10"/>
        <v>100</v>
      </c>
      <c r="T41" s="1114" t="s">
        <v>1357</v>
      </c>
      <c r="U41" s="1115">
        <f t="shared" si="11"/>
        <v>100</v>
      </c>
      <c r="V41" s="1114" t="s">
        <v>1357</v>
      </c>
      <c r="W41" s="1115">
        <f t="shared" si="12"/>
        <v>100</v>
      </c>
      <c r="X41" s="1116"/>
      <c r="Y41" s="341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4" t="s">
        <v>1383</v>
      </c>
      <c r="Q42" s="621" t="str">
        <f t="shared" si="14"/>
        <v>工程地质条件</v>
      </c>
      <c r="R42" s="1118" t="s">
        <v>1357</v>
      </c>
      <c r="S42" s="1119">
        <f t="shared" si="10"/>
        <v>100</v>
      </c>
      <c r="T42" s="1118" t="s">
        <v>1357</v>
      </c>
      <c r="U42" s="1119">
        <f t="shared" si="11"/>
        <v>100</v>
      </c>
      <c r="V42" s="1118" t="s">
        <v>1357</v>
      </c>
      <c r="W42" s="1119">
        <f t="shared" si="12"/>
        <v>100</v>
      </c>
      <c r="X42" s="1113"/>
      <c r="Y42" s="341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4"/>
      <c r="Q43" s="621">
        <f t="shared" si="14"/>
        <v>111</v>
      </c>
      <c r="R43" s="1118" t="s">
        <v>1357</v>
      </c>
      <c r="S43" s="1119">
        <f t="shared" si="10"/>
        <v>100</v>
      </c>
      <c r="T43" s="1118" t="s">
        <v>1357</v>
      </c>
      <c r="U43" s="1119">
        <f t="shared" si="11"/>
        <v>100</v>
      </c>
      <c r="V43" s="1118" t="s">
        <v>1357</v>
      </c>
      <c r="W43" s="1119">
        <f t="shared" si="12"/>
        <v>100</v>
      </c>
      <c r="X43" s="1113"/>
      <c r="Y43" s="341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4"/>
      <c r="Q44" s="621">
        <f t="shared" si="14"/>
        <v>111</v>
      </c>
      <c r="R44" s="1118" t="s">
        <v>1357</v>
      </c>
      <c r="S44" s="1119">
        <f t="shared" si="10"/>
        <v>100</v>
      </c>
      <c r="T44" s="1118" t="s">
        <v>1357</v>
      </c>
      <c r="U44" s="1119">
        <f t="shared" si="11"/>
        <v>100</v>
      </c>
      <c r="V44" s="1118" t="s">
        <v>1357</v>
      </c>
      <c r="W44" s="1119">
        <f t="shared" si="12"/>
        <v>100</v>
      </c>
      <c r="X44" s="1113"/>
      <c r="Y44" s="341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4"/>
      <c r="Q45" s="621">
        <f t="shared" si="14"/>
        <v>111</v>
      </c>
      <c r="R45" s="1120" t="s">
        <v>1357</v>
      </c>
      <c r="S45" s="1121">
        <f t="shared" si="10"/>
        <v>100</v>
      </c>
      <c r="T45" s="1120" t="s">
        <v>1357</v>
      </c>
      <c r="U45" s="1121">
        <f t="shared" si="11"/>
        <v>100</v>
      </c>
      <c r="V45" s="1120" t="s">
        <v>1357</v>
      </c>
      <c r="W45" s="1121">
        <f t="shared" si="12"/>
        <v>100</v>
      </c>
      <c r="X45" s="1122"/>
      <c r="Y45" s="341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05" t="str">
        <f>A46</f>
        <v>成交单价</v>
      </c>
      <c r="Q46" s="3405"/>
      <c r="R46" s="3406">
        <f>E46</f>
        <v>0</v>
      </c>
      <c r="S46" s="3406"/>
      <c r="T46" s="3406">
        <f>G46</f>
        <v>0</v>
      </c>
      <c r="U46" s="3406"/>
      <c r="V46" s="3406">
        <f>I46</f>
        <v>0</v>
      </c>
      <c r="W46" s="3406"/>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05" t="str">
        <f>A47</f>
        <v>比较价值（元/平方米）</v>
      </c>
      <c r="Q47" s="3405"/>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41" t="str">
        <f>A48</f>
        <v>估价对象XX用房的比较价值（楼面单价，元/平方米）</v>
      </c>
      <c r="Q48" s="3442"/>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390" t="s">
        <v>1672</v>
      </c>
      <c r="H55" s="3481"/>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885.63</v>
      </c>
      <c r="F56" s="1242" t="e">
        <f t="shared" ref="F56:F64" si="15">ROUND(B56*E56/10000,0)</f>
        <v>#DIV/0!</v>
      </c>
      <c r="G56" s="3404"/>
      <c r="H56" s="3405"/>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484" t="s">
        <v>1696</v>
      </c>
      <c r="D6" s="3485"/>
      <c r="E6" s="3486" t="s">
        <v>1696</v>
      </c>
      <c r="F6" s="3487"/>
      <c r="G6" s="3484" t="s">
        <v>1696</v>
      </c>
      <c r="H6" s="3485"/>
      <c r="I6" s="3484" t="s">
        <v>1696</v>
      </c>
      <c r="J6" s="3485"/>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1360</v>
      </c>
      <c r="Q8" s="3403"/>
      <c r="R8" s="1114" t="s">
        <v>1357</v>
      </c>
      <c r="S8" s="1115">
        <f t="shared" si="0"/>
        <v>0</v>
      </c>
      <c r="T8" s="1114" t="s">
        <v>1357</v>
      </c>
      <c r="U8" s="1115">
        <f t="shared" si="1"/>
        <v>0</v>
      </c>
      <c r="V8" s="1114" t="s">
        <v>1357</v>
      </c>
      <c r="W8" s="1115">
        <f t="shared" si="2"/>
        <v>0</v>
      </c>
      <c r="X8" s="1116"/>
      <c r="Y8" s="3402" t="s">
        <v>1360</v>
      </c>
      <c r="Z8" s="3403"/>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5"/>
      <c r="Q10" s="790" t="str">
        <f t="shared" si="6"/>
        <v>土地使用年限（年）</v>
      </c>
      <c r="R10" s="1114" t="s">
        <v>1357</v>
      </c>
      <c r="S10" s="1115">
        <f t="shared" si="0"/>
        <v>116</v>
      </c>
      <c r="T10" s="1114" t="s">
        <v>1357</v>
      </c>
      <c r="U10" s="1115">
        <f t="shared" si="1"/>
        <v>116</v>
      </c>
      <c r="V10" s="1114" t="s">
        <v>1357</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5"/>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2" t="s">
        <v>1369</v>
      </c>
      <c r="Q15" s="621" t="str">
        <f t="shared" si="6"/>
        <v>产业集聚程度</v>
      </c>
      <c r="R15" s="1118" t="s">
        <v>1357</v>
      </c>
      <c r="S15" s="1119">
        <f t="shared" si="0"/>
        <v>100</v>
      </c>
      <c r="T15" s="1118" t="s">
        <v>1357</v>
      </c>
      <c r="U15" s="1119">
        <f t="shared" si="1"/>
        <v>100</v>
      </c>
      <c r="V15" s="1118" t="s">
        <v>1357</v>
      </c>
      <c r="W15" s="1119">
        <f t="shared" si="2"/>
        <v>100</v>
      </c>
      <c r="X15" s="1113"/>
      <c r="Y15" s="341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3"/>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3"/>
      <c r="Q19" s="621" t="str">
        <f t="shared" ref="Q19:Q34" si="8">B19</f>
        <v>区域土地利用方向</v>
      </c>
      <c r="R19" s="1118" t="s">
        <v>1357</v>
      </c>
      <c r="S19" s="1119">
        <f>F19</f>
        <v>100</v>
      </c>
      <c r="T19" s="1118" t="s">
        <v>1357</v>
      </c>
      <c r="U19" s="1119">
        <f>H19</f>
        <v>100</v>
      </c>
      <c r="V19" s="1118" t="s">
        <v>1357</v>
      </c>
      <c r="W19" s="1119">
        <f>J19</f>
        <v>100</v>
      </c>
      <c r="X19" s="1113"/>
      <c r="Y19" s="341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3"/>
      <c r="Q20" s="621"/>
      <c r="R20" s="1118"/>
      <c r="S20" s="1119"/>
      <c r="T20" s="1118"/>
      <c r="U20" s="1119"/>
      <c r="V20" s="1118"/>
      <c r="W20" s="1119"/>
      <c r="X20" s="1113"/>
      <c r="Y20" s="341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3"/>
      <c r="Q21" s="621" t="str">
        <f t="shared" si="8"/>
        <v>环境状况</v>
      </c>
      <c r="R21" s="1118" t="s">
        <v>1357</v>
      </c>
      <c r="S21" s="1119">
        <f>F21</f>
        <v>100</v>
      </c>
      <c r="T21" s="1118" t="s">
        <v>1357</v>
      </c>
      <c r="U21" s="1119">
        <f>H21</f>
        <v>100</v>
      </c>
      <c r="V21" s="1118" t="s">
        <v>1357</v>
      </c>
      <c r="W21" s="1119">
        <f>J21</f>
        <v>100</v>
      </c>
      <c r="X21" s="1113"/>
      <c r="Y21" s="341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3"/>
      <c r="Q23" s="790" t="str">
        <f t="shared" si="8"/>
        <v>公共配套设施</v>
      </c>
      <c r="R23" s="1114" t="s">
        <v>1357</v>
      </c>
      <c r="S23" s="1115">
        <f>F23</f>
        <v>100</v>
      </c>
      <c r="T23" s="1114" t="s">
        <v>1357</v>
      </c>
      <c r="U23" s="1115">
        <f>H23</f>
        <v>100</v>
      </c>
      <c r="V23" s="1114" t="s">
        <v>1357</v>
      </c>
      <c r="W23" s="1115">
        <f>J23</f>
        <v>100</v>
      </c>
      <c r="X23" s="1116"/>
      <c r="Y23" s="341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3"/>
      <c r="Q24" s="790"/>
      <c r="R24" s="1114"/>
      <c r="S24" s="1115"/>
      <c r="T24" s="1114"/>
      <c r="U24" s="1115"/>
      <c r="V24" s="1114"/>
      <c r="W24" s="1115"/>
      <c r="X24" s="1116"/>
      <c r="Y24" s="341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3"/>
      <c r="Q25" s="790" t="str">
        <f t="shared" ref="Q25" si="9">B25</f>
        <v>基础设施水平</v>
      </c>
      <c r="R25" s="1114" t="s">
        <v>1357</v>
      </c>
      <c r="S25" s="1115">
        <f>F25</f>
        <v>100</v>
      </c>
      <c r="T25" s="1114" t="s">
        <v>1357</v>
      </c>
      <c r="U25" s="1115">
        <f>H25</f>
        <v>100</v>
      </c>
      <c r="V25" s="1114" t="s">
        <v>1357</v>
      </c>
      <c r="W25" s="1115">
        <f>J25</f>
        <v>100</v>
      </c>
      <c r="X25" s="1116"/>
      <c r="Y25" s="341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3"/>
      <c r="Q26" s="790"/>
      <c r="R26" s="1114"/>
      <c r="S26" s="1115"/>
      <c r="T26" s="1114"/>
      <c r="U26" s="1115"/>
      <c r="V26" s="1114"/>
      <c r="W26" s="1115"/>
      <c r="X26" s="1116"/>
      <c r="Y26" s="341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1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3"/>
      <c r="Q28" s="621" t="str">
        <f t="shared" si="8"/>
        <v>毗邻道路的类型与等级</v>
      </c>
      <c r="R28" s="1118" t="s">
        <v>1357</v>
      </c>
      <c r="S28" s="1119">
        <f t="shared" si="10"/>
        <v>100</v>
      </c>
      <c r="T28" s="1118" t="s">
        <v>1357</v>
      </c>
      <c r="U28" s="1119">
        <f t="shared" si="11"/>
        <v>100</v>
      </c>
      <c r="V28" s="1118" t="s">
        <v>1357</v>
      </c>
      <c r="W28" s="1119">
        <f t="shared" si="12"/>
        <v>100</v>
      </c>
      <c r="X28" s="1113"/>
      <c r="Y28" s="341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3"/>
      <c r="Q29" s="621"/>
      <c r="R29" s="1118"/>
      <c r="S29" s="1119"/>
      <c r="T29" s="1118"/>
      <c r="U29" s="1119"/>
      <c r="V29" s="1118"/>
      <c r="W29" s="1119"/>
      <c r="X29" s="1113"/>
      <c r="Y29" s="341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3"/>
      <c r="Q30" s="621" t="str">
        <f t="shared" si="8"/>
        <v>土地级别</v>
      </c>
      <c r="R30" s="1118" t="s">
        <v>1357</v>
      </c>
      <c r="S30" s="1119">
        <f t="shared" si="10"/>
        <v>100</v>
      </c>
      <c r="T30" s="1118" t="s">
        <v>1357</v>
      </c>
      <c r="U30" s="1119">
        <f t="shared" si="11"/>
        <v>100</v>
      </c>
      <c r="V30" s="1118" t="s">
        <v>1357</v>
      </c>
      <c r="W30" s="1119">
        <f t="shared" si="12"/>
        <v>100</v>
      </c>
      <c r="X30" s="1113"/>
      <c r="Y30" s="341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3"/>
      <c r="Q31" s="621">
        <f t="shared" si="8"/>
        <v>111</v>
      </c>
      <c r="R31" s="1118" t="s">
        <v>1357</v>
      </c>
      <c r="S31" s="1119">
        <f t="shared" si="10"/>
        <v>100</v>
      </c>
      <c r="T31" s="1118" t="s">
        <v>1357</v>
      </c>
      <c r="U31" s="1119">
        <f t="shared" si="11"/>
        <v>100</v>
      </c>
      <c r="V31" s="1118" t="s">
        <v>1357</v>
      </c>
      <c r="W31" s="1119">
        <f t="shared" si="12"/>
        <v>100</v>
      </c>
      <c r="X31" s="1113"/>
      <c r="Y31" s="341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1383</v>
      </c>
      <c r="Q32" s="621">
        <f t="shared" si="8"/>
        <v>111</v>
      </c>
      <c r="R32" s="1118" t="s">
        <v>1357</v>
      </c>
      <c r="S32" s="1119">
        <f t="shared" si="10"/>
        <v>100</v>
      </c>
      <c r="T32" s="1118" t="s">
        <v>1357</v>
      </c>
      <c r="U32" s="1119">
        <f t="shared" si="11"/>
        <v>100</v>
      </c>
      <c r="V32" s="1118" t="s">
        <v>1357</v>
      </c>
      <c r="W32" s="1119">
        <f t="shared" si="12"/>
        <v>100</v>
      </c>
      <c r="X32" s="1113"/>
      <c r="Y32" s="341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4"/>
      <c r="Q33" s="621">
        <f t="shared" si="8"/>
        <v>111</v>
      </c>
      <c r="R33" s="1120" t="s">
        <v>1357</v>
      </c>
      <c r="S33" s="1121">
        <f t="shared" si="10"/>
        <v>100</v>
      </c>
      <c r="T33" s="1120" t="s">
        <v>1357</v>
      </c>
      <c r="U33" s="1121">
        <f t="shared" si="11"/>
        <v>100</v>
      </c>
      <c r="V33" s="1120" t="s">
        <v>1357</v>
      </c>
      <c r="W33" s="1121">
        <f t="shared" si="12"/>
        <v>100</v>
      </c>
      <c r="X33" s="1122"/>
      <c r="Y33" s="341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4"/>
      <c r="Q34" s="621" t="str">
        <f t="shared" si="8"/>
        <v>宗地面积</v>
      </c>
      <c r="R34" s="1118" t="s">
        <v>1357</v>
      </c>
      <c r="S34" s="1119" t="e">
        <f t="shared" si="10"/>
        <v>#N/A</v>
      </c>
      <c r="T34" s="1118" t="s">
        <v>1357</v>
      </c>
      <c r="U34" s="1119" t="e">
        <f t="shared" si="11"/>
        <v>#N/A</v>
      </c>
      <c r="V34" s="1118" t="s">
        <v>1357</v>
      </c>
      <c r="W34" s="1119" t="e">
        <f t="shared" si="12"/>
        <v>#N/A</v>
      </c>
      <c r="X34" s="1113"/>
      <c r="Y34" s="341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4"/>
      <c r="Q35" s="621" t="str">
        <f t="shared" ref="Q35:Q40" si="14">B35</f>
        <v>宗地形状</v>
      </c>
      <c r="R35" s="1118" t="s">
        <v>1357</v>
      </c>
      <c r="S35" s="1119">
        <f t="shared" si="10"/>
        <v>100</v>
      </c>
      <c r="T35" s="1118" t="s">
        <v>1357</v>
      </c>
      <c r="U35" s="1119">
        <f t="shared" si="11"/>
        <v>100</v>
      </c>
      <c r="V35" s="1118" t="s">
        <v>1357</v>
      </c>
      <c r="W35" s="1119">
        <f t="shared" si="12"/>
        <v>100</v>
      </c>
      <c r="X35" s="1113"/>
      <c r="Y35" s="341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4"/>
      <c r="Q36" s="621" t="str">
        <f t="shared" si="14"/>
        <v>宗地开发程度</v>
      </c>
      <c r="R36" s="1114" t="s">
        <v>1357</v>
      </c>
      <c r="S36" s="1115">
        <f t="shared" si="10"/>
        <v>100</v>
      </c>
      <c r="T36" s="1114" t="s">
        <v>1357</v>
      </c>
      <c r="U36" s="1115">
        <f t="shared" si="11"/>
        <v>100</v>
      </c>
      <c r="V36" s="1114" t="s">
        <v>1357</v>
      </c>
      <c r="W36" s="1115">
        <f t="shared" si="12"/>
        <v>100</v>
      </c>
      <c r="X36" s="1116"/>
      <c r="Y36" s="341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4" t="s">
        <v>1383</v>
      </c>
      <c r="Q37" s="621" t="str">
        <f t="shared" si="14"/>
        <v>工程地质条件</v>
      </c>
      <c r="R37" s="1118" t="s">
        <v>1357</v>
      </c>
      <c r="S37" s="1119">
        <f t="shared" si="10"/>
        <v>100</v>
      </c>
      <c r="T37" s="1118" t="s">
        <v>1357</v>
      </c>
      <c r="U37" s="1119">
        <f t="shared" si="11"/>
        <v>100</v>
      </c>
      <c r="V37" s="1118" t="s">
        <v>1357</v>
      </c>
      <c r="W37" s="1119">
        <f t="shared" si="12"/>
        <v>100</v>
      </c>
      <c r="X37" s="1113"/>
      <c r="Y37" s="341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4"/>
      <c r="Q38" s="621">
        <f t="shared" si="14"/>
        <v>111</v>
      </c>
      <c r="R38" s="1118" t="s">
        <v>1357</v>
      </c>
      <c r="S38" s="1119">
        <f t="shared" si="10"/>
        <v>100</v>
      </c>
      <c r="T38" s="1118" t="s">
        <v>1357</v>
      </c>
      <c r="U38" s="1119">
        <f t="shared" si="11"/>
        <v>100</v>
      </c>
      <c r="V38" s="1118" t="s">
        <v>1357</v>
      </c>
      <c r="W38" s="1119">
        <f t="shared" si="12"/>
        <v>100</v>
      </c>
      <c r="X38" s="1113"/>
      <c r="Y38" s="341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4"/>
      <c r="Q39" s="621">
        <f t="shared" si="14"/>
        <v>111</v>
      </c>
      <c r="R39" s="1118" t="s">
        <v>1357</v>
      </c>
      <c r="S39" s="1119">
        <f t="shared" si="10"/>
        <v>100</v>
      </c>
      <c r="T39" s="1118" t="s">
        <v>1357</v>
      </c>
      <c r="U39" s="1119">
        <f t="shared" si="11"/>
        <v>100</v>
      </c>
      <c r="V39" s="1118" t="s">
        <v>1357</v>
      </c>
      <c r="W39" s="1119">
        <f t="shared" si="12"/>
        <v>100</v>
      </c>
      <c r="X39" s="1113"/>
      <c r="Y39" s="341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4"/>
      <c r="Q40" s="621">
        <f t="shared" si="14"/>
        <v>111</v>
      </c>
      <c r="R40" s="1120" t="s">
        <v>1357</v>
      </c>
      <c r="S40" s="1121">
        <f t="shared" si="10"/>
        <v>100</v>
      </c>
      <c r="T40" s="1120" t="s">
        <v>1357</v>
      </c>
      <c r="U40" s="1121">
        <f t="shared" si="11"/>
        <v>100</v>
      </c>
      <c r="V40" s="1120" t="s">
        <v>1357</v>
      </c>
      <c r="W40" s="1121">
        <f t="shared" si="12"/>
        <v>100</v>
      </c>
      <c r="X40" s="1122"/>
      <c r="Y40" s="341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05" t="str">
        <f>A41</f>
        <v>成交单价</v>
      </c>
      <c r="Q41" s="3405"/>
      <c r="R41" s="3406">
        <f>E41</f>
        <v>0</v>
      </c>
      <c r="S41" s="3406"/>
      <c r="T41" s="3406">
        <f>G41</f>
        <v>0</v>
      </c>
      <c r="U41" s="3406"/>
      <c r="V41" s="3406">
        <f>I41</f>
        <v>0</v>
      </c>
      <c r="W41" s="3406"/>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05" t="str">
        <f>A42</f>
        <v>比较价值（元/平方米）</v>
      </c>
      <c r="Q42" s="3405"/>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41" t="str">
        <f>A43</f>
        <v>估价对象XX用房的比较价值（楼面单价，元/平方米）</v>
      </c>
      <c r="Q43" s="3442"/>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390" t="s">
        <v>1672</v>
      </c>
      <c r="H50" s="3481"/>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885.63</v>
      </c>
      <c r="F51" s="1034" t="e">
        <f t="shared" ref="F51:F60" si="15">ROUND(B51*E51/10000,0)</f>
        <v>#DIV/0!</v>
      </c>
      <c r="G51" s="3404"/>
      <c r="H51" s="3405"/>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355.32</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82" t="s">
        <v>1715</v>
      </c>
    </row>
    <row r="43" spans="1:7" ht="13.5" customHeight="1">
      <c r="A43" s="386" t="s">
        <v>1007</v>
      </c>
      <c r="B43" s="359" t="s">
        <v>1045</v>
      </c>
      <c r="C43" s="388" t="e">
        <f ca="1">ROUND(IF('数据-取费表'!B22&lt;=1,C39*F22*'数据-取费表'!B20/2,C39*(POWER((1+F22),'数据-取费表'!B20/2)-1)),0)</f>
        <v>#N/A</v>
      </c>
      <c r="D43" s="388"/>
      <c r="E43" s="388"/>
      <c r="F43" s="389"/>
      <c r="G43" s="3383"/>
    </row>
    <row r="44" spans="1:7" ht="13.5" customHeight="1">
      <c r="A44" s="386" t="s">
        <v>1009</v>
      </c>
      <c r="B44" s="359" t="s">
        <v>1047</v>
      </c>
      <c r="C44" s="388">
        <f ca="1">ROUND(IF('数据-取费表'!B22&lt;=1,C40*F22*'数据-取费表'!B20/2,C40*(POWER((1+F22),'数据-取费表'!B20/2)-1)),4)</f>
        <v>5.9999999999999995E-4</v>
      </c>
      <c r="D44" s="388"/>
      <c r="E44" s="388"/>
      <c r="F44" s="389"/>
      <c r="G44" s="3384"/>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355.32</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1750</v>
      </c>
      <c r="X8" s="3493"/>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1799</v>
      </c>
      <c r="B20" s="586" t="s">
        <v>1800</v>
      </c>
      <c r="C20" s="587" t="e">
        <f>ROUND(IF(F21="与级别开发程度一致",0,(G21-E21)/C21),0)</f>
        <v>#DIV/0!</v>
      </c>
      <c r="D20" s="588" t="s">
        <v>1801</v>
      </c>
      <c r="E20" s="589"/>
      <c r="F20" s="3494" t="s">
        <v>1802</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45839</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355.32</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1902</v>
      </c>
      <c r="B103" s="3496"/>
      <c r="C103" s="3496"/>
      <c r="D103" s="3496"/>
      <c r="E103" s="3496"/>
      <c r="F103" s="3496"/>
      <c r="G103" s="3496"/>
      <c r="H103" s="3496"/>
      <c r="I103" s="3496"/>
      <c r="J103" s="3496"/>
      <c r="K103" s="847"/>
      <c r="L103" s="847"/>
      <c r="M103" s="847"/>
      <c r="N103" s="847"/>
    </row>
    <row r="104" spans="1:14">
      <c r="A104" s="3502" t="s">
        <v>1903</v>
      </c>
      <c r="B104" s="3502" t="s">
        <v>1904</v>
      </c>
      <c r="C104" s="849" t="s">
        <v>1905</v>
      </c>
      <c r="D104" s="850"/>
      <c r="E104" s="850"/>
      <c r="F104" s="850"/>
      <c r="G104" s="850"/>
      <c r="H104" s="850"/>
      <c r="I104" s="850"/>
      <c r="J104" s="869"/>
      <c r="K104" s="870"/>
      <c r="L104" s="870"/>
      <c r="M104" s="870"/>
      <c r="N104" s="870"/>
    </row>
    <row r="105" spans="1:14">
      <c r="A105" s="3502"/>
      <c r="B105" s="3502"/>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03"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1907</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07" t="s">
        <v>1922</v>
      </c>
      <c r="B20" s="3513" t="s">
        <v>1931</v>
      </c>
      <c r="C20" s="465" t="s">
        <v>1932</v>
      </c>
      <c r="D20" s="466"/>
      <c r="E20" s="467">
        <v>1</v>
      </c>
      <c r="F20" s="468" t="s">
        <v>1933</v>
      </c>
      <c r="G20" s="468"/>
    </row>
    <row r="21" spans="1:13" ht="19.5" customHeight="1">
      <c r="A21" s="3508"/>
      <c r="B21" s="3514"/>
      <c r="C21" s="469" t="s">
        <v>1934</v>
      </c>
      <c r="D21" s="470"/>
      <c r="E21" s="471">
        <v>1</v>
      </c>
      <c r="F21" s="468" t="s">
        <v>1935</v>
      </c>
      <c r="G21" s="468"/>
    </row>
    <row r="22" spans="1:13" ht="19.5" customHeight="1">
      <c r="A22" s="3508"/>
      <c r="B22" s="3514"/>
      <c r="C22" s="469" t="s">
        <v>1936</v>
      </c>
      <c r="D22" s="470"/>
      <c r="E22" s="471">
        <v>0.9</v>
      </c>
      <c r="F22" s="468" t="s">
        <v>1937</v>
      </c>
      <c r="G22" s="468"/>
    </row>
    <row r="23" spans="1:13" ht="19.5" customHeight="1">
      <c r="A23" s="3508"/>
      <c r="B23" s="3514"/>
      <c r="C23" s="469" t="s">
        <v>1938</v>
      </c>
      <c r="D23" s="470"/>
      <c r="E23" s="471">
        <v>0.9</v>
      </c>
      <c r="F23" s="468" t="s">
        <v>1939</v>
      </c>
      <c r="G23" s="468"/>
    </row>
    <row r="24" spans="1:13" ht="19.5" customHeight="1">
      <c r="A24" s="3508"/>
      <c r="B24" s="3514"/>
      <c r="C24" s="469" t="s">
        <v>1940</v>
      </c>
      <c r="D24" s="470"/>
      <c r="E24" s="471">
        <v>0.8</v>
      </c>
      <c r="F24" s="468" t="s">
        <v>1941</v>
      </c>
      <c r="G24" s="468"/>
    </row>
    <row r="25" spans="1:13" ht="19.5" customHeight="1">
      <c r="A25" s="3509"/>
      <c r="B25" s="3515"/>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10" t="s">
        <v>280</v>
      </c>
      <c r="B27" s="3513" t="s">
        <v>280</v>
      </c>
      <c r="C27" s="465" t="s">
        <v>1945</v>
      </c>
      <c r="D27" s="466"/>
      <c r="E27" s="467">
        <v>1</v>
      </c>
      <c r="F27" s="468" t="s">
        <v>1946</v>
      </c>
      <c r="G27" s="468"/>
    </row>
    <row r="28" spans="1:13" ht="19.5" customHeight="1">
      <c r="A28" s="3511"/>
      <c r="B28" s="3514"/>
      <c r="C28" s="469" t="s">
        <v>1947</v>
      </c>
      <c r="D28" s="470"/>
      <c r="E28" s="471">
        <v>1</v>
      </c>
      <c r="F28" s="468" t="s">
        <v>1948</v>
      </c>
      <c r="G28" s="468"/>
    </row>
    <row r="29" spans="1:13" ht="19.5" customHeight="1">
      <c r="A29" s="3511"/>
      <c r="B29" s="3514"/>
      <c r="C29" s="469" t="s">
        <v>1949</v>
      </c>
      <c r="D29" s="470"/>
      <c r="E29" s="471">
        <v>0.8</v>
      </c>
      <c r="F29" s="468" t="s">
        <v>1950</v>
      </c>
      <c r="G29" s="468"/>
    </row>
    <row r="30" spans="1:13" ht="19.5" customHeight="1">
      <c r="A30" s="3511"/>
      <c r="B30" s="3514"/>
      <c r="C30" s="469" t="s">
        <v>1951</v>
      </c>
      <c r="D30" s="470"/>
      <c r="E30" s="471">
        <v>0.8</v>
      </c>
      <c r="F30" s="468" t="s">
        <v>1952</v>
      </c>
      <c r="G30" s="468"/>
    </row>
    <row r="31" spans="1:13" ht="19.5" customHeight="1">
      <c r="A31" s="3511"/>
      <c r="B31" s="3514"/>
      <c r="C31" s="469" t="s">
        <v>1953</v>
      </c>
      <c r="D31" s="470"/>
      <c r="E31" s="471">
        <v>0.8</v>
      </c>
      <c r="F31" s="468" t="s">
        <v>1954</v>
      </c>
      <c r="G31" s="468"/>
    </row>
    <row r="32" spans="1:13" ht="19.5" customHeight="1">
      <c r="A32" s="3511"/>
      <c r="B32" s="3514"/>
      <c r="C32" s="469" t="s">
        <v>1955</v>
      </c>
      <c r="D32" s="470"/>
      <c r="E32" s="471">
        <v>0.7</v>
      </c>
      <c r="F32" s="468" t="s">
        <v>1956</v>
      </c>
      <c r="G32" s="468"/>
    </row>
    <row r="33" spans="1:7" ht="19.5" customHeight="1">
      <c r="A33" s="3511"/>
      <c r="B33" s="3514"/>
      <c r="C33" s="469" t="s">
        <v>1957</v>
      </c>
      <c r="D33" s="470"/>
      <c r="E33" s="471">
        <v>0.8</v>
      </c>
      <c r="F33" s="468" t="s">
        <v>1958</v>
      </c>
      <c r="G33" s="468"/>
    </row>
    <row r="34" spans="1:7" ht="19.5" customHeight="1">
      <c r="A34" s="3511"/>
      <c r="B34" s="3514"/>
      <c r="C34" s="469" t="s">
        <v>1959</v>
      </c>
      <c r="D34" s="470"/>
      <c r="E34" s="471">
        <v>0.6</v>
      </c>
      <c r="F34" s="468" t="s">
        <v>1960</v>
      </c>
      <c r="G34" s="468"/>
    </row>
    <row r="35" spans="1:7" ht="19.5" customHeight="1">
      <c r="A35" s="3511"/>
      <c r="B35" s="3514"/>
      <c r="C35" s="469" t="s">
        <v>1961</v>
      </c>
      <c r="D35" s="470"/>
      <c r="E35" s="471">
        <v>0.2</v>
      </c>
      <c r="F35" s="468" t="s">
        <v>1962</v>
      </c>
      <c r="G35" s="468"/>
    </row>
    <row r="36" spans="1:7" ht="19.5" customHeight="1">
      <c r="A36" s="3511"/>
      <c r="B36" s="3514"/>
      <c r="C36" s="469" t="s">
        <v>1963</v>
      </c>
      <c r="D36" s="470"/>
      <c r="E36" s="471">
        <v>0.2</v>
      </c>
      <c r="F36" s="468" t="s">
        <v>1964</v>
      </c>
      <c r="G36" s="468"/>
    </row>
    <row r="37" spans="1:7" ht="19.5" customHeight="1">
      <c r="A37" s="3511"/>
      <c r="B37" s="3516" t="s">
        <v>1965</v>
      </c>
      <c r="C37" s="469" t="s">
        <v>1966</v>
      </c>
      <c r="D37" s="470"/>
      <c r="E37" s="471">
        <v>0.6</v>
      </c>
      <c r="F37" s="468" t="s">
        <v>1967</v>
      </c>
      <c r="G37" s="468"/>
    </row>
    <row r="38" spans="1:7" ht="19.5" customHeight="1">
      <c r="A38" s="3511"/>
      <c r="B38" s="3514"/>
      <c r="C38" s="469" t="s">
        <v>1968</v>
      </c>
      <c r="D38" s="470"/>
      <c r="E38" s="471">
        <v>0.6</v>
      </c>
      <c r="F38" s="468" t="s">
        <v>1969</v>
      </c>
      <c r="G38" s="468"/>
    </row>
    <row r="39" spans="1:7" ht="19.5" customHeight="1">
      <c r="A39" s="3512"/>
      <c r="B39" s="3515"/>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07" t="s">
        <v>408</v>
      </c>
      <c r="B41" s="3513" t="s">
        <v>1974</v>
      </c>
      <c r="C41" s="465" t="s">
        <v>1975</v>
      </c>
      <c r="D41" s="466"/>
      <c r="E41" s="467">
        <v>1</v>
      </c>
      <c r="F41" s="468" t="s">
        <v>1976</v>
      </c>
      <c r="G41" s="468"/>
    </row>
    <row r="42" spans="1:7" ht="19.5" customHeight="1">
      <c r="A42" s="3508"/>
      <c r="B42" s="3514"/>
      <c r="C42" s="469" t="s">
        <v>1977</v>
      </c>
      <c r="D42" s="470"/>
      <c r="E42" s="471">
        <v>1</v>
      </c>
      <c r="F42" s="468" t="s">
        <v>1978</v>
      </c>
      <c r="G42" s="468"/>
    </row>
    <row r="43" spans="1:7" ht="19.5" customHeight="1">
      <c r="A43" s="3508"/>
      <c r="B43" s="3517"/>
      <c r="C43" s="469" t="s">
        <v>1979</v>
      </c>
      <c r="D43" s="470"/>
      <c r="E43" s="471">
        <v>1.5</v>
      </c>
      <c r="F43" s="468" t="s">
        <v>1980</v>
      </c>
      <c r="G43" s="468"/>
    </row>
    <row r="44" spans="1:7" ht="19.5" customHeight="1">
      <c r="A44" s="3508"/>
      <c r="B44" s="481" t="s">
        <v>280</v>
      </c>
      <c r="C44" s="469" t="s">
        <v>1923</v>
      </c>
      <c r="D44" s="470"/>
      <c r="E44" s="471">
        <v>2</v>
      </c>
      <c r="F44" s="468" t="s">
        <v>1981</v>
      </c>
      <c r="G44" s="468"/>
    </row>
    <row r="45" spans="1:7" ht="19.5" customHeight="1">
      <c r="A45" s="3508"/>
      <c r="B45" s="3516" t="s">
        <v>1982</v>
      </c>
      <c r="C45" s="469" t="s">
        <v>1983</v>
      </c>
      <c r="D45" s="470"/>
      <c r="E45" s="471">
        <v>1</v>
      </c>
      <c r="F45" s="468" t="s">
        <v>1984</v>
      </c>
      <c r="G45" s="468"/>
    </row>
    <row r="46" spans="1:7" ht="19.5" customHeight="1">
      <c r="A46" s="3508"/>
      <c r="B46" s="3514"/>
      <c r="C46" s="469" t="s">
        <v>1985</v>
      </c>
      <c r="D46" s="470"/>
      <c r="E46" s="471">
        <v>1</v>
      </c>
      <c r="F46" s="468" t="s">
        <v>1986</v>
      </c>
      <c r="G46" s="468"/>
    </row>
    <row r="47" spans="1:7" ht="19.5" customHeight="1">
      <c r="A47" s="3508"/>
      <c r="B47" s="3514"/>
      <c r="C47" s="469" t="s">
        <v>1987</v>
      </c>
      <c r="D47" s="470"/>
      <c r="E47" s="471">
        <v>1</v>
      </c>
      <c r="F47" s="468" t="s">
        <v>1988</v>
      </c>
      <c r="G47" s="468"/>
    </row>
    <row r="48" spans="1:7" ht="19.5" customHeight="1">
      <c r="A48" s="3508"/>
      <c r="B48" s="3514"/>
      <c r="C48" s="469" t="s">
        <v>1989</v>
      </c>
      <c r="D48" s="470"/>
      <c r="E48" s="471">
        <v>1</v>
      </c>
      <c r="F48" s="468" t="s">
        <v>1990</v>
      </c>
      <c r="G48" s="468"/>
    </row>
    <row r="49" spans="1:7" ht="19.5" customHeight="1">
      <c r="A49" s="3508"/>
      <c r="B49" s="3514"/>
      <c r="C49" s="469" t="s">
        <v>1991</v>
      </c>
      <c r="D49" s="470"/>
      <c r="E49" s="471">
        <v>1</v>
      </c>
      <c r="F49" s="468" t="s">
        <v>1992</v>
      </c>
      <c r="G49" s="468"/>
    </row>
    <row r="50" spans="1:7" ht="19.5" customHeight="1">
      <c r="A50" s="3508"/>
      <c r="B50" s="3514"/>
      <c r="C50" s="469" t="s">
        <v>1993</v>
      </c>
      <c r="D50" s="470"/>
      <c r="E50" s="471">
        <v>1</v>
      </c>
      <c r="F50" s="468" t="s">
        <v>1994</v>
      </c>
      <c r="G50" s="468"/>
    </row>
    <row r="51" spans="1:7" ht="19.5" customHeight="1">
      <c r="A51" s="3509"/>
      <c r="B51" s="3515"/>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6" t="s">
        <v>2006</v>
      </c>
      <c r="C73" s="457" t="s">
        <v>2007</v>
      </c>
      <c r="D73" s="457" t="s">
        <v>2008</v>
      </c>
      <c r="E73" s="481">
        <v>0.2</v>
      </c>
      <c r="F73" s="481">
        <v>25</v>
      </c>
    </row>
    <row r="74" spans="1:7" ht="24">
      <c r="A74" s="481">
        <v>2</v>
      </c>
      <c r="B74" s="3514"/>
      <c r="C74" s="457" t="s">
        <v>2009</v>
      </c>
      <c r="D74" s="457" t="s">
        <v>2010</v>
      </c>
      <c r="E74" s="481">
        <v>0.2</v>
      </c>
      <c r="F74" s="481">
        <v>25</v>
      </c>
    </row>
    <row r="75" spans="1:7" ht="24">
      <c r="A75" s="481">
        <v>3</v>
      </c>
      <c r="B75" s="3514"/>
      <c r="C75" s="457" t="s">
        <v>2011</v>
      </c>
      <c r="D75" s="457" t="s">
        <v>2012</v>
      </c>
      <c r="E75" s="481">
        <v>0.2</v>
      </c>
      <c r="F75" s="481">
        <v>25</v>
      </c>
    </row>
    <row r="76" spans="1:7" ht="14.4">
      <c r="A76" s="481">
        <v>4</v>
      </c>
      <c r="B76" s="3514"/>
      <c r="C76" s="457" t="s">
        <v>2013</v>
      </c>
      <c r="D76" s="457" t="s">
        <v>2014</v>
      </c>
      <c r="E76" s="481">
        <v>0.15</v>
      </c>
      <c r="F76" s="481">
        <v>20</v>
      </c>
    </row>
    <row r="77" spans="1:7" ht="24">
      <c r="A77" s="481">
        <v>5</v>
      </c>
      <c r="B77" s="3514"/>
      <c r="C77" s="457" t="s">
        <v>2015</v>
      </c>
      <c r="D77" s="457" t="s">
        <v>2016</v>
      </c>
      <c r="E77" s="481">
        <v>0.15</v>
      </c>
      <c r="F77" s="481">
        <v>20</v>
      </c>
    </row>
    <row r="78" spans="1:7" ht="24">
      <c r="A78" s="481">
        <v>6</v>
      </c>
      <c r="B78" s="3514"/>
      <c r="C78" s="457" t="s">
        <v>2017</v>
      </c>
      <c r="D78" s="457" t="s">
        <v>2018</v>
      </c>
      <c r="E78" s="481">
        <v>0.15</v>
      </c>
      <c r="F78" s="481">
        <v>20</v>
      </c>
    </row>
    <row r="79" spans="1:7" ht="24">
      <c r="A79" s="481">
        <v>7</v>
      </c>
      <c r="B79" s="3514"/>
      <c r="C79" s="457" t="s">
        <v>2019</v>
      </c>
      <c r="D79" s="457" t="s">
        <v>2020</v>
      </c>
      <c r="E79" s="481">
        <v>0.15</v>
      </c>
      <c r="F79" s="481">
        <v>20</v>
      </c>
    </row>
    <row r="80" spans="1:7" ht="24">
      <c r="A80" s="481">
        <v>8</v>
      </c>
      <c r="B80" s="3514"/>
      <c r="C80" s="457" t="s">
        <v>2021</v>
      </c>
      <c r="D80" s="457" t="s">
        <v>2022</v>
      </c>
      <c r="E80" s="481">
        <v>0.1</v>
      </c>
      <c r="F80" s="481">
        <v>15</v>
      </c>
    </row>
    <row r="81" spans="1:6" ht="24">
      <c r="A81" s="481">
        <v>9</v>
      </c>
      <c r="B81" s="3514"/>
      <c r="C81" s="457" t="s">
        <v>2023</v>
      </c>
      <c r="D81" s="457" t="s">
        <v>2024</v>
      </c>
      <c r="E81" s="481">
        <v>0.1</v>
      </c>
      <c r="F81" s="481">
        <v>15</v>
      </c>
    </row>
    <row r="82" spans="1:6" ht="24">
      <c r="A82" s="481">
        <v>10</v>
      </c>
      <c r="B82" s="3514"/>
      <c r="C82" s="457" t="s">
        <v>2025</v>
      </c>
      <c r="D82" s="457" t="s">
        <v>2026</v>
      </c>
      <c r="E82" s="481">
        <v>0.1</v>
      </c>
      <c r="F82" s="481">
        <v>15</v>
      </c>
    </row>
    <row r="83" spans="1:6" ht="24">
      <c r="A83" s="481">
        <v>11</v>
      </c>
      <c r="B83" s="3514"/>
      <c r="C83" s="457" t="s">
        <v>2027</v>
      </c>
      <c r="D83" s="457" t="s">
        <v>2028</v>
      </c>
      <c r="E83" s="481">
        <v>0.1</v>
      </c>
      <c r="F83" s="481">
        <v>15</v>
      </c>
    </row>
    <row r="84" spans="1:6" ht="24">
      <c r="A84" s="481">
        <v>12</v>
      </c>
      <c r="B84" s="3514"/>
      <c r="C84" s="457" t="s">
        <v>2029</v>
      </c>
      <c r="D84" s="457" t="s">
        <v>2030</v>
      </c>
      <c r="E84" s="481">
        <v>0.1</v>
      </c>
      <c r="F84" s="481">
        <v>15</v>
      </c>
    </row>
    <row r="85" spans="1:6" ht="24">
      <c r="A85" s="481">
        <v>13</v>
      </c>
      <c r="B85" s="3514"/>
      <c r="C85" s="457" t="s">
        <v>2031</v>
      </c>
      <c r="D85" s="457" t="s">
        <v>2032</v>
      </c>
      <c r="E85" s="481">
        <v>0.1</v>
      </c>
      <c r="F85" s="481">
        <v>15</v>
      </c>
    </row>
    <row r="86" spans="1:6" ht="24">
      <c r="A86" s="481">
        <v>14</v>
      </c>
      <c r="B86" s="3514"/>
      <c r="C86" s="457" t="s">
        <v>2033</v>
      </c>
      <c r="D86" s="457" t="s">
        <v>2034</v>
      </c>
      <c r="E86" s="481">
        <v>0.1</v>
      </c>
      <c r="F86" s="481">
        <v>15</v>
      </c>
    </row>
    <row r="87" spans="1:6" ht="24">
      <c r="A87" s="481">
        <v>15</v>
      </c>
      <c r="B87" s="3514"/>
      <c r="C87" s="457" t="s">
        <v>2035</v>
      </c>
      <c r="D87" s="457" t="s">
        <v>2036</v>
      </c>
      <c r="E87" s="481">
        <v>0.1</v>
      </c>
      <c r="F87" s="481">
        <v>15</v>
      </c>
    </row>
    <row r="88" spans="1:6" ht="24">
      <c r="A88" s="481">
        <v>16</v>
      </c>
      <c r="B88" s="3514"/>
      <c r="C88" s="457" t="s">
        <v>2037</v>
      </c>
      <c r="D88" s="457" t="s">
        <v>2038</v>
      </c>
      <c r="E88" s="481">
        <v>0.1</v>
      </c>
      <c r="F88" s="481">
        <v>15</v>
      </c>
    </row>
    <row r="89" spans="1:6" ht="24">
      <c r="A89" s="481">
        <v>17</v>
      </c>
      <c r="B89" s="3517"/>
      <c r="C89" s="457" t="s">
        <v>2039</v>
      </c>
      <c r="D89" s="457" t="s">
        <v>2040</v>
      </c>
      <c r="E89" s="481">
        <v>0.1</v>
      </c>
      <c r="F89" s="481">
        <v>15</v>
      </c>
    </row>
    <row r="90" spans="1:6" ht="14.4">
      <c r="A90" s="481">
        <v>18</v>
      </c>
      <c r="B90" s="3516" t="s">
        <v>2041</v>
      </c>
      <c r="C90" s="457" t="s">
        <v>2042</v>
      </c>
      <c r="D90" s="457" t="s">
        <v>2043</v>
      </c>
      <c r="E90" s="481">
        <v>0.2</v>
      </c>
      <c r="F90" s="481">
        <v>25</v>
      </c>
    </row>
    <row r="91" spans="1:6" ht="24">
      <c r="A91" s="481">
        <v>19</v>
      </c>
      <c r="B91" s="3514"/>
      <c r="C91" s="457" t="s">
        <v>2044</v>
      </c>
      <c r="D91" s="457" t="s">
        <v>2045</v>
      </c>
      <c r="E91" s="481">
        <v>0.2</v>
      </c>
      <c r="F91" s="481">
        <v>25</v>
      </c>
    </row>
    <row r="92" spans="1:6" ht="14.4">
      <c r="A92" s="481">
        <v>20</v>
      </c>
      <c r="B92" s="3514"/>
      <c r="C92" s="457" t="s">
        <v>2046</v>
      </c>
      <c r="D92" s="457" t="s">
        <v>2047</v>
      </c>
      <c r="E92" s="481">
        <v>0.15</v>
      </c>
      <c r="F92" s="481">
        <v>20</v>
      </c>
    </row>
    <row r="93" spans="1:6" ht="24">
      <c r="A93" s="481">
        <v>21</v>
      </c>
      <c r="B93" s="3514"/>
      <c r="C93" s="457" t="s">
        <v>2048</v>
      </c>
      <c r="D93" s="457" t="s">
        <v>2049</v>
      </c>
      <c r="E93" s="481">
        <v>0.15</v>
      </c>
      <c r="F93" s="481">
        <v>20</v>
      </c>
    </row>
    <row r="94" spans="1:6" ht="24">
      <c r="A94" s="481">
        <v>22</v>
      </c>
      <c r="B94" s="3514"/>
      <c r="C94" s="457" t="s">
        <v>2050</v>
      </c>
      <c r="D94" s="457" t="s">
        <v>2051</v>
      </c>
      <c r="E94" s="481">
        <v>0.15</v>
      </c>
      <c r="F94" s="481">
        <v>20</v>
      </c>
    </row>
    <row r="95" spans="1:6" ht="36">
      <c r="A95" s="481">
        <v>23</v>
      </c>
      <c r="B95" s="3514"/>
      <c r="C95" s="457" t="s">
        <v>2052</v>
      </c>
      <c r="D95" s="457" t="s">
        <v>2053</v>
      </c>
      <c r="E95" s="481">
        <v>0.15</v>
      </c>
      <c r="F95" s="481">
        <v>20</v>
      </c>
    </row>
    <row r="96" spans="1:6" ht="24">
      <c r="A96" s="481">
        <v>24</v>
      </c>
      <c r="B96" s="3514"/>
      <c r="C96" s="457" t="s">
        <v>2054</v>
      </c>
      <c r="D96" s="457" t="s">
        <v>2055</v>
      </c>
      <c r="E96" s="481">
        <v>0.1</v>
      </c>
      <c r="F96" s="481">
        <v>15</v>
      </c>
    </row>
    <row r="97" spans="1:6" ht="24">
      <c r="A97" s="481">
        <v>25</v>
      </c>
      <c r="B97" s="3514"/>
      <c r="C97" s="457" t="s">
        <v>2056</v>
      </c>
      <c r="D97" s="457" t="s">
        <v>2057</v>
      </c>
      <c r="E97" s="481">
        <v>0.1</v>
      </c>
      <c r="F97" s="481">
        <v>15</v>
      </c>
    </row>
    <row r="98" spans="1:6" ht="24">
      <c r="A98" s="481">
        <v>26</v>
      </c>
      <c r="B98" s="3514"/>
      <c r="C98" s="457" t="s">
        <v>2058</v>
      </c>
      <c r="D98" s="457" t="s">
        <v>2059</v>
      </c>
      <c r="E98" s="481">
        <v>0.1</v>
      </c>
      <c r="F98" s="481">
        <v>15</v>
      </c>
    </row>
    <row r="99" spans="1:6" ht="24">
      <c r="A99" s="481">
        <v>27</v>
      </c>
      <c r="B99" s="3514"/>
      <c r="C99" s="457" t="s">
        <v>2060</v>
      </c>
      <c r="D99" s="457" t="s">
        <v>2061</v>
      </c>
      <c r="E99" s="481">
        <v>0.1</v>
      </c>
      <c r="F99" s="481">
        <v>15</v>
      </c>
    </row>
    <row r="100" spans="1:6" ht="24">
      <c r="A100" s="481">
        <v>28</v>
      </c>
      <c r="B100" s="3514"/>
      <c r="C100" s="457" t="s">
        <v>2062</v>
      </c>
      <c r="D100" s="457" t="s">
        <v>2063</v>
      </c>
      <c r="E100" s="481">
        <v>0.1</v>
      </c>
      <c r="F100" s="481">
        <v>15</v>
      </c>
    </row>
    <row r="101" spans="1:6" ht="24">
      <c r="A101" s="481">
        <v>29</v>
      </c>
      <c r="B101" s="3514"/>
      <c r="C101" s="457" t="s">
        <v>2064</v>
      </c>
      <c r="D101" s="457" t="s">
        <v>2065</v>
      </c>
      <c r="E101" s="481">
        <v>0.1</v>
      </c>
      <c r="F101" s="481">
        <v>15</v>
      </c>
    </row>
    <row r="102" spans="1:6" ht="24">
      <c r="A102" s="481">
        <v>30</v>
      </c>
      <c r="B102" s="3514"/>
      <c r="C102" s="457" t="s">
        <v>2066</v>
      </c>
      <c r="D102" s="457" t="s">
        <v>2067</v>
      </c>
      <c r="E102" s="481">
        <v>0.1</v>
      </c>
      <c r="F102" s="481">
        <v>15</v>
      </c>
    </row>
    <row r="103" spans="1:6" ht="24">
      <c r="A103" s="481">
        <v>31</v>
      </c>
      <c r="B103" s="3514"/>
      <c r="C103" s="457" t="s">
        <v>2068</v>
      </c>
      <c r="D103" s="457" t="s">
        <v>2069</v>
      </c>
      <c r="E103" s="481">
        <v>0.1</v>
      </c>
      <c r="F103" s="481">
        <v>15</v>
      </c>
    </row>
    <row r="104" spans="1:6" ht="24">
      <c r="A104" s="481">
        <v>32</v>
      </c>
      <c r="B104" s="3514"/>
      <c r="C104" s="457" t="s">
        <v>2070</v>
      </c>
      <c r="D104" s="457" t="s">
        <v>2071</v>
      </c>
      <c r="E104" s="481">
        <v>0.1</v>
      </c>
      <c r="F104" s="481">
        <v>15</v>
      </c>
    </row>
    <row r="105" spans="1:6" ht="24">
      <c r="A105" s="481">
        <v>33</v>
      </c>
      <c r="B105" s="3514"/>
      <c r="C105" s="457" t="s">
        <v>2072</v>
      </c>
      <c r="D105" s="457" t="s">
        <v>2073</v>
      </c>
      <c r="E105" s="481">
        <v>0.1</v>
      </c>
      <c r="F105" s="481">
        <v>15</v>
      </c>
    </row>
    <row r="106" spans="1:6" ht="24">
      <c r="A106" s="481">
        <v>34</v>
      </c>
      <c r="B106" s="3517"/>
      <c r="C106" s="457" t="s">
        <v>2074</v>
      </c>
      <c r="D106" s="457" t="s">
        <v>2075</v>
      </c>
      <c r="E106" s="481">
        <v>0.1</v>
      </c>
      <c r="F106" s="481">
        <v>15</v>
      </c>
    </row>
    <row r="107" spans="1:6" ht="36">
      <c r="A107" s="481">
        <v>35</v>
      </c>
      <c r="B107" s="3516" t="s">
        <v>2076</v>
      </c>
      <c r="C107" s="481" t="s">
        <v>2077</v>
      </c>
      <c r="D107" s="457" t="s">
        <v>2078</v>
      </c>
      <c r="E107" s="481">
        <v>0.15</v>
      </c>
      <c r="F107" s="481">
        <v>20</v>
      </c>
    </row>
    <row r="108" spans="1:6" ht="24">
      <c r="A108" s="481">
        <v>36</v>
      </c>
      <c r="B108" s="3514"/>
      <c r="C108" s="481" t="s">
        <v>2079</v>
      </c>
      <c r="D108" s="457" t="s">
        <v>2080</v>
      </c>
      <c r="E108" s="481">
        <v>0.15</v>
      </c>
      <c r="F108" s="481">
        <v>20</v>
      </c>
    </row>
    <row r="109" spans="1:6" ht="24">
      <c r="A109" s="481">
        <v>37</v>
      </c>
      <c r="B109" s="3514"/>
      <c r="C109" s="481" t="s">
        <v>2081</v>
      </c>
      <c r="D109" s="457" t="s">
        <v>2082</v>
      </c>
      <c r="E109" s="481">
        <v>0.15</v>
      </c>
      <c r="F109" s="481">
        <v>20</v>
      </c>
    </row>
    <row r="110" spans="1:6" ht="24">
      <c r="A110" s="481">
        <v>38</v>
      </c>
      <c r="B110" s="3514"/>
      <c r="C110" s="481" t="s">
        <v>2083</v>
      </c>
      <c r="D110" s="457" t="s">
        <v>2084</v>
      </c>
      <c r="E110" s="481">
        <v>0.1</v>
      </c>
      <c r="F110" s="481">
        <v>15</v>
      </c>
    </row>
    <row r="111" spans="1:6" ht="24">
      <c r="A111" s="481">
        <v>39</v>
      </c>
      <c r="B111" s="3514"/>
      <c r="C111" s="481" t="s">
        <v>2085</v>
      </c>
      <c r="D111" s="457" t="s">
        <v>2086</v>
      </c>
      <c r="E111" s="481">
        <v>0.1</v>
      </c>
      <c r="F111" s="481">
        <v>15</v>
      </c>
    </row>
    <row r="112" spans="1:6" ht="24">
      <c r="A112" s="481">
        <v>40</v>
      </c>
      <c r="B112" s="3517"/>
      <c r="C112" s="481" t="s">
        <v>2087</v>
      </c>
      <c r="D112" s="457" t="s">
        <v>2088</v>
      </c>
      <c r="E112" s="481">
        <v>0.1</v>
      </c>
      <c r="F112" s="481">
        <v>15</v>
      </c>
    </row>
    <row r="113" spans="1:6" ht="24">
      <c r="A113" s="481">
        <v>41</v>
      </c>
      <c r="B113" s="3518" t="s">
        <v>2089</v>
      </c>
      <c r="C113" s="481" t="s">
        <v>2090</v>
      </c>
      <c r="D113" s="457" t="s">
        <v>2091</v>
      </c>
      <c r="E113" s="481">
        <v>0.1</v>
      </c>
      <c r="F113" s="481">
        <v>15</v>
      </c>
    </row>
    <row r="114" spans="1:6" ht="24">
      <c r="A114" s="481">
        <v>42</v>
      </c>
      <c r="B114" s="3518"/>
      <c r="C114" s="481" t="s">
        <v>2092</v>
      </c>
      <c r="D114" s="457" t="s">
        <v>2093</v>
      </c>
      <c r="E114" s="481">
        <v>0.1</v>
      </c>
      <c r="F114" s="481">
        <v>15</v>
      </c>
    </row>
    <row r="115" spans="1:6" ht="24">
      <c r="A115" s="481">
        <v>43</v>
      </c>
      <c r="B115" s="3518"/>
      <c r="C115" s="481" t="s">
        <v>2094</v>
      </c>
      <c r="D115" s="457" t="s">
        <v>2095</v>
      </c>
      <c r="E115" s="481">
        <v>0.1</v>
      </c>
      <c r="F115" s="481">
        <v>15</v>
      </c>
    </row>
    <row r="116" spans="1:6" ht="24">
      <c r="A116" s="481">
        <v>44</v>
      </c>
      <c r="B116" s="3516" t="s">
        <v>2096</v>
      </c>
      <c r="C116" s="481" t="s">
        <v>2097</v>
      </c>
      <c r="D116" s="457" t="s">
        <v>2098</v>
      </c>
      <c r="E116" s="481">
        <v>0.1</v>
      </c>
      <c r="F116" s="481">
        <v>15</v>
      </c>
    </row>
    <row r="117" spans="1:6" ht="24">
      <c r="A117" s="481">
        <v>45</v>
      </c>
      <c r="B117" s="3517"/>
      <c r="C117" s="457" t="s">
        <v>2099</v>
      </c>
      <c r="D117" s="457" t="s">
        <v>2100</v>
      </c>
      <c r="E117" s="481">
        <v>0.1</v>
      </c>
      <c r="F117" s="481">
        <v>15</v>
      </c>
    </row>
    <row r="118" spans="1:6" ht="24">
      <c r="A118" s="481">
        <v>46</v>
      </c>
      <c r="B118" s="3516" t="s">
        <v>2101</v>
      </c>
      <c r="C118" s="481" t="s">
        <v>2102</v>
      </c>
      <c r="D118" s="457" t="s">
        <v>2103</v>
      </c>
      <c r="E118" s="481">
        <v>0.1</v>
      </c>
      <c r="F118" s="481">
        <v>15</v>
      </c>
    </row>
    <row r="119" spans="1:6" ht="24">
      <c r="A119" s="481">
        <v>47</v>
      </c>
      <c r="B119" s="3517"/>
      <c r="C119" s="481" t="s">
        <v>2104</v>
      </c>
      <c r="D119" s="457" t="s">
        <v>2105</v>
      </c>
      <c r="E119" s="481">
        <v>0.1</v>
      </c>
      <c r="F119" s="481">
        <v>15</v>
      </c>
    </row>
    <row r="120" spans="1:6" ht="24">
      <c r="A120" s="481">
        <v>48</v>
      </c>
      <c r="B120" s="3516" t="s">
        <v>2106</v>
      </c>
      <c r="C120" s="481" t="s">
        <v>2107</v>
      </c>
      <c r="D120" s="457" t="s">
        <v>2108</v>
      </c>
      <c r="E120" s="481">
        <v>0.1</v>
      </c>
      <c r="F120" s="481">
        <v>15</v>
      </c>
    </row>
    <row r="121" spans="1:6" ht="24">
      <c r="A121" s="481">
        <v>49</v>
      </c>
      <c r="B121" s="3517"/>
      <c r="C121" s="481" t="s">
        <v>2109</v>
      </c>
      <c r="D121" s="457" t="s">
        <v>2110</v>
      </c>
      <c r="E121" s="481">
        <v>0.1</v>
      </c>
      <c r="F121" s="481">
        <v>15</v>
      </c>
    </row>
    <row r="122" spans="1:6" ht="24">
      <c r="A122" s="481">
        <v>50</v>
      </c>
      <c r="B122" s="3518" t="s">
        <v>2111</v>
      </c>
      <c r="C122" s="481" t="s">
        <v>2112</v>
      </c>
      <c r="D122" s="457" t="s">
        <v>2113</v>
      </c>
      <c r="E122" s="481">
        <v>0.1</v>
      </c>
      <c r="F122" s="481">
        <v>15</v>
      </c>
    </row>
    <row r="123" spans="1:6" ht="24">
      <c r="A123" s="481">
        <v>51</v>
      </c>
      <c r="B123" s="3518"/>
      <c r="C123" s="481" t="s">
        <v>2114</v>
      </c>
      <c r="D123" s="457" t="s">
        <v>2115</v>
      </c>
      <c r="E123" s="481">
        <v>0.1</v>
      </c>
      <c r="F123" s="481">
        <v>15</v>
      </c>
    </row>
    <row r="124" spans="1:6" ht="24">
      <c r="A124" s="481">
        <v>52</v>
      </c>
      <c r="B124" s="3518" t="s">
        <v>2116</v>
      </c>
      <c r="C124" s="481" t="s">
        <v>2117</v>
      </c>
      <c r="D124" s="457" t="s">
        <v>2118</v>
      </c>
      <c r="E124" s="481">
        <v>0.1</v>
      </c>
      <c r="F124" s="481">
        <v>15</v>
      </c>
    </row>
    <row r="125" spans="1:6" ht="24">
      <c r="A125" s="481">
        <v>53</v>
      </c>
      <c r="B125" s="3518"/>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8" t="s">
        <v>2124</v>
      </c>
      <c r="C127" s="481" t="s">
        <v>2125</v>
      </c>
      <c r="D127" s="457" t="s">
        <v>2126</v>
      </c>
      <c r="E127" s="481">
        <v>0.1</v>
      </c>
      <c r="F127" s="481">
        <v>15</v>
      </c>
    </row>
    <row r="128" spans="1:6" ht="24">
      <c r="A128" s="481">
        <v>56</v>
      </c>
      <c r="B128" s="3518"/>
      <c r="C128" s="481" t="s">
        <v>2127</v>
      </c>
      <c r="D128" s="457" t="s">
        <v>2128</v>
      </c>
      <c r="E128" s="481">
        <v>0.1</v>
      </c>
      <c r="F128" s="481">
        <v>15</v>
      </c>
    </row>
    <row r="129" spans="1:6" ht="24">
      <c r="A129" s="481">
        <v>57</v>
      </c>
      <c r="B129" s="3518"/>
      <c r="C129" s="481" t="s">
        <v>2129</v>
      </c>
      <c r="D129" s="457" t="s">
        <v>2130</v>
      </c>
      <c r="E129" s="481">
        <v>0.1</v>
      </c>
      <c r="F129" s="481">
        <v>15</v>
      </c>
    </row>
    <row r="130" spans="1:6" ht="24">
      <c r="A130" s="481">
        <v>58</v>
      </c>
      <c r="B130" s="3518" t="s">
        <v>2131</v>
      </c>
      <c r="C130" s="481" t="s">
        <v>2132</v>
      </c>
      <c r="D130" s="457" t="s">
        <v>2133</v>
      </c>
      <c r="E130" s="481">
        <v>0.1</v>
      </c>
      <c r="F130" s="481">
        <v>15</v>
      </c>
    </row>
    <row r="131" spans="1:6" ht="24">
      <c r="A131" s="481">
        <v>59</v>
      </c>
      <c r="B131" s="3518"/>
      <c r="C131" s="481" t="s">
        <v>2134</v>
      </c>
      <c r="D131" s="457" t="s">
        <v>2135</v>
      </c>
      <c r="E131" s="481">
        <v>0.1</v>
      </c>
      <c r="F131" s="481">
        <v>15</v>
      </c>
    </row>
    <row r="132" spans="1:6" ht="24">
      <c r="A132" s="481">
        <v>60</v>
      </c>
      <c r="B132" s="3516" t="s">
        <v>2136</v>
      </c>
      <c r="C132" s="481" t="s">
        <v>2137</v>
      </c>
      <c r="D132" s="457" t="s">
        <v>2138</v>
      </c>
      <c r="E132" s="481">
        <v>0.1</v>
      </c>
      <c r="F132" s="481">
        <v>15</v>
      </c>
    </row>
    <row r="133" spans="1:6" ht="24">
      <c r="A133" s="481">
        <v>61</v>
      </c>
      <c r="B133" s="3517"/>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8" t="s">
        <v>2144</v>
      </c>
      <c r="C135" s="481" t="s">
        <v>2145</v>
      </c>
      <c r="D135" s="457" t="s">
        <v>2146</v>
      </c>
      <c r="E135" s="481">
        <v>0.1</v>
      </c>
      <c r="F135" s="481">
        <v>15</v>
      </c>
    </row>
    <row r="136" spans="1:6" ht="24">
      <c r="A136" s="481">
        <v>64</v>
      </c>
      <c r="B136" s="3518"/>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27988</v>
      </c>
      <c r="C2" s="347" t="s">
        <v>1445</v>
      </c>
      <c r="D2" s="344"/>
      <c r="E2" s="344"/>
      <c r="F2" s="344"/>
      <c r="G2" s="344"/>
    </row>
    <row r="3" spans="1:7" s="333" customFormat="1" ht="18" customHeight="1">
      <c r="A3" s="348" t="s">
        <v>2166</v>
      </c>
      <c r="B3" s="349">
        <f ca="1">ROUND(B2*10000/'数据-汇总表'!E3,0)</f>
        <v>316024</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18</v>
      </c>
      <c r="D10" s="371">
        <f>'数据-汇总表'!E6</f>
        <v>885.63</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18</v>
      </c>
      <c r="D19" s="356">
        <f>'数据-汇总表'!E3</f>
        <v>885.63</v>
      </c>
      <c r="E19" s="355">
        <f>'数据-取费表'!B31</f>
        <v>200</v>
      </c>
      <c r="F19" s="377"/>
      <c r="G19" s="367" t="s">
        <v>2188</v>
      </c>
    </row>
    <row r="20" spans="1:7" s="335" customFormat="1" ht="13.5" customHeight="1">
      <c r="A20" s="376" t="s">
        <v>1776</v>
      </c>
      <c r="B20" s="354" t="s">
        <v>2189</v>
      </c>
      <c r="C20" s="378">
        <f>ROUND((C5+C19)*F20,0)</f>
        <v>413</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1268</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1</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3156</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3156</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27559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397</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354</v>
      </c>
      <c r="D34" s="361"/>
      <c r="E34" s="364"/>
      <c r="F34" s="407">
        <f>IF('数据-取费表'!B24=0,1,'数据-取费表'!N16)</f>
        <v>1</v>
      </c>
      <c r="G34" s="363" t="s">
        <v>2215</v>
      </c>
    </row>
    <row r="35" spans="1:7" ht="13.5" customHeight="1">
      <c r="A35" s="386" t="s">
        <v>1007</v>
      </c>
      <c r="B35" s="359" t="s">
        <v>2216</v>
      </c>
      <c r="C35" s="364">
        <f>ROUND(C34*F35,0)</f>
        <v>18</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18</v>
      </c>
      <c r="D37" s="361">
        <f>'数据-汇总表'!E3</f>
        <v>885.63</v>
      </c>
      <c r="E37" s="399">
        <f>'数据-取费表'!B35</f>
        <v>200</v>
      </c>
      <c r="F37" s="408"/>
      <c r="G37" s="410" t="s">
        <v>2221</v>
      </c>
    </row>
    <row r="38" spans="1:7" ht="13.5" customHeight="1">
      <c r="A38" s="386" t="s">
        <v>1071</v>
      </c>
      <c r="B38" s="359" t="s">
        <v>2179</v>
      </c>
      <c r="C38" s="364">
        <f>ROUND(C34*F38,0)</f>
        <v>7</v>
      </c>
      <c r="D38" s="364"/>
      <c r="E38" s="364"/>
      <c r="F38" s="408">
        <f>'数据-取费表'!B36</f>
        <v>0.02</v>
      </c>
      <c r="G38" s="363" t="s">
        <v>2217</v>
      </c>
    </row>
    <row r="39" spans="1:7" s="335" customFormat="1" ht="13.5" customHeight="1">
      <c r="A39" s="376" t="s">
        <v>1740</v>
      </c>
      <c r="B39" s="354" t="s">
        <v>2189</v>
      </c>
      <c r="C39" s="378">
        <f>ROUND(C33*F20,0)</f>
        <v>8</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12</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12</v>
      </c>
      <c r="D42" s="388"/>
      <c r="E42" s="388"/>
      <c r="F42" s="389"/>
      <c r="G42" s="3382" t="s">
        <v>2225</v>
      </c>
    </row>
    <row r="43" spans="1:7" ht="13.5" customHeight="1">
      <c r="A43" s="386" t="s">
        <v>1007</v>
      </c>
      <c r="B43" s="359" t="s">
        <v>2197</v>
      </c>
      <c r="C43" s="388">
        <f ca="1">ROUND(IF('数据-取费表'!B22&lt;=1,C39*F22*'数据-取费表'!B21/2,C39*(POWER((1+F22),'数据-取费表'!B21/2)-1)),0)</f>
        <v>0</v>
      </c>
      <c r="D43" s="388"/>
      <c r="E43" s="388"/>
      <c r="F43" s="389"/>
      <c r="G43" s="3383"/>
    </row>
    <row r="44" spans="1:7" ht="13.5" customHeight="1">
      <c r="A44" s="386" t="s">
        <v>1009</v>
      </c>
      <c r="B44" s="359" t="s">
        <v>2199</v>
      </c>
      <c r="C44" s="388">
        <f ca="1">ROUND(IF('数据-取费表'!B22&lt;=1,C40*F22*'数据-取费表'!B21/2,C40*(POWER((1+F22),'数据-取费表'!B21/2)-1)),4)</f>
        <v>5.9999999999999995E-4</v>
      </c>
      <c r="D44" s="388"/>
      <c r="E44" s="388"/>
      <c r="F44" s="389"/>
      <c r="G44" s="3384"/>
    </row>
    <row r="45" spans="1:7" s="335" customFormat="1" ht="13.5" customHeight="1">
      <c r="A45" s="376" t="s">
        <v>1790</v>
      </c>
      <c r="B45" s="394" t="s">
        <v>2202</v>
      </c>
      <c r="C45" s="395">
        <f>C46</f>
        <v>61</v>
      </c>
      <c r="D45" s="381">
        <f>C47</f>
        <v>3.0000000000000001E-3</v>
      </c>
      <c r="E45" s="382" t="s">
        <v>2223</v>
      </c>
      <c r="F45" s="396"/>
      <c r="G45" s="397" t="s">
        <v>2226</v>
      </c>
    </row>
    <row r="46" spans="1:7" s="335" customFormat="1" ht="13.5" customHeight="1">
      <c r="A46" s="386" t="s">
        <v>1005</v>
      </c>
      <c r="B46" s="398" t="s">
        <v>2227</v>
      </c>
      <c r="C46" s="399">
        <f>ROUND((C33+C39)*F27,0)</f>
        <v>61</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517</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429</v>
      </c>
      <c r="D51" s="378"/>
      <c r="E51" s="378"/>
      <c r="F51" s="413"/>
      <c r="G51" s="383" t="s">
        <v>2238</v>
      </c>
    </row>
    <row r="52" spans="1:7" s="334" customFormat="1" ht="16.2">
      <c r="A52" s="414" t="s">
        <v>2239</v>
      </c>
      <c r="B52" s="415"/>
      <c r="C52" s="416">
        <f ca="1">C31+C51</f>
        <v>27988</v>
      </c>
      <c r="D52" s="415"/>
      <c r="E52" s="415"/>
      <c r="F52" s="415"/>
      <c r="G52" s="417"/>
    </row>
    <row r="55" spans="1:7" ht="15">
      <c r="B55" s="418" t="s">
        <v>2240</v>
      </c>
      <c r="C55" s="419"/>
    </row>
    <row r="56" spans="1:7">
      <c r="B56" s="420" t="s">
        <v>2241</v>
      </c>
      <c r="C56" s="421">
        <f ca="1">ROUND(C51/C52,3)</f>
        <v>1.4999999999999999E-2</v>
      </c>
    </row>
    <row r="57" spans="1:7">
      <c r="B57" s="420" t="s">
        <v>2242</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1009</v>
      </c>
    </row>
    <row r="6" spans="1:5" ht="15.6">
      <c r="B6" s="3200"/>
      <c r="C6" s="3129" t="s">
        <v>98</v>
      </c>
      <c r="D6" s="3130" t="str">
        <f ca="1">NUMBERSTRING(INT(D5*10000),2)&amp;"元整"</f>
        <v>壹仟零玖万元整</v>
      </c>
    </row>
    <row r="7" spans="1:5" ht="15.6">
      <c r="B7" s="3201"/>
      <c r="C7" s="3131" t="s">
        <v>99</v>
      </c>
      <c r="D7" s="3132">
        <f ca="1">结果表110!H102</f>
        <v>28410</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1009</v>
      </c>
    </row>
    <row r="14" spans="1:5" ht="15.6">
      <c r="B14" s="3200"/>
      <c r="C14" s="3129" t="s">
        <v>98</v>
      </c>
      <c r="D14" s="3130" t="str">
        <f ca="1">NUMBERSTRING(INT(D13*10000),2)&amp;"元整"</f>
        <v>壹仟零玖万元整</v>
      </c>
    </row>
    <row r="15" spans="1:5" ht="15.6">
      <c r="B15" s="3201"/>
      <c r="C15" s="3131" t="s">
        <v>99</v>
      </c>
      <c r="D15" s="3139">
        <f ca="1">结果表110!H108</f>
        <v>28410</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2243</v>
      </c>
      <c r="B1" s="3519"/>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2625</v>
      </c>
      <c r="B1" s="3520"/>
      <c r="C1" s="3520"/>
      <c r="D1" s="3520"/>
      <c r="E1" s="3520"/>
      <c r="F1" s="3521"/>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111</v>
      </c>
      <c r="D1" s="1998"/>
      <c r="E1" s="1998"/>
      <c r="F1" s="2117" t="s">
        <v>778</v>
      </c>
      <c r="G1" s="2118"/>
      <c r="H1" s="2117" t="str">
        <f>IF(G1="现房","——","估价对象范围")</f>
        <v>估价对象范围</v>
      </c>
      <c r="I1" s="2247"/>
    </row>
    <row r="2" spans="1:12" ht="21.75" customHeight="1" thickBo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2852</v>
      </c>
      <c r="D4" s="2121" t="s">
        <v>2855</v>
      </c>
      <c r="E4" s="3293" t="s">
        <v>782</v>
      </c>
      <c r="F4" s="3294"/>
      <c r="G4" s="3294"/>
      <c r="H4" s="3294"/>
      <c r="I4" s="3295"/>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thickBo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805</v>
      </c>
      <c r="B19" s="2132" t="s">
        <v>806</v>
      </c>
      <c r="C19" s="2133">
        <f ca="1">SUMIF(INDIRECT("'"&amp;C4&amp;"'"&amp;"!A:A"),结果表111!B19,INDIRECT("'"&amp;C4&amp;"'"&amp;"!B:B"))</f>
        <v>1174.9494999999999</v>
      </c>
      <c r="D19" s="1245">
        <f ca="1">SUMIF(INDIRECT("'"&amp;D4&amp;"'"&amp;"!A:A"),结果表111!B19,INDIRECT("'"&amp;D4&amp;"'"&amp;"!B:B"))</f>
        <v>809.1404</v>
      </c>
      <c r="E19" s="1129" t="s">
        <v>807</v>
      </c>
      <c r="F19" s="2132" t="s">
        <v>806</v>
      </c>
      <c r="G19" s="2134">
        <f ca="1">ROUND(C19*$C$18+D19*$D$18,0)</f>
        <v>1065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SUMIF(INDIRECT("'"&amp;C4&amp;"'"&amp;"!A:A"),结果表111!B20,INDIRECT("'"&amp;C4&amp;"'"&amp;"!B:B"))</f>
        <v>31337</v>
      </c>
      <c r="D20" s="1602">
        <f ca="1">SUMIF(INDIRECT("'"&amp;D4&amp;"'"&amp;"!A:A"),结果表111!B20,INDIRECT("'"&amp;D4&amp;"'"&amp;"!B:B"))</f>
        <v>21581</v>
      </c>
      <c r="E20" s="2136"/>
      <c r="F20" s="2137" t="s">
        <v>809</v>
      </c>
      <c r="G20" s="2138">
        <f ca="1">ROUND(C20*$C$18+D20*$D$18,0)</f>
        <v>28410</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0.45209595269251168</v>
      </c>
      <c r="E22" s="1458"/>
      <c r="F22" s="1458"/>
      <c r="G22" s="1458"/>
      <c r="H22" s="1458"/>
      <c r="I22" s="1458"/>
    </row>
    <row r="23" spans="1:36" ht="13.8" thickBot="1">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row>
    <row r="25" spans="1:36" ht="14.4">
      <c r="A25" s="3370"/>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28410</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5" thickBot="1">
      <c r="A35" s="2172"/>
      <c r="B35" s="2173" t="s">
        <v>827</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5" thickBot="1">
      <c r="A36" s="3371" t="s">
        <v>829</v>
      </c>
      <c r="B36" s="2178" t="s">
        <v>830</v>
      </c>
      <c r="C36" s="2179"/>
      <c r="D36" s="2180"/>
      <c r="E36" s="2181"/>
      <c r="F36" s="2182"/>
      <c r="G36" s="1458"/>
      <c r="H36" s="1458"/>
      <c r="I36" s="1458"/>
    </row>
    <row r="37" spans="1:15" ht="15" thickBot="1">
      <c r="A37" s="3372"/>
      <c r="B37" s="2183" t="s">
        <v>831</v>
      </c>
      <c r="C37" s="2184"/>
      <c r="D37" s="2185"/>
      <c r="E37" s="2185"/>
      <c r="F37" s="2182"/>
      <c r="G37" s="1458"/>
      <c r="H37" s="1458"/>
      <c r="I37" s="1458"/>
    </row>
    <row r="38" spans="1:15" ht="15" thickBot="1">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298" t="s">
        <v>840</v>
      </c>
      <c r="B45" s="3299"/>
      <c r="C45" s="3300"/>
      <c r="D45" s="2204">
        <f ca="1">ROUND(H101*F45,4)</f>
        <v>1065</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55.785699999999999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1065</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1065</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56</v>
      </c>
      <c r="E52" s="1908" t="s">
        <v>872</v>
      </c>
      <c r="F52" s="2226">
        <f>'数据-取费表'!B41</f>
        <v>5.5000000000000007E-2</v>
      </c>
      <c r="G52" s="2227"/>
      <c r="H52" s="2019"/>
      <c r="I52" s="2256"/>
      <c r="J52" s="576">
        <v>1</v>
      </c>
      <c r="K52" s="3317" t="s">
        <v>873</v>
      </c>
      <c r="L52" s="3317"/>
      <c r="M52" s="2257">
        <f ca="1">D48</f>
        <v>55.785699999999999</v>
      </c>
      <c r="N52" s="576" t="str">
        <f>E48</f>
        <v>(销售额-原购置价)×税（费）率</v>
      </c>
      <c r="O52" s="2258">
        <f>F48</f>
        <v>5.5000000000000007E-2</v>
      </c>
    </row>
    <row r="53" spans="1:35" ht="12" customHeight="1">
      <c r="A53" s="2225" t="s">
        <v>874</v>
      </c>
      <c r="B53" s="3318" t="s">
        <v>875</v>
      </c>
      <c r="C53" s="3319"/>
      <c r="D53" s="1904">
        <f ca="1">ROUND(D45*'数据-取费表'!B41/(1+'数据-取费表'!C42),0)</f>
        <v>56</v>
      </c>
      <c r="E53" s="1908" t="s">
        <v>872</v>
      </c>
      <c r="F53" s="2226">
        <f>'数据-取费表'!B41</f>
        <v>5.5000000000000007E-2</v>
      </c>
      <c r="G53" s="2227"/>
      <c r="H53" s="2019"/>
      <c r="I53" s="2256"/>
      <c r="J53" s="576">
        <v>2</v>
      </c>
      <c r="K53" s="3317" t="s">
        <v>876</v>
      </c>
      <c r="L53" s="3317"/>
      <c r="M53" s="2257">
        <f t="shared" ref="M53:O54" ca="1" si="0">D55</f>
        <v>0.53249999999999997</v>
      </c>
      <c r="N53" s="576" t="str">
        <f t="shared" si="0"/>
        <v>销售额×税（费）率</v>
      </c>
      <c r="O53" s="2258">
        <f t="shared" si="0"/>
        <v>5.0000000000000001E-4</v>
      </c>
    </row>
    <row r="54" spans="1:35" ht="12" customHeight="1">
      <c r="A54" s="2225" t="s">
        <v>877</v>
      </c>
      <c r="B54" s="3318" t="s">
        <v>878</v>
      </c>
      <c r="C54" s="3319"/>
      <c r="D54" s="1904">
        <f ca="1">C68</f>
        <v>55.785699999999999</v>
      </c>
      <c r="E54" s="1918" t="s">
        <v>879</v>
      </c>
      <c r="F54" s="2226">
        <f>'数据-取费表'!B41</f>
        <v>5.5000000000000007E-2</v>
      </c>
      <c r="G54" s="2227"/>
      <c r="H54" s="2228"/>
      <c r="I54" s="2256"/>
      <c r="J54" s="576">
        <v>3</v>
      </c>
      <c r="K54" s="3317" t="s">
        <v>880</v>
      </c>
      <c r="L54" s="3317"/>
      <c r="M54" s="2257">
        <f t="shared" ca="1" si="0"/>
        <v>603.75360000000001</v>
      </c>
      <c r="N54" s="576" t="str">
        <f t="shared" si="0"/>
        <v>增值额×税（费）率</v>
      </c>
      <c r="O54" s="2259" t="str">
        <f t="shared" si="0"/>
        <v>——</v>
      </c>
    </row>
    <row r="55" spans="1:35" ht="24" customHeight="1">
      <c r="A55" s="3320" t="s">
        <v>881</v>
      </c>
      <c r="B55" s="3313"/>
      <c r="C55" s="3313"/>
      <c r="D55" s="2229">
        <f ca="1">IF(H55="个人住宅",0,ROUND(D45*I55,4))</f>
        <v>0.53249999999999997</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10.65</v>
      </c>
      <c r="N55" s="557" t="str">
        <f>E59</f>
        <v>销售额×税（费）率</v>
      </c>
      <c r="O55" s="2262">
        <f>F59</f>
        <v>0.01</v>
      </c>
    </row>
    <row r="56" spans="1:35" ht="25.2">
      <c r="A56" s="3320" t="s">
        <v>884</v>
      </c>
      <c r="B56" s="3313"/>
      <c r="C56" s="3313"/>
      <c r="D56" s="2005">
        <f ca="1">IF(H56="个人住宅",D57,D58)</f>
        <v>603.75360000000001</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IF(AND(J55="",J56=""),4,IF(项目基本情况!K6="上海银行",结果表111!J56+1,结果表111!J55+1))</f>
        <v>5</v>
      </c>
      <c r="K57" s="3317" t="s">
        <v>888</v>
      </c>
      <c r="L57" s="2264" t="s">
        <v>889</v>
      </c>
      <c r="M57" s="2265"/>
      <c r="N57" s="2266">
        <f ca="1">SUMIF(M52:M56,"&lt;9e307")</f>
        <v>670.72180000000003</v>
      </c>
      <c r="O57" s="2267"/>
      <c r="P57" s="2268">
        <f ca="1">N57/M49</f>
        <v>0.62978572769953056</v>
      </c>
    </row>
    <row r="58" spans="1:35" ht="25.2">
      <c r="A58" s="2225" t="s">
        <v>870</v>
      </c>
      <c r="B58" s="3318" t="s">
        <v>890</v>
      </c>
      <c r="C58" s="3315"/>
      <c r="D58" s="2005">
        <f ca="1">IF(H58="转让取得",C81,C97)</f>
        <v>603.75360000000001</v>
      </c>
      <c r="E58" s="1908" t="s">
        <v>885</v>
      </c>
      <c r="F58" s="1855" t="s">
        <v>124</v>
      </c>
      <c r="G58" s="2227"/>
      <c r="H58" s="2231" t="s">
        <v>891</v>
      </c>
      <c r="I58" s="2239"/>
      <c r="J58" s="3317"/>
      <c r="K58" s="3317"/>
      <c r="L58" s="2264" t="s">
        <v>892</v>
      </c>
      <c r="M58" s="2269"/>
      <c r="N58" s="2270" t="str">
        <f ca="1">NUMBERSTRING(INT(N57*10000),2)&amp;"元整"</f>
        <v>陆佰柒拾万柒仟贰佰壹拾捌元整</v>
      </c>
      <c r="O58" s="2271"/>
    </row>
    <row r="59" spans="1:35" ht="27" thickBot="1">
      <c r="A59" s="3327" t="s">
        <v>893</v>
      </c>
      <c r="B59" s="3328"/>
      <c r="C59" s="3328"/>
      <c r="D59" s="3177">
        <f ca="1">IF(H59="非个人房产","——",IF(H59="个人住宅（满五唯一有凭证）",0,IF(H59="个人其他（无凭证）",ROUND(D45*F59,4),ROUND(C67*F59,4))))</f>
        <v>10.65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394.27819999999997</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叁佰玖拾肆万贰仟柒佰捌拾贰元整</v>
      </c>
      <c r="O60" s="2271"/>
    </row>
    <row r="61" spans="1:35" ht="13.8" thickBot="1">
      <c r="A61" s="3329" t="s">
        <v>896</v>
      </c>
      <c r="B61" s="3329"/>
      <c r="C61" s="3329"/>
      <c r="D61" s="3329"/>
      <c r="E61" s="3329"/>
      <c r="F61" s="2239"/>
      <c r="G61" s="2239"/>
      <c r="H61" s="1459"/>
      <c r="I61" s="1458"/>
      <c r="J61" s="576">
        <f>J59+1</f>
        <v>7</v>
      </c>
      <c r="K61" s="3317" t="s">
        <v>897</v>
      </c>
      <c r="L61" s="3317"/>
      <c r="M61" s="2276"/>
      <c r="N61" s="2488">
        <f ca="1">ROUND(N59*10000/'数据-汇总表'!E3,0)</f>
        <v>4452</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1014.2857</v>
      </c>
      <c r="D63" s="586"/>
      <c r="E63" s="2243"/>
      <c r="F63" s="2239"/>
      <c r="G63" s="2239"/>
      <c r="H63" s="1459"/>
      <c r="I63" s="1458"/>
      <c r="J63" s="3316" t="s">
        <v>902</v>
      </c>
      <c r="K63" s="2278" t="s">
        <v>903</v>
      </c>
      <c r="L63" s="2278">
        <f ca="1">IF(M49&gt;10000,M49*0.5%,IF(AND(M49&gt;1000,M49&lt;=10000),M49*1%,IF(AND(M49&gt;100,M49&lt;=1000),M49*3%,IF(AND(M49&gt;10,M49&lt;=100),M49*5%,M49*8%))))</f>
        <v>10.65</v>
      </c>
      <c r="M63" s="1855">
        <f ca="1">ROUND(L63,1)</f>
        <v>10.7</v>
      </c>
      <c r="N63" s="2279"/>
      <c r="Z63" s="2113"/>
      <c r="AI63" s="2114"/>
    </row>
    <row r="64" spans="1:35" ht="14.25" customHeight="1">
      <c r="A64" s="2244" t="s">
        <v>904</v>
      </c>
      <c r="B64" s="509" t="s">
        <v>905</v>
      </c>
      <c r="C64" s="2245">
        <f ca="1">D45</f>
        <v>1065</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6.3900000000000006</v>
      </c>
      <c r="M64" s="1855">
        <f t="shared" ref="M64:M65" ca="1" si="1">ROUND(L64,1)</f>
        <v>6.4</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1.0649999999999999</v>
      </c>
      <c r="M65" s="1855">
        <f t="shared" ca="1" si="1"/>
        <v>1.1000000000000001</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5.3250000000000002</v>
      </c>
      <c r="M66" s="1855">
        <f ca="1">IF(L66&gt;0.5,0.5,ROUND(L66,0))</f>
        <v>0.5</v>
      </c>
      <c r="N66" s="2019" t="s">
        <v>915</v>
      </c>
      <c r="Z66" s="2113"/>
      <c r="AI66" s="2114"/>
    </row>
    <row r="67" spans="1:35" ht="14.25" customHeight="1">
      <c r="A67" s="2241" t="s">
        <v>916</v>
      </c>
      <c r="B67" s="2282" t="s">
        <v>917</v>
      </c>
      <c r="C67" s="2285">
        <f ca="1">C63-C66</f>
        <v>1014.2857</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2.8475000000000001</v>
      </c>
      <c r="M67" s="1855">
        <f ca="1">ROUND(L67*0.9,1)</f>
        <v>2.6</v>
      </c>
      <c r="N67" s="2279"/>
      <c r="Z67" s="2113"/>
      <c r="AI67" s="2114"/>
    </row>
    <row r="68" spans="1:35" ht="14.25" customHeight="1" thickBot="1">
      <c r="A68" s="2286" t="s">
        <v>919</v>
      </c>
      <c r="B68" s="2287" t="s">
        <v>920</v>
      </c>
      <c r="C68" s="2288">
        <f ca="1">IF(C67&lt;=0,0,ROUND(C67*D68,4))</f>
        <v>55.785699999999999</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21.3</v>
      </c>
      <c r="M68" s="1855">
        <f ca="1">ROUND(L68,1)</f>
        <v>21.3</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43</v>
      </c>
      <c r="N69" s="2358">
        <f ca="1">M69/M49</f>
        <v>4.0375586854460091E-2</v>
      </c>
      <c r="Z69" s="2113"/>
      <c r="AI69" s="2114"/>
    </row>
    <row r="70" spans="1:35" s="886" customFormat="1" ht="14.4" thickBot="1">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1014.2857</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5.0713999999999997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5.0713999999999997</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1009.2143</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199.00112394999408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603.75360000000001</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1009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201.8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604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比较法-商业2</v>
      </c>
      <c r="D101" s="2335" t="str">
        <f>D4</f>
        <v>收益法2</v>
      </c>
      <c r="E101" s="3365" t="s">
        <v>970</v>
      </c>
      <c r="F101" s="3361"/>
      <c r="G101" s="2337" t="s">
        <v>971</v>
      </c>
      <c r="H101" s="2338">
        <f ca="1">H118</f>
        <v>1065</v>
      </c>
      <c r="I101" s="1458"/>
    </row>
    <row r="102" spans="1:35" ht="18.75" customHeight="1">
      <c r="A102" s="3374" t="s">
        <v>972</v>
      </c>
      <c r="B102" s="2339" t="s">
        <v>971</v>
      </c>
      <c r="C102" s="2334">
        <f ca="1">IF(D32="楼面单价",ROUND(C19,0),C19)</f>
        <v>1175</v>
      </c>
      <c r="D102" s="2335">
        <f ca="1">IF(D32="楼面单价",ROUND(D19,0),D19)</f>
        <v>809</v>
      </c>
      <c r="E102" s="3365"/>
      <c r="F102" s="3361"/>
      <c r="G102" s="2337" t="s">
        <v>99</v>
      </c>
      <c r="H102" s="2227">
        <f ca="1">I118</f>
        <v>28410</v>
      </c>
      <c r="I102" s="1458"/>
    </row>
    <row r="103" spans="1:35" ht="42.75" customHeight="1">
      <c r="A103" s="3374"/>
      <c r="B103" s="2339" t="s">
        <v>99</v>
      </c>
      <c r="C103" s="2340">
        <f ca="1">C20</f>
        <v>31337</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1065</v>
      </c>
      <c r="D104" s="2345"/>
      <c r="E104" s="2183" t="s">
        <v>975</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28410</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1065</v>
      </c>
      <c r="I107" s="1458"/>
    </row>
    <row r="108" spans="1:35" ht="18.75" customHeight="1">
      <c r="A108" s="1458"/>
      <c r="B108" s="1458"/>
      <c r="C108" s="1458"/>
      <c r="D108" s="1458"/>
      <c r="E108" s="3360"/>
      <c r="F108" s="3361"/>
      <c r="G108" s="2337" t="s">
        <v>99</v>
      </c>
      <c r="H108" s="2227">
        <f ca="1">IF(H107=H101,H102,ROUND(H107*10000/'数据-汇总表'!E3,0))</f>
        <v>28410</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374.94</v>
      </c>
      <c r="C118" s="868">
        <f>M19</f>
        <v>0</v>
      </c>
      <c r="D118" s="868">
        <f ca="1">ROUND(IF(D32="总价",C34,E118*B118/10000),0)</f>
        <v>770</v>
      </c>
      <c r="E118" s="868">
        <f ca="1">ROUND(IF(C33="自定义",IF(D32="楼面单价",C34,D118*10000/B118),I118-G118),0)</f>
        <v>20540</v>
      </c>
      <c r="F118" s="868">
        <f ca="1">ROUND(IF(D32="总价",C35,G118*B118/10000),0)</f>
        <v>295</v>
      </c>
      <c r="G118" s="868">
        <f ca="1">ROUND(IF(D32="楼面单价",C35,F118*10000/B118),0)</f>
        <v>7870</v>
      </c>
      <c r="H118" s="2357">
        <f ca="1">ROUND(IF(D32="总价",C32,I118*B118/10000),0)</f>
        <v>1065</v>
      </c>
      <c r="I118" s="868">
        <f ca="1">ROUND(IF(D32="楼面单价",C32,H118*10000/B118),0)</f>
        <v>28410</v>
      </c>
    </row>
    <row r="119" spans="1:27" ht="18.75" customHeight="1">
      <c r="A119" s="3338" t="s">
        <v>987</v>
      </c>
      <c r="B119" s="3338"/>
      <c r="C119" s="3338"/>
      <c r="D119" s="3339" t="str">
        <f ca="1">NUMBERSTRING(INT(D118*10000),2)&amp;"元整"</f>
        <v>柒佰柒拾万元整</v>
      </c>
      <c r="E119" s="3341"/>
      <c r="F119" s="3339" t="str">
        <f ca="1">NUMBERSTRING(INT(F118*10000),2)&amp;"元整"</f>
        <v>贰佰玖拾伍万元整</v>
      </c>
      <c r="G119" s="3341"/>
      <c r="H119" s="3339" t="str">
        <f ca="1">NUMBERSTRING(INT(H118*10000),2)&amp;"元整"</f>
        <v>壹仟零陆拾伍万元整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1065</v>
      </c>
      <c r="E122" s="3336"/>
      <c r="F122" s="3336"/>
      <c r="G122" s="3336"/>
      <c r="H122" s="3336"/>
      <c r="I122" s="3337"/>
      <c r="AA122" s="1417"/>
    </row>
    <row r="123" spans="1:27" ht="18.75" customHeight="1">
      <c r="A123" s="3338" t="s">
        <v>987</v>
      </c>
      <c r="B123" s="3338"/>
      <c r="C123" s="3338"/>
      <c r="D123" s="3339" t="str">
        <f ca="1">NUMBERSTRING(INT(D122*10000),2)&amp;"元整"</f>
        <v>壹仟零陆拾伍万元整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31337</v>
      </c>
      <c r="C3" s="1273" t="s">
        <v>1344</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5" thickBot="1">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1605</v>
      </c>
      <c r="C25" s="976" t="s">
        <v>2862</v>
      </c>
      <c r="D25" s="755">
        <v>100</v>
      </c>
      <c r="E25" s="976" t="s">
        <v>2860</v>
      </c>
      <c r="F25" s="1097">
        <f>SUMIF(86:86,E25,87:87)-SUMIF(86:86,C25,87:87)+100</f>
        <v>102</v>
      </c>
      <c r="G25" s="976" t="s">
        <v>2860</v>
      </c>
      <c r="H25" s="755">
        <f>SUMIF(86:86,G25,87:87)-SUMIF(86:86,C25,87:87)+100</f>
        <v>102</v>
      </c>
      <c r="I25" s="976" t="s">
        <v>2860</v>
      </c>
      <c r="J25" s="755">
        <f>SUMIF(86:86,I25,87:87)-SUMIF(86:86,C25,87:87)+100</f>
        <v>102</v>
      </c>
      <c r="K25" s="1088">
        <v>2</v>
      </c>
      <c r="L25" s="1081"/>
      <c r="M25" s="1015"/>
      <c r="N25" s="1015"/>
      <c r="O25" s="1015"/>
      <c r="P25" s="3408"/>
      <c r="Q25" s="621" t="str">
        <f t="shared" ref="Q25:Q46" si="11">B25</f>
        <v>临街状况</v>
      </c>
      <c r="R25" s="1118" t="s">
        <v>1357</v>
      </c>
      <c r="S25" s="1119">
        <f>F25</f>
        <v>102</v>
      </c>
      <c r="T25" s="1118" t="s">
        <v>1357</v>
      </c>
      <c r="U25" s="1119">
        <f>H25</f>
        <v>102</v>
      </c>
      <c r="V25" s="1118" t="s">
        <v>1357</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08"/>
      <c r="Q26" s="621" t="str">
        <f t="shared" si="11"/>
        <v>平面位置/可视性</v>
      </c>
      <c r="R26" s="1118" t="s">
        <v>1357</v>
      </c>
      <c r="S26" s="1119">
        <f>F26</f>
        <v>100</v>
      </c>
      <c r="T26" s="1118" t="s">
        <v>1357</v>
      </c>
      <c r="U26" s="1119">
        <f>H26</f>
        <v>100</v>
      </c>
      <c r="V26" s="1118" t="s">
        <v>1357</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940" t="s">
        <v>1384</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1357</v>
      </c>
      <c r="S33" s="1121">
        <f t="shared" si="12"/>
        <v>102</v>
      </c>
      <c r="T33" s="1120" t="s">
        <v>1357</v>
      </c>
      <c r="U33" s="1121">
        <f t="shared" si="13"/>
        <v>102</v>
      </c>
      <c r="V33" s="1120" t="s">
        <v>1357</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5" thickBot="1">
      <c r="A49" s="1012" t="s">
        <v>1402</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2861</v>
      </c>
      <c r="D86" s="2106" t="s">
        <v>2863</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111</v>
      </c>
      <c r="D1" s="1827" t="s">
        <v>124</v>
      </c>
      <c r="E1" s="1828" t="s">
        <v>1146</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809.1404</v>
      </c>
      <c r="C2" s="1833" t="s">
        <v>1148</v>
      </c>
      <c r="D2" s="1834">
        <f ca="1">C40+J29+L46</f>
        <v>8091404</v>
      </c>
      <c r="E2" s="1835" t="s">
        <v>1437</v>
      </c>
      <c r="F2" s="1836"/>
      <c r="G2" s="1837"/>
      <c r="H2" s="1838"/>
      <c r="I2" s="1838"/>
      <c r="J2" s="1838"/>
      <c r="K2" s="1993"/>
      <c r="L2" s="1838"/>
      <c r="M2" s="1838"/>
    </row>
    <row r="3" spans="1:37" ht="18" customHeight="1" thickBo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561114</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560413</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374.94</v>
      </c>
      <c r="G7" s="714"/>
      <c r="H7" s="1861"/>
      <c r="I7" s="3388"/>
      <c r="J7" s="1862"/>
      <c r="K7" s="1859"/>
      <c r="L7" s="1855" t="s">
        <v>1163</v>
      </c>
      <c r="M7" s="1856">
        <f ca="1">F7</f>
        <v>374.94</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701</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1816052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1499760</v>
      </c>
      <c r="D14" s="1886" t="s">
        <v>1176</v>
      </c>
      <c r="E14" s="1887"/>
      <c r="F14" s="1888"/>
      <c r="G14" s="714"/>
      <c r="H14" s="1884" t="s">
        <v>904</v>
      </c>
      <c r="I14" s="1855" t="s">
        <v>1177</v>
      </c>
      <c r="J14" s="1469">
        <f ca="1">C29</f>
        <v>2188014</v>
      </c>
      <c r="K14" s="2005"/>
      <c r="L14" s="2006"/>
      <c r="M14" s="2007"/>
    </row>
    <row r="15" spans="1:37" s="1823" customFormat="1" ht="18" customHeight="1" thickBot="1">
      <c r="A15" s="1884" t="s">
        <v>932</v>
      </c>
      <c r="B15" s="1855" t="s">
        <v>1106</v>
      </c>
      <c r="C15" s="1469">
        <f ca="1">ROUND(C14*F15,0)</f>
        <v>74988</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4376</v>
      </c>
      <c r="K16" s="1904" t="s">
        <v>1182</v>
      </c>
      <c r="L16" s="1905"/>
      <c r="M16" s="1851"/>
    </row>
    <row r="17" spans="1:37" s="1823" customFormat="1" ht="18" customHeight="1">
      <c r="A17" s="1884" t="s">
        <v>1183</v>
      </c>
      <c r="B17" s="1855" t="s">
        <v>1184</v>
      </c>
      <c r="C17" s="1469">
        <f ca="1">ROUND(F17*(F43+INDIRECT("'数据-取费表'!S"&amp;$G$1)),0)</f>
        <v>74988</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29995</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1679731</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33595</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4376</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-4376</v>
      </c>
      <c r="K25" s="1923" t="s">
        <v>1220</v>
      </c>
      <c r="L25" s="1924"/>
      <c r="M25" s="1925"/>
    </row>
    <row r="26" spans="1:37" ht="18" customHeight="1">
      <c r="A26" s="1884" t="s">
        <v>927</v>
      </c>
      <c r="B26" s="1855" t="s">
        <v>1221</v>
      </c>
      <c r="C26" s="1469">
        <f ca="1">ROUND((C19+C20)*F26,0)</f>
        <v>256999</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2188014</v>
      </c>
      <c r="D29" s="1901"/>
      <c r="E29" s="1877"/>
      <c r="F29" s="1902"/>
      <c r="G29" s="1891"/>
      <c r="H29" s="1903" t="s">
        <v>1236</v>
      </c>
      <c r="I29" s="1932" t="s">
        <v>1237</v>
      </c>
      <c r="J29" s="1933">
        <f ca="1">ROUND(J26/(1+F40)^F41,0)</f>
        <v>0</v>
      </c>
      <c r="K29" s="1934" t="s">
        <v>1238</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102400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93402</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29355</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64047</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4376</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1816</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2806</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458714</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7974112</v>
      </c>
      <c r="D40" s="1914" t="s">
        <v>1226</v>
      </c>
      <c r="E40" s="1855" t="s">
        <v>1227</v>
      </c>
      <c r="F40" s="1863">
        <f ca="1">INDIRECT("'数据-取费表'!I"&amp;$G$1)</f>
        <v>5.5E-2</v>
      </c>
      <c r="G40" s="714"/>
      <c r="H40" s="1927">
        <f ca="1">C39/C5</f>
        <v>0.81750589006868479</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21268</v>
      </c>
      <c r="D43" s="1934" t="s">
        <v>1243</v>
      </c>
      <c r="E43" s="1935" t="s">
        <v>1244</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-806.1268</v>
      </c>
      <c r="D45" s="1941" t="s">
        <v>1445</v>
      </c>
      <c r="E45" s="1937"/>
      <c r="F45" s="1937"/>
      <c r="O45" s="2021" t="s">
        <v>1245</v>
      </c>
      <c r="P45" s="1927"/>
      <c r="Q45" s="1927"/>
      <c r="R45" s="1927"/>
    </row>
    <row r="46" spans="1:18" s="714" customFormat="1" ht="13.8" thickBot="1">
      <c r="A46" s="1942" t="s">
        <v>1246</v>
      </c>
      <c r="C46" s="1943">
        <f ca="1">ROUND(C45,0)</f>
        <v>-806</v>
      </c>
      <c r="D46" s="1944" t="str">
        <f>C2</f>
        <v>万元</v>
      </c>
      <c r="I46" s="2022" t="s">
        <v>1247</v>
      </c>
      <c r="J46" s="2023"/>
      <c r="K46" s="2024"/>
      <c r="L46" s="2025">
        <f ca="1">IF(M47="住宅",0,IF(L48&gt;J51,L60,J60))</f>
        <v>117292</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7974112</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117292</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2188014</v>
      </c>
      <c r="R49" s="2070" t="s">
        <v>1255</v>
      </c>
    </row>
    <row r="50" spans="1:18" s="714" customFormat="1" ht="13.8" thickBot="1">
      <c r="A50" s="1960"/>
      <c r="B50" s="1431"/>
      <c r="C50" s="1961"/>
      <c r="D50" s="1962"/>
      <c r="E50" s="1963" t="s">
        <v>1163</v>
      </c>
      <c r="F50" s="1964">
        <f ca="1">F7</f>
        <v>374.94</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6053489</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8091404</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1816052</v>
      </c>
      <c r="D56" s="1974"/>
      <c r="E56" s="1975"/>
      <c r="F56" s="1971"/>
      <c r="I56" s="2058" t="s">
        <v>1289</v>
      </c>
      <c r="J56" s="2059" t="s">
        <v>1449</v>
      </c>
      <c r="K56" s="2035" t="s">
        <v>1290</v>
      </c>
      <c r="L56" s="2038" t="str">
        <f ca="1">IF(L48&lt;J51,"——",L48-J51)</f>
        <v>——</v>
      </c>
      <c r="O56" s="2033" t="s">
        <v>1011</v>
      </c>
      <c r="P56" s="2034" t="s">
        <v>1254</v>
      </c>
      <c r="Q56" s="2070">
        <f ca="1">C40+J29</f>
        <v>7974112</v>
      </c>
      <c r="R56" s="2070" t="s">
        <v>1255</v>
      </c>
    </row>
    <row r="57" spans="1:18" s="714" customFormat="1" ht="24.6" thickBot="1">
      <c r="A57" s="1976"/>
      <c r="B57" s="1977" t="s">
        <v>1235</v>
      </c>
      <c r="C57" s="388">
        <f ca="1">C29</f>
        <v>2188014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6192</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117292</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7974112</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4376</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1816</v>
      </c>
      <c r="D65" s="1985" t="s">
        <v>1212</v>
      </c>
      <c r="E65" s="1977" t="s">
        <v>1179</v>
      </c>
      <c r="F65" s="1921">
        <f t="shared" ca="1" si="0"/>
        <v>1E-3</v>
      </c>
      <c r="I65" s="2066" t="s">
        <v>1313</v>
      </c>
      <c r="J65" s="1032">
        <v>40</v>
      </c>
      <c r="K65" s="1032">
        <v>30</v>
      </c>
      <c r="L65" s="1032">
        <v>50</v>
      </c>
      <c r="M65" s="2068">
        <v>0.02</v>
      </c>
      <c r="O65" s="2033" t="s">
        <v>1011</v>
      </c>
      <c r="P65" s="2034" t="s">
        <v>1254</v>
      </c>
      <c r="Q65" s="2070">
        <f ca="1">C40+J29</f>
        <v>7974112</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-6192</v>
      </c>
      <c r="D67" s="1984" t="s">
        <v>1220</v>
      </c>
      <c r="E67" s="2073"/>
      <c r="F67" s="2074"/>
      <c r="O67" s="2041" t="s">
        <v>1266</v>
      </c>
      <c r="P67" s="2034" t="s">
        <v>1297</v>
      </c>
      <c r="Q67" s="2094">
        <f ca="1">L51</f>
        <v>6053489</v>
      </c>
      <c r="R67" s="2070" t="s">
        <v>1314</v>
      </c>
    </row>
    <row r="68" spans="1:18" s="714" customFormat="1" ht="16.2" thickBot="1">
      <c r="A68" s="2075" t="s">
        <v>1224</v>
      </c>
      <c r="B68" s="2076" t="s">
        <v>1241</v>
      </c>
      <c r="C68" s="1926">
        <f ca="1">ROUND(C67*(1-((1+F70)/(1+F68))^F69)/(F68-F70),0)</f>
        <v>-87156</v>
      </c>
      <c r="D68" s="1987" t="s">
        <v>1226</v>
      </c>
      <c r="E68" s="1977" t="s">
        <v>1227</v>
      </c>
      <c r="F68" s="1863">
        <f ca="1">F40</f>
        <v>5.5E-2</v>
      </c>
      <c r="O68" s="2041" t="s">
        <v>1270</v>
      </c>
      <c r="P68" s="2093" t="s">
        <v>1315</v>
      </c>
      <c r="Q68" s="2070">
        <f ca="1">ROUND(Q69-Q70*Q71,0)</f>
        <v>331590</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458714</v>
      </c>
      <c r="R69" s="2070" t="s">
        <v>1255</v>
      </c>
    </row>
    <row r="70" spans="1:18" s="714" customFormat="1" ht="13.8" thickBot="1">
      <c r="A70" s="2080"/>
      <c r="B70" s="2081"/>
      <c r="C70" s="1881"/>
      <c r="D70" s="1989"/>
      <c r="E70" s="1977" t="s">
        <v>1234</v>
      </c>
      <c r="F70" s="1967"/>
      <c r="O70" s="2041" t="s">
        <v>1319</v>
      </c>
      <c r="P70" s="2093" t="s">
        <v>1320</v>
      </c>
      <c r="Q70" s="2070">
        <f ca="1">C13</f>
        <v>1816052</v>
      </c>
      <c r="R70" s="2070" t="s">
        <v>1255</v>
      </c>
    </row>
    <row r="71" spans="1:18" s="714" customFormat="1" ht="13.8" thickBot="1">
      <c r="A71" s="2082" t="s">
        <v>1236</v>
      </c>
      <c r="B71" s="2083" t="s">
        <v>1242</v>
      </c>
      <c r="C71" s="1933">
        <f ca="1">ROUND(C68/F71,0)</f>
        <v>-232</v>
      </c>
      <c r="D71" s="2084" t="s">
        <v>1243</v>
      </c>
      <c r="E71" s="2085" t="s">
        <v>1244</v>
      </c>
      <c r="F71" s="1936">
        <f ca="1">F43</f>
        <v>374.94</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127124</v>
      </c>
      <c r="D75" s="714"/>
      <c r="E75" s="714"/>
      <c r="F75" s="714"/>
      <c r="K75" s="2020"/>
      <c r="L75" s="714"/>
      <c r="O75" s="2033" t="s">
        <v>1108</v>
      </c>
      <c r="P75" s="2034" t="s">
        <v>1284</v>
      </c>
      <c r="Q75" s="2070">
        <f ca="1">Q65+Q66</f>
        <v>7974112</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topLeftCell="A100" zoomScaleNormal="100" zoomScaleSheetLayoutView="100" zoomScalePageLayoutView="80" workbookViewId="0">
      <selection activeCell="I12" sqref="I1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112</v>
      </c>
      <c r="D1" s="1998"/>
      <c r="E1" s="1998"/>
      <c r="F1" s="2117" t="s">
        <v>778</v>
      </c>
      <c r="G1" s="2118"/>
      <c r="H1" s="2117" t="str">
        <f>IF(G1="现房","——","估价对象范围")</f>
        <v>估价对象范围</v>
      </c>
      <c r="I1" s="2247"/>
    </row>
    <row r="2" spans="1:12" ht="21.75" customHeight="1" thickBo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2865</v>
      </c>
      <c r="D4" s="2121" t="s">
        <v>2857</v>
      </c>
      <c r="E4" s="3293" t="s">
        <v>782</v>
      </c>
      <c r="F4" s="3294"/>
      <c r="G4" s="3294"/>
      <c r="H4" s="3294"/>
      <c r="I4" s="3295"/>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thickBo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805</v>
      </c>
      <c r="B19" s="2132" t="s">
        <v>806</v>
      </c>
      <c r="C19" s="2133">
        <f ca="1">SUMIF(INDIRECT("'"&amp;C4&amp;"'"&amp;"!A:A"),结果表112!B19,INDIRECT("'"&amp;C4&amp;"'"&amp;"!B:B"))</f>
        <v>477.52969999999999</v>
      </c>
      <c r="D19" s="1245">
        <f ca="1">SUMIF(INDIRECT("'"&amp;D4&amp;"'"&amp;"!A:A"),结果表112!B19,INDIRECT("'"&amp;D4&amp;"'"&amp;"!B:B"))</f>
        <v>335.29700000000003</v>
      </c>
      <c r="E19" s="1129" t="s">
        <v>807</v>
      </c>
      <c r="F19" s="2132" t="s">
        <v>806</v>
      </c>
      <c r="G19" s="2134">
        <f ca="1">ROUND(C19*$C$18+D19*$D$18,0)</f>
        <v>435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SUMIF(INDIRECT("'"&amp;C4&amp;"'"&amp;"!A:A"),结果表112!B20,INDIRECT("'"&amp;C4&amp;"'"&amp;"!B:B"))</f>
        <v>30735</v>
      </c>
      <c r="D20" s="1602">
        <f ca="1">SUMIF(INDIRECT("'"&amp;D4&amp;"'"&amp;"!A:A"),结果表112!B20,INDIRECT("'"&amp;D4&amp;"'"&amp;"!B:B"))</f>
        <v>21581</v>
      </c>
      <c r="E20" s="2136"/>
      <c r="F20" s="2137" t="s">
        <v>809</v>
      </c>
      <c r="G20" s="2138">
        <f ca="1">ROUND(C20*$C$18+D20*$D$18,0)</f>
        <v>27989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0.42419914284947358</v>
      </c>
      <c r="E22" s="1458"/>
      <c r="F22" s="1458"/>
      <c r="G22" s="1458"/>
      <c r="H22" s="1458"/>
      <c r="I22" s="1458"/>
    </row>
    <row r="23" spans="1:36" ht="13.8" thickBot="1">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c r="K24" s="1522" t="s">
        <v>2874</v>
      </c>
      <c r="L24" s="1522" t="s">
        <v>2873</v>
      </c>
      <c r="M24" s="1522" t="s">
        <v>2872</v>
      </c>
    </row>
    <row r="25" spans="1:36" ht="14.4">
      <c r="A25" s="3370"/>
      <c r="B25" s="2137" t="s">
        <v>809</v>
      </c>
      <c r="C25" s="2149">
        <f>IF(B30=0,0,C30)</f>
        <v>0</v>
      </c>
      <c r="D25" s="2150"/>
      <c r="E25" s="1458"/>
      <c r="F25" s="1458"/>
      <c r="G25" s="1458"/>
      <c r="H25" s="1458"/>
      <c r="I25" s="1458"/>
      <c r="K25" s="3196">
        <v>110</v>
      </c>
      <c r="L25" s="3196">
        <f ca="1">结果表110!G20</f>
        <v>28410</v>
      </c>
      <c r="M25" s="3196">
        <f ca="1">结果表110!G19</f>
        <v>1009</v>
      </c>
      <c r="N25" s="1417">
        <v>1008</v>
      </c>
    </row>
    <row r="26" spans="1:36" ht="13.5" customHeight="1">
      <c r="A26" s="2151" t="s">
        <v>814</v>
      </c>
      <c r="B26" s="2152" t="s">
        <v>815</v>
      </c>
      <c r="C26" s="2152" t="s">
        <v>816</v>
      </c>
      <c r="D26" s="2153" t="s">
        <v>817</v>
      </c>
      <c r="E26" s="1458"/>
      <c r="F26" s="1458"/>
      <c r="G26" s="1458"/>
      <c r="H26" s="1458"/>
      <c r="I26" s="1458"/>
      <c r="K26" s="3196">
        <v>111</v>
      </c>
      <c r="L26" s="3196">
        <f ca="1">结果表111!G20</f>
        <v>28410</v>
      </c>
      <c r="M26" s="3196">
        <f ca="1">结果表111!G19</f>
        <v>1065</v>
      </c>
      <c r="N26" s="1417">
        <v>1064</v>
      </c>
    </row>
    <row r="27" spans="1:36" ht="13.8">
      <c r="A27" s="2151"/>
      <c r="B27" s="2152">
        <v>0</v>
      </c>
      <c r="C27" s="2152">
        <v>0</v>
      </c>
      <c r="D27" s="2153">
        <f>ROUND(C27*B27/10000,0)</f>
        <v>0</v>
      </c>
      <c r="E27" s="1458"/>
      <c r="F27" s="1458"/>
      <c r="G27" s="1458"/>
      <c r="H27" s="1458"/>
      <c r="I27" s="1458"/>
      <c r="K27" s="3196">
        <v>112</v>
      </c>
      <c r="L27" s="3196">
        <f ca="1">G20</f>
        <v>27989</v>
      </c>
      <c r="M27" s="3196">
        <f ca="1">G19</f>
        <v>435</v>
      </c>
      <c r="N27" s="1417">
        <v>435</v>
      </c>
    </row>
    <row r="28" spans="1:36" ht="13.8">
      <c r="A28" s="2151"/>
      <c r="B28" s="2152"/>
      <c r="C28" s="2152"/>
      <c r="D28" s="2153"/>
      <c r="E28" s="1458"/>
      <c r="F28" s="1458"/>
      <c r="G28" s="1458"/>
      <c r="H28" s="1458"/>
      <c r="I28" s="1458"/>
      <c r="K28" s="3197" t="s">
        <v>2875</v>
      </c>
      <c r="L28" s="3196" t="s">
        <v>2876</v>
      </c>
      <c r="M28" s="3196">
        <f ca="1">SUM(M25:M27)</f>
        <v>2509</v>
      </c>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27989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20236</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5" thickBot="1">
      <c r="A35" s="2172"/>
      <c r="B35" s="2173" t="s">
        <v>827</v>
      </c>
      <c r="C35" s="2174">
        <f ca="1">IF(C33="自定义",F35,ROUND(C32*D35,0))</f>
        <v>7753</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5" thickBot="1">
      <c r="A36" s="3371" t="s">
        <v>829</v>
      </c>
      <c r="B36" s="2178" t="s">
        <v>830</v>
      </c>
      <c r="C36" s="2179"/>
      <c r="D36" s="2180"/>
      <c r="E36" s="2181"/>
      <c r="F36" s="2182"/>
      <c r="G36" s="1458"/>
      <c r="H36" s="1458"/>
      <c r="I36" s="1458"/>
    </row>
    <row r="37" spans="1:15" ht="15" thickBot="1">
      <c r="A37" s="3372"/>
      <c r="B37" s="2183" t="s">
        <v>831</v>
      </c>
      <c r="C37" s="2184"/>
      <c r="D37" s="2185"/>
      <c r="E37" s="2185"/>
      <c r="F37" s="2182"/>
      <c r="G37" s="1458"/>
      <c r="H37" s="1458"/>
      <c r="I37" s="1458"/>
    </row>
    <row r="38" spans="1:15" ht="15" thickBot="1">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298" t="s">
        <v>840</v>
      </c>
      <c r="B45" s="3299"/>
      <c r="C45" s="3300"/>
      <c r="D45" s="2204">
        <f ca="1">ROUND(H101*F45,4)</f>
        <v>435</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435</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435</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23</v>
      </c>
      <c r="E52" s="1908" t="s">
        <v>872</v>
      </c>
      <c r="F52" s="2226">
        <f>'数据-取费表'!B41</f>
        <v>5.5000000000000007E-2</v>
      </c>
      <c r="G52" s="2227"/>
      <c r="H52" s="2019"/>
      <c r="I52" s="2256"/>
      <c r="J52" s="576">
        <v>1</v>
      </c>
      <c r="K52" s="3317" t="s">
        <v>873</v>
      </c>
      <c r="L52" s="3317"/>
      <c r="M52" s="2257">
        <f ca="1">D48</f>
        <v>22.785699999999999</v>
      </c>
      <c r="N52" s="576" t="str">
        <f>E48</f>
        <v>(销售额-原购置价)×税（费）率</v>
      </c>
      <c r="O52" s="2258">
        <f>F48</f>
        <v>5.5000000000000007E-2</v>
      </c>
    </row>
    <row r="53" spans="1:35" ht="12" customHeight="1">
      <c r="A53" s="2225" t="s">
        <v>874</v>
      </c>
      <c r="B53" s="3318" t="s">
        <v>875</v>
      </c>
      <c r="C53" s="3319"/>
      <c r="D53" s="1904">
        <f ca="1">ROUND(D45*'数据-取费表'!B41/(1+'数据-取费表'!C42),0)</f>
        <v>23</v>
      </c>
      <c r="E53" s="1908" t="s">
        <v>872</v>
      </c>
      <c r="F53" s="2226">
        <f>'数据-取费表'!B41</f>
        <v>5.5000000000000007E-2</v>
      </c>
      <c r="G53" s="2227"/>
      <c r="H53" s="2019"/>
      <c r="I53" s="2256"/>
      <c r="J53" s="576">
        <v>2</v>
      </c>
      <c r="K53" s="3317" t="s">
        <v>876</v>
      </c>
      <c r="L53" s="3317"/>
      <c r="M53" s="2257">
        <f t="shared" ref="M53:O54" ca="1" si="0">D55</f>
        <v>0.2175</v>
      </c>
      <c r="N53" s="576" t="str">
        <f t="shared" si="0"/>
        <v>销售额×税（费）率</v>
      </c>
      <c r="O53" s="2258">
        <f t="shared" si="0"/>
        <v>5.0000000000000001E-4</v>
      </c>
    </row>
    <row r="54" spans="1:35" ht="12" customHeight="1">
      <c r="A54" s="2225" t="s">
        <v>877</v>
      </c>
      <c r="B54" s="3318" t="s">
        <v>878</v>
      </c>
      <c r="C54" s="3319"/>
      <c r="D54" s="1904">
        <f ca="1">C68</f>
        <v>22.785699999999999</v>
      </c>
      <c r="E54" s="1918" t="s">
        <v>879</v>
      </c>
      <c r="F54" s="2226">
        <f>'数据-取费表'!B41</f>
        <v>5.5000000000000007E-2</v>
      </c>
      <c r="G54" s="2227"/>
      <c r="H54" s="2228"/>
      <c r="I54" s="2256"/>
      <c r="J54" s="576">
        <v>3</v>
      </c>
      <c r="K54" s="3317" t="s">
        <v>880</v>
      </c>
      <c r="L54" s="3317"/>
      <c r="M54" s="2257">
        <f t="shared" ca="1" si="0"/>
        <v>246.6036</v>
      </c>
      <c r="N54" s="576" t="str">
        <f t="shared" si="0"/>
        <v>增值额×税（费）率</v>
      </c>
      <c r="O54" s="2259" t="str">
        <f t="shared" si="0"/>
        <v>——</v>
      </c>
    </row>
    <row r="55" spans="1:35" ht="24" customHeight="1">
      <c r="A55" s="3320" t="s">
        <v>881</v>
      </c>
      <c r="B55" s="3313"/>
      <c r="C55" s="3313"/>
      <c r="D55" s="2229">
        <f ca="1">IF(H55="个人住宅",0,ROUND(D45*I55,4))</f>
        <v>0.2175</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4.3499999999999996</v>
      </c>
      <c r="N55" s="557" t="str">
        <f>E59</f>
        <v>销售额×税（费）率</v>
      </c>
      <c r="O55" s="2262">
        <f>F59</f>
        <v>0.01</v>
      </c>
    </row>
    <row r="56" spans="1:35" ht="25.2">
      <c r="A56" s="3320" t="s">
        <v>884</v>
      </c>
      <c r="B56" s="3313"/>
      <c r="C56" s="3313"/>
      <c r="D56" s="2005">
        <f ca="1">IF(H56="个人住宅",D57,D58)</f>
        <v>246.6036</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IF(AND(J55="",J56=""),4,IF(项目基本情况!K6="上海银行",结果表112!J56+1,结果表112!J55+1))</f>
        <v>5</v>
      </c>
      <c r="K57" s="3317" t="s">
        <v>888</v>
      </c>
      <c r="L57" s="2264" t="s">
        <v>889</v>
      </c>
      <c r="M57" s="2265"/>
      <c r="N57" s="2266">
        <f ca="1">SUMIF(M52:M56,"&lt;9e307")</f>
        <v>273.95680000000004</v>
      </c>
      <c r="O57" s="2267"/>
      <c r="P57" s="2268">
        <f ca="1">N57/M49</f>
        <v>0.62978574712643687</v>
      </c>
    </row>
    <row r="58" spans="1:35" ht="25.2">
      <c r="A58" s="2225" t="s">
        <v>870</v>
      </c>
      <c r="B58" s="3318" t="s">
        <v>890</v>
      </c>
      <c r="C58" s="3315"/>
      <c r="D58" s="2005">
        <f ca="1">IF(H58="转让取得",C81,C97)</f>
        <v>246.6036</v>
      </c>
      <c r="E58" s="1908" t="s">
        <v>885</v>
      </c>
      <c r="F58" s="1855" t="s">
        <v>124</v>
      </c>
      <c r="G58" s="2227"/>
      <c r="H58" s="2231" t="s">
        <v>891</v>
      </c>
      <c r="I58" s="2239"/>
      <c r="J58" s="3317"/>
      <c r="K58" s="3317"/>
      <c r="L58" s="2264" t="s">
        <v>892</v>
      </c>
      <c r="M58" s="2269"/>
      <c r="N58" s="2270" t="str">
        <f ca="1">NUMBERSTRING(INT(N57*10000),2)&amp;"元整"</f>
        <v>贰佰柒拾叁万玖仟伍佰陆拾捌元整</v>
      </c>
      <c r="O58" s="2271"/>
    </row>
    <row r="59" spans="1:35" ht="27" thickBot="1">
      <c r="A59" s="3327" t="s">
        <v>893</v>
      </c>
      <c r="B59" s="3328"/>
      <c r="C59" s="3328"/>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161.04319999999996</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壹佰陆拾壹万零肆佰叁拾贰元整</v>
      </c>
      <c r="O60" s="2271"/>
    </row>
    <row r="61" spans="1:35" ht="13.8" thickBot="1">
      <c r="A61" s="3329" t="s">
        <v>896</v>
      </c>
      <c r="B61" s="3329"/>
      <c r="C61" s="3329"/>
      <c r="D61" s="3329"/>
      <c r="E61" s="3329"/>
      <c r="F61" s="2239"/>
      <c r="G61" s="2239"/>
      <c r="H61" s="1459"/>
      <c r="I61" s="1458"/>
      <c r="J61" s="576">
        <f>J59+1</f>
        <v>7</v>
      </c>
      <c r="K61" s="3317" t="s">
        <v>897</v>
      </c>
      <c r="L61" s="3317"/>
      <c r="M61" s="2276"/>
      <c r="N61" s="2488">
        <f ca="1">ROUND(N59*10000/'数据-汇总表'!E3,0)</f>
        <v>1818</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414.28570000000002</v>
      </c>
      <c r="D63" s="586"/>
      <c r="E63" s="2243"/>
      <c r="F63" s="2239"/>
      <c r="G63" s="2239"/>
      <c r="H63" s="1459"/>
      <c r="I63" s="1458"/>
      <c r="J63" s="3316" t="s">
        <v>902</v>
      </c>
      <c r="K63" s="2278" t="s">
        <v>903</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904</v>
      </c>
      <c r="B64" s="509" t="s">
        <v>905</v>
      </c>
      <c r="C64" s="2245">
        <f ca="1">D45</f>
        <v>435</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4.3500000000000005</v>
      </c>
      <c r="M65" s="1855">
        <f t="shared" ca="1" si="1"/>
        <v>4.4000000000000004</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2.1750000000000003</v>
      </c>
      <c r="M66" s="1855">
        <f ca="1">IF(L66&gt;0.5,0.5,ROUND(L66,0))</f>
        <v>0.5</v>
      </c>
      <c r="N66" s="2019" t="s">
        <v>915</v>
      </c>
      <c r="Z66" s="2113"/>
      <c r="AI66" s="2114"/>
    </row>
    <row r="67" spans="1:35" ht="14.25" customHeight="1">
      <c r="A67" s="2241" t="s">
        <v>916</v>
      </c>
      <c r="B67" s="2282" t="s">
        <v>917</v>
      </c>
      <c r="C67" s="2285">
        <f ca="1">C63-C66</f>
        <v>414.28570000000002</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919</v>
      </c>
      <c r="B68" s="2287" t="s">
        <v>920</v>
      </c>
      <c r="C68" s="2288">
        <f ca="1">IF(C67&lt;=0,0,ROUND(C67*D68,4))</f>
        <v>22.785699999999999</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36</v>
      </c>
      <c r="N69" s="2358">
        <f ca="1">M69/M49</f>
        <v>8.2758620689655171E-2</v>
      </c>
      <c r="Z69" s="2113"/>
      <c r="AI69" s="2114"/>
    </row>
    <row r="70" spans="1:35" s="886" customFormat="1" ht="14.4" thickBot="1">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2.0714000000000001</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比较法-商业3</v>
      </c>
      <c r="D101" s="2335" t="str">
        <f>D4</f>
        <v>收益法3</v>
      </c>
      <c r="E101" s="3365" t="s">
        <v>970</v>
      </c>
      <c r="F101" s="3361"/>
      <c r="G101" s="2337" t="s">
        <v>971</v>
      </c>
      <c r="H101" s="2338">
        <f ca="1">H118</f>
        <v>435</v>
      </c>
      <c r="I101" s="1458"/>
    </row>
    <row r="102" spans="1:35" ht="18.75" customHeight="1">
      <c r="A102" s="3374" t="s">
        <v>972</v>
      </c>
      <c r="B102" s="2339" t="s">
        <v>971</v>
      </c>
      <c r="C102" s="2334">
        <f ca="1">IF(D32="楼面单价",ROUND(C19,0),C19)</f>
        <v>478</v>
      </c>
      <c r="D102" s="2335">
        <f ca="1">IF(D32="楼面单价",ROUND(D19,0),D19)</f>
        <v>335</v>
      </c>
      <c r="E102" s="3365"/>
      <c r="F102" s="3361"/>
      <c r="G102" s="2337" t="s">
        <v>99</v>
      </c>
      <c r="H102" s="2227">
        <f ca="1">I118</f>
        <v>27989</v>
      </c>
      <c r="I102" s="1458"/>
    </row>
    <row r="103" spans="1:35" ht="42.75" customHeight="1">
      <c r="A103" s="3374"/>
      <c r="B103" s="2339" t="s">
        <v>99</v>
      </c>
      <c r="C103" s="2340">
        <f ca="1">C20</f>
        <v>30735</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435</v>
      </c>
      <c r="D104" s="2345"/>
      <c r="E104" s="2183" t="s">
        <v>975</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27989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435</v>
      </c>
      <c r="I107" s="1458"/>
    </row>
    <row r="108" spans="1:35" ht="18.75" customHeight="1">
      <c r="A108" s="1458"/>
      <c r="B108" s="1458"/>
      <c r="C108" s="1458"/>
      <c r="D108" s="1458"/>
      <c r="E108" s="3360"/>
      <c r="F108" s="3361"/>
      <c r="G108" s="2337" t="s">
        <v>99</v>
      </c>
      <c r="H108" s="2227">
        <f ca="1">IF(H107=H101,H102,ROUND(H107*10000/'数据-汇总表'!E3,0))</f>
        <v>27989</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155.37</v>
      </c>
      <c r="C118" s="868">
        <f>M19</f>
        <v>0</v>
      </c>
      <c r="D118" s="868">
        <f ca="1">ROUND(IF(D32="总价",C34,E118*B118/10000),0)</f>
        <v>314</v>
      </c>
      <c r="E118" s="868">
        <f ca="1">ROUND(IF(C33="自定义",IF(D32="楼面单价",C34,D118*10000/B118),I118-G118),0)</f>
        <v>20236</v>
      </c>
      <c r="F118" s="868">
        <f ca="1">ROUND(IF(D32="总价",C35,G118*B118/10000),0)</f>
        <v>120</v>
      </c>
      <c r="G118" s="868">
        <f ca="1">ROUND(IF(D32="楼面单价",C35,F118*10000/B118),0)</f>
        <v>7753</v>
      </c>
      <c r="H118" s="2357">
        <f ca="1">ROUND(IF(D32="总价",C32,I118*B118/10000),0)</f>
        <v>435</v>
      </c>
      <c r="I118" s="868">
        <f ca="1">ROUND(IF(D32="楼面单价",C32,H118*10000/B118),0)</f>
        <v>27989</v>
      </c>
    </row>
    <row r="119" spans="1:27" ht="18.75" customHeight="1">
      <c r="A119" s="3338" t="s">
        <v>987</v>
      </c>
      <c r="B119" s="3338"/>
      <c r="C119" s="3338"/>
      <c r="D119" s="3339" t="str">
        <f ca="1">NUMBERSTRING(INT(D118*10000),2)&amp;"元整"</f>
        <v>叁佰壹拾肆万元整</v>
      </c>
      <c r="E119" s="3341"/>
      <c r="F119" s="3339" t="str">
        <f ca="1">NUMBERSTRING(INT(F118*10000),2)&amp;"元整"</f>
        <v>壹佰贰拾万元整</v>
      </c>
      <c r="G119" s="3341"/>
      <c r="H119" s="3339" t="str">
        <f ca="1">NUMBERSTRING(INT(H118*10000),2)&amp;"元整"</f>
        <v>肆佰叁拾伍万元整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435</v>
      </c>
      <c r="E122" s="3336"/>
      <c r="F122" s="3336"/>
      <c r="G122" s="3336"/>
      <c r="H122" s="3336"/>
      <c r="I122" s="3337"/>
      <c r="AA122" s="1417"/>
    </row>
    <row r="123" spans="1:27" ht="18.75" customHeight="1">
      <c r="A123" s="3338" t="s">
        <v>987</v>
      </c>
      <c r="B123" s="3338"/>
      <c r="C123" s="3338"/>
      <c r="D123" s="3339" t="str">
        <f ca="1">NUMBERSTRING(INT(D122*10000),2)&amp;"元整"</f>
        <v>肆佰叁拾伍万元整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5"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112</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30735</v>
      </c>
      <c r="C3" s="1273" t="s">
        <v>1344</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5" thickBot="1">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1605</v>
      </c>
      <c r="C25" s="976" t="s">
        <v>2867</v>
      </c>
      <c r="D25" s="755">
        <v>100</v>
      </c>
      <c r="E25" s="976" t="s">
        <v>2860</v>
      </c>
      <c r="F25" s="1097">
        <f>SUMIF(86:86,E25,87:87)-SUMIF(86:86,C25,87:87)+100</f>
        <v>104</v>
      </c>
      <c r="G25" s="976" t="s">
        <v>2860</v>
      </c>
      <c r="H25" s="755">
        <f>SUMIF(86:86,G25,87:87)-SUMIF(86:86,C25,87:87)+100</f>
        <v>104</v>
      </c>
      <c r="I25" s="976" t="s">
        <v>2860</v>
      </c>
      <c r="J25" s="755">
        <f>SUMIF(86:86,I25,87:87)-SUMIF(86:86,C25,87:87)+100</f>
        <v>104</v>
      </c>
      <c r="K25" s="1088">
        <v>2</v>
      </c>
      <c r="L25" s="1081"/>
      <c r="M25" s="1015"/>
      <c r="N25" s="1015"/>
      <c r="O25" s="1015"/>
      <c r="P25" s="3408"/>
      <c r="Q25" s="621" t="str">
        <f t="shared" ref="Q25:Q46" si="11">B25</f>
        <v>临街状况</v>
      </c>
      <c r="R25" s="1118" t="s">
        <v>1357</v>
      </c>
      <c r="S25" s="1119">
        <f>F25</f>
        <v>104</v>
      </c>
      <c r="T25" s="1118" t="s">
        <v>1357</v>
      </c>
      <c r="U25" s="1119">
        <f>H25</f>
        <v>104</v>
      </c>
      <c r="V25" s="1118" t="s">
        <v>1357</v>
      </c>
      <c r="W25" s="1119">
        <f>J25</f>
        <v>104</v>
      </c>
      <c r="X25" s="1113"/>
      <c r="Y25" s="3413"/>
      <c r="Z25" s="1102" t="str">
        <f>Q25</f>
        <v>临街状况</v>
      </c>
      <c r="AA25" s="1102">
        <f t="shared" si="3"/>
        <v>0.96153846153846156</v>
      </c>
      <c r="AB25" s="1102">
        <f t="shared" si="4"/>
        <v>0.96153846153846156</v>
      </c>
      <c r="AC25" s="1102">
        <f t="shared" si="5"/>
        <v>0.96153846153846156</v>
      </c>
    </row>
    <row r="26" spans="1:29" ht="15">
      <c r="A26" s="943"/>
      <c r="B26" s="1177" t="s">
        <v>1606</v>
      </c>
      <c r="C26" s="3193" t="s">
        <v>2866</v>
      </c>
      <c r="D26" s="755">
        <v>100</v>
      </c>
      <c r="E26" s="951" t="s">
        <v>1373</v>
      </c>
      <c r="F26" s="1097">
        <f>SUMIF(88:88,E26,89:89)-SUMIF(88:88,C26,89:89)+100</f>
        <v>102</v>
      </c>
      <c r="G26" s="951" t="s">
        <v>1373</v>
      </c>
      <c r="H26" s="755">
        <f>SUMIF(88:88,G26,89:89)-SUMIF(88:88,C26,89:89)+100</f>
        <v>102</v>
      </c>
      <c r="I26" s="951" t="s">
        <v>1373</v>
      </c>
      <c r="J26" s="755">
        <f>SUMIF(88:88,I26,89:89)-SUMIF(88:88,C26,89:89)+100</f>
        <v>102</v>
      </c>
      <c r="K26" s="1087"/>
      <c r="L26" s="1081"/>
      <c r="M26" s="1015"/>
      <c r="N26" s="1015"/>
      <c r="O26" s="1015"/>
      <c r="P26" s="3408"/>
      <c r="Q26" s="621" t="str">
        <f t="shared" si="11"/>
        <v>平面位置/可视性</v>
      </c>
      <c r="R26" s="1118" t="s">
        <v>1357</v>
      </c>
      <c r="S26" s="1119">
        <f>F26</f>
        <v>102</v>
      </c>
      <c r="T26" s="1118" t="s">
        <v>1357</v>
      </c>
      <c r="U26" s="1119">
        <f>H26</f>
        <v>102</v>
      </c>
      <c r="V26" s="1118" t="s">
        <v>1357</v>
      </c>
      <c r="W26" s="1119">
        <f>J26</f>
        <v>102</v>
      </c>
      <c r="X26" s="1113"/>
      <c r="Y26" s="3413"/>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940" t="s">
        <v>1384</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10"/>
      <c r="Q33" s="1308" t="str">
        <f t="shared" si="11"/>
        <v>项目建筑规模</v>
      </c>
      <c r="R33" s="1120" t="s">
        <v>1357</v>
      </c>
      <c r="S33" s="1121">
        <f t="shared" si="12"/>
        <v>100</v>
      </c>
      <c r="T33" s="1120" t="s">
        <v>1357</v>
      </c>
      <c r="U33" s="1121">
        <f t="shared" si="13"/>
        <v>100</v>
      </c>
      <c r="V33" s="1120" t="s">
        <v>1357</v>
      </c>
      <c r="W33" s="1121">
        <f t="shared" si="14"/>
        <v>100</v>
      </c>
      <c r="X33" s="1122"/>
      <c r="Y33" s="3414"/>
      <c r="Z33" s="1127" t="str">
        <f t="shared" si="15"/>
        <v>项目建筑规模</v>
      </c>
      <c r="AA33" s="1102">
        <f t="shared" si="3"/>
        <v>1</v>
      </c>
      <c r="AB33" s="1102">
        <f t="shared" si="4"/>
        <v>1</v>
      </c>
      <c r="AC33" s="1102">
        <f t="shared" si="5"/>
        <v>1</v>
      </c>
    </row>
    <row r="34" spans="1:29" ht="15">
      <c r="A34" s="991"/>
      <c r="B34" s="940" t="s">
        <v>1385</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15.6"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1400</v>
      </c>
      <c r="B48" s="1293"/>
      <c r="C48" s="1294">
        <f>R49</f>
        <v>30735</v>
      </c>
      <c r="D48" s="1009" t="s">
        <v>1401</v>
      </c>
      <c r="E48" s="1295">
        <f>R48</f>
        <v>30856</v>
      </c>
      <c r="F48" s="1010"/>
      <c r="G48" s="1294">
        <f>T48</f>
        <v>32894</v>
      </c>
      <c r="H48" s="1010"/>
      <c r="I48" s="1295">
        <f>V48</f>
        <v>28454</v>
      </c>
      <c r="J48" s="1010"/>
      <c r="K48" s="1095">
        <f>F48+H48+J48</f>
        <v>0</v>
      </c>
      <c r="L48" s="1094"/>
      <c r="M48" s="1015"/>
      <c r="N48" s="1015"/>
      <c r="O48" s="1015"/>
      <c r="P48" s="3405" t="str">
        <f>A48</f>
        <v>比较价值（元/平方米）</v>
      </c>
      <c r="Q48" s="3405"/>
      <c r="R48" s="3406">
        <f>IF(F1="售价",ROUND(PRODUCT(R47,AA7:AA46),0),ROUND(PRODUCT(R47,AA7:AA46),1))</f>
        <v>30856</v>
      </c>
      <c r="S48" s="3406"/>
      <c r="T48" s="3406">
        <f>IF(F1="售价",ROUND(PRODUCT(T47,AB7:AB46),0),ROUND(PRODUCT(T47,AB7:AB46),1))</f>
        <v>32894</v>
      </c>
      <c r="U48" s="3406"/>
      <c r="V48" s="3406">
        <f>IF(F1="售价",ROUND(PRODUCT(V47,AC7:AC46),0),ROUND(PRODUCT(V47,AC7:AC46),1))</f>
        <v>28454</v>
      </c>
      <c r="W48" s="3406"/>
      <c r="X48" s="1055"/>
      <c r="Y48" s="1055"/>
      <c r="Z48" s="1055"/>
      <c r="AA48" s="1055"/>
      <c r="AB48" s="1055"/>
      <c r="AC48" s="1055"/>
    </row>
    <row r="49" spans="1:29" ht="15" thickBot="1">
      <c r="A49" s="1012" t="s">
        <v>1402</v>
      </c>
      <c r="B49" s="1013"/>
      <c r="C49" s="925">
        <f>R49</f>
        <v>30735</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30735</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2861</v>
      </c>
      <c r="D86" s="2106" t="s">
        <v>2863</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112</v>
      </c>
      <c r="D1" s="1827" t="s">
        <v>124</v>
      </c>
      <c r="E1" s="1828" t="s">
        <v>1146</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335.29700000000003</v>
      </c>
      <c r="C2" s="1833" t="s">
        <v>1148</v>
      </c>
      <c r="D2" s="1834">
        <f ca="1">C40+J29+L46</f>
        <v>3352970</v>
      </c>
      <c r="E2" s="1835" t="s">
        <v>1437</v>
      </c>
      <c r="F2" s="1836"/>
      <c r="G2" s="1837"/>
      <c r="H2" s="1838"/>
      <c r="I2" s="1838"/>
      <c r="J2" s="1838"/>
      <c r="K2" s="1993"/>
      <c r="L2" s="1838"/>
      <c r="M2" s="1838"/>
    </row>
    <row r="3" spans="1:37" ht="18" customHeight="1" thickBo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232518</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232228</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155.37</v>
      </c>
      <c r="G7" s="714"/>
      <c r="H7" s="1861"/>
      <c r="I7" s="3388"/>
      <c r="J7" s="1862"/>
      <c r="K7" s="1859"/>
      <c r="L7" s="1855" t="s">
        <v>1163</v>
      </c>
      <c r="M7" s="1856">
        <f ca="1">F7</f>
        <v>155.37</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290</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752548</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621480</v>
      </c>
      <c r="D14" s="1886" t="s">
        <v>1176</v>
      </c>
      <c r="E14" s="1887"/>
      <c r="F14" s="1888"/>
      <c r="G14" s="714"/>
      <c r="H14" s="1884" t="s">
        <v>904</v>
      </c>
      <c r="I14" s="1855" t="s">
        <v>1177</v>
      </c>
      <c r="J14" s="1469">
        <f ca="1">C29</f>
        <v>906684</v>
      </c>
      <c r="K14" s="2005"/>
      <c r="L14" s="2006"/>
      <c r="M14" s="2007"/>
    </row>
    <row r="15" spans="1:37" s="1823" customFormat="1" ht="18" customHeight="1" thickBot="1">
      <c r="A15" s="1884" t="s">
        <v>932</v>
      </c>
      <c r="B15" s="1855" t="s">
        <v>1106</v>
      </c>
      <c r="C15" s="1469">
        <f ca="1">ROUND(C14*F15,0)</f>
        <v>31074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1813</v>
      </c>
      <c r="K16" s="1904" t="s">
        <v>1182</v>
      </c>
      <c r="L16" s="1905"/>
      <c r="M16" s="1851"/>
    </row>
    <row r="17" spans="1:37" s="1823" customFormat="1" ht="18" customHeight="1">
      <c r="A17" s="1884" t="s">
        <v>1183</v>
      </c>
      <c r="B17" s="1855" t="s">
        <v>1184</v>
      </c>
      <c r="C17" s="1469">
        <f ca="1">ROUND(F17*(F43+INDIRECT("'数据-取费表'!S"&amp;$G$1)),0)</f>
        <v>31074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12430</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696058</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13921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1813</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-1813</v>
      </c>
      <c r="K25" s="1923" t="s">
        <v>1220</v>
      </c>
      <c r="L25" s="1924"/>
      <c r="M25" s="1925"/>
    </row>
    <row r="26" spans="1:37" ht="18" customHeight="1">
      <c r="A26" s="1884" t="s">
        <v>927</v>
      </c>
      <c r="B26" s="1855" t="s">
        <v>1221</v>
      </c>
      <c r="C26" s="1469">
        <f ca="1">ROUND((C19+C20)*F26,0)</f>
        <v>106497</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906684</v>
      </c>
      <c r="D29" s="1901"/>
      <c r="E29" s="1877"/>
      <c r="F29" s="1902"/>
      <c r="G29" s="1891"/>
      <c r="H29" s="1903" t="s">
        <v>1236</v>
      </c>
      <c r="I29" s="1932" t="s">
        <v>1237</v>
      </c>
      <c r="J29" s="1933">
        <f ca="1">ROUND(J26/(1+F40)^F41,0)</f>
        <v>0</v>
      </c>
      <c r="K29" s="1934" t="s">
        <v>1238</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42433</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38704</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12164</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26540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1813</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753</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1163</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190085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3304366</v>
      </c>
      <c r="D40" s="1914" t="s">
        <v>1226</v>
      </c>
      <c r="E40" s="1855" t="s">
        <v>1227</v>
      </c>
      <c r="F40" s="1863">
        <f ca="1">INDIRECT("'数据-取费表'!I"&amp;$G$1)</f>
        <v>5.5E-2</v>
      </c>
      <c r="G40" s="714"/>
      <c r="H40" s="1927">
        <f ca="1">C39/C5</f>
        <v>0.817506601639443</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21268</v>
      </c>
      <c r="D43" s="1934" t="s">
        <v>1243</v>
      </c>
      <c r="E43" s="1935" t="s">
        <v>1244</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-334.04840000000002</v>
      </c>
      <c r="D45" s="1941" t="s">
        <v>1445</v>
      </c>
      <c r="E45" s="1937"/>
      <c r="F45" s="1937"/>
      <c r="O45" s="2021" t="s">
        <v>1245</v>
      </c>
      <c r="P45" s="1927"/>
      <c r="Q45" s="1927"/>
      <c r="R45" s="1927"/>
    </row>
    <row r="46" spans="1:18" s="714" customFormat="1" ht="13.8" thickBot="1">
      <c r="A46" s="1942" t="s">
        <v>1246</v>
      </c>
      <c r="C46" s="1943">
        <f ca="1">ROUND(C45,0)</f>
        <v>-334</v>
      </c>
      <c r="D46" s="1944" t="str">
        <f>C2</f>
        <v>万元</v>
      </c>
      <c r="I46" s="2022" t="s">
        <v>1247</v>
      </c>
      <c r="J46" s="2023"/>
      <c r="K46" s="2024"/>
      <c r="L46" s="2025">
        <f ca="1">IF(M47="住宅",0,IF(L48&gt;J51,L60,J60))</f>
        <v>48604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3304366</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48604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906684</v>
      </c>
      <c r="R49" s="2070" t="s">
        <v>1255</v>
      </c>
    </row>
    <row r="50" spans="1:18" s="714" customFormat="1" ht="13.8" thickBot="1">
      <c r="A50" s="1960"/>
      <c r="B50" s="1431"/>
      <c r="C50" s="1961"/>
      <c r="D50" s="1962"/>
      <c r="E50" s="1963" t="s">
        <v>1163</v>
      </c>
      <c r="F50" s="1964">
        <f ca="1">F7</f>
        <v>155.37</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2508485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3352970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752548</v>
      </c>
      <c r="D56" s="1974"/>
      <c r="E56" s="1975"/>
      <c r="F56" s="1971"/>
      <c r="I56" s="2058" t="s">
        <v>1289</v>
      </c>
      <c r="J56" s="2059" t="s">
        <v>1449</v>
      </c>
      <c r="K56" s="2035" t="s">
        <v>1290</v>
      </c>
      <c r="L56" s="2038" t="str">
        <f ca="1">IF(L48&lt;J51,"——",L48-J51)</f>
        <v>——</v>
      </c>
      <c r="O56" s="2033" t="s">
        <v>1011</v>
      </c>
      <c r="P56" s="2034" t="s">
        <v>1254</v>
      </c>
      <c r="Q56" s="2070">
        <f ca="1">C40+J29</f>
        <v>3304366</v>
      </c>
      <c r="R56" s="2070" t="s">
        <v>1255</v>
      </c>
    </row>
    <row r="57" spans="1:18" s="714" customFormat="1" ht="24.6" thickBot="1">
      <c r="A57" s="1976"/>
      <c r="B57" s="1977" t="s">
        <v>1235</v>
      </c>
      <c r="C57" s="388">
        <f ca="1">C29</f>
        <v>906684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2566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48604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3304366</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1813</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753</v>
      </c>
      <c r="D65" s="1985" t="s">
        <v>1212</v>
      </c>
      <c r="E65" s="1977" t="s">
        <v>1179</v>
      </c>
      <c r="F65" s="1921">
        <f t="shared" ca="1" si="0"/>
        <v>1E-3</v>
      </c>
      <c r="I65" s="2066" t="s">
        <v>1313</v>
      </c>
      <c r="J65" s="1032">
        <v>40</v>
      </c>
      <c r="K65" s="1032">
        <v>30</v>
      </c>
      <c r="L65" s="1032">
        <v>50</v>
      </c>
      <c r="M65" s="2068">
        <v>0.02</v>
      </c>
      <c r="O65" s="2033" t="s">
        <v>1011</v>
      </c>
      <c r="P65" s="2034" t="s">
        <v>1254</v>
      </c>
      <c r="Q65" s="2070">
        <f ca="1">C40+J29</f>
        <v>3304366</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-2566</v>
      </c>
      <c r="D67" s="1984" t="s">
        <v>1220</v>
      </c>
      <c r="E67" s="2073"/>
      <c r="F67" s="2074"/>
      <c r="O67" s="2041" t="s">
        <v>1266</v>
      </c>
      <c r="P67" s="2034" t="s">
        <v>1297</v>
      </c>
      <c r="Q67" s="2094">
        <f ca="1">L51</f>
        <v>2508485</v>
      </c>
      <c r="R67" s="2070" t="s">
        <v>1314</v>
      </c>
    </row>
    <row r="68" spans="1:18" s="714" customFormat="1" ht="16.2" thickBot="1">
      <c r="A68" s="2075" t="s">
        <v>1224</v>
      </c>
      <c r="B68" s="2076" t="s">
        <v>1241</v>
      </c>
      <c r="C68" s="1926">
        <f ca="1">ROUND(C67*(1-((1+F70)/(1+F68))^F69)/(F68-F70),0)</f>
        <v>-36118</v>
      </c>
      <c r="D68" s="1987" t="s">
        <v>1226</v>
      </c>
      <c r="E68" s="1977" t="s">
        <v>1227</v>
      </c>
      <c r="F68" s="1863">
        <f ca="1">F40</f>
        <v>5.5E-2</v>
      </c>
      <c r="O68" s="2041" t="s">
        <v>1270</v>
      </c>
      <c r="P68" s="2093" t="s">
        <v>1315</v>
      </c>
      <c r="Q68" s="2070">
        <f ca="1">ROUND(Q69-Q70*Q71,0)</f>
        <v>137407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190085</v>
      </c>
      <c r="R69" s="2070" t="s">
        <v>1255</v>
      </c>
    </row>
    <row r="70" spans="1:18" s="714" customFormat="1" ht="13.8" thickBot="1">
      <c r="A70" s="2080"/>
      <c r="B70" s="2081"/>
      <c r="C70" s="1881"/>
      <c r="D70" s="1989"/>
      <c r="E70" s="1977" t="s">
        <v>1234</v>
      </c>
      <c r="F70" s="1967"/>
      <c r="O70" s="2041" t="s">
        <v>1319</v>
      </c>
      <c r="P70" s="2093" t="s">
        <v>1320</v>
      </c>
      <c r="Q70" s="2070">
        <f ca="1">C13</f>
        <v>752548</v>
      </c>
      <c r="R70" s="2070" t="s">
        <v>1255</v>
      </c>
    </row>
    <row r="71" spans="1:18" s="714" customFormat="1" ht="13.8" thickBot="1">
      <c r="A71" s="2082" t="s">
        <v>1236</v>
      </c>
      <c r="B71" s="2083" t="s">
        <v>1242</v>
      </c>
      <c r="C71" s="1933">
        <f ca="1">ROUND(C68/F71,0)</f>
        <v>-232</v>
      </c>
      <c r="D71" s="2084" t="s">
        <v>1243</v>
      </c>
      <c r="E71" s="2085" t="s">
        <v>1244</v>
      </c>
      <c r="F71" s="1936">
        <f ca="1">F43</f>
        <v>155.37</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52678</v>
      </c>
      <c r="D75" s="714"/>
      <c r="E75" s="714"/>
      <c r="F75" s="714"/>
      <c r="K75" s="2020"/>
      <c r="L75" s="714"/>
      <c r="O75" s="2033" t="s">
        <v>1108</v>
      </c>
      <c r="P75" s="2034" t="s">
        <v>1284</v>
      </c>
      <c r="Q75" s="2070">
        <f ca="1">Q65+Q66</f>
        <v>3304366</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2630</v>
      </c>
      <c r="C1" s="228"/>
      <c r="D1" s="228"/>
      <c r="E1" s="228"/>
      <c r="F1" s="228"/>
      <c r="G1" s="228"/>
      <c r="H1" s="228"/>
      <c r="I1" s="228"/>
      <c r="J1" s="246"/>
      <c r="K1" s="228" t="s">
        <v>2631</v>
      </c>
      <c r="L1" s="228"/>
      <c r="M1" s="228"/>
      <c r="N1" s="228"/>
      <c r="O1" s="228"/>
      <c r="P1" s="228"/>
      <c r="Q1" s="246"/>
      <c r="R1" s="3522" t="s">
        <v>2632</v>
      </c>
      <c r="S1" s="3523"/>
      <c r="T1" s="3523"/>
      <c r="U1" s="3523"/>
      <c r="V1" s="3523"/>
      <c r="W1" s="3523"/>
      <c r="X1" s="246"/>
      <c r="Y1" s="3522" t="s">
        <v>2633</v>
      </c>
      <c r="Z1" s="3523"/>
      <c r="AA1" s="3523"/>
      <c r="AB1" s="3523"/>
      <c r="AC1" s="3523"/>
      <c r="AD1" s="3523"/>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22" t="s">
        <v>2632</v>
      </c>
      <c r="S29" s="3523"/>
      <c r="T29" s="3523"/>
      <c r="U29" s="3523"/>
      <c r="V29" s="3523"/>
      <c r="W29" s="3523"/>
      <c r="X29" s="246"/>
      <c r="Y29" s="3522" t="s">
        <v>2633</v>
      </c>
      <c r="Z29" s="3523"/>
      <c r="AA29" s="3523"/>
      <c r="AB29" s="3523"/>
      <c r="AC29" s="3523"/>
      <c r="AD29" s="3523"/>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9" t="str">
        <f>IF(项目基本情况!B9="房地产市场价值","估价结果一览表","结果表-2")</f>
        <v>结果表-2</v>
      </c>
      <c r="B1" s="3209"/>
      <c r="C1" s="3209"/>
      <c r="D1" s="3209"/>
      <c r="E1" s="3209"/>
      <c r="F1" s="3209"/>
      <c r="G1" s="3209"/>
      <c r="H1" s="3209"/>
      <c r="I1" s="3209"/>
    </row>
    <row r="2" spans="1:9" ht="30" customHeight="1">
      <c r="A2" s="3210" t="s">
        <v>107</v>
      </c>
      <c r="B2" s="3210" t="s">
        <v>108</v>
      </c>
      <c r="C2" s="3210" t="s">
        <v>109</v>
      </c>
      <c r="D2" s="3210" t="str">
        <f>结果表110!D116</f>
        <v>出让国有建设用地使用权价值</v>
      </c>
      <c r="E2" s="3210"/>
      <c r="F2" s="3210" t="str">
        <f>结果表110!F116</f>
        <v>在建建筑物价值</v>
      </c>
      <c r="G2" s="3210"/>
      <c r="H2" s="3210" t="str">
        <f>IF(项目基本情况!B9="房地产市场价值","房地产市场价值","房地产价值")</f>
        <v>房地产价值</v>
      </c>
      <c r="I2" s="3210"/>
    </row>
    <row r="3" spans="1:9" ht="15.6">
      <c r="A3" s="3211"/>
      <c r="B3" s="3211"/>
      <c r="C3" s="3211"/>
      <c r="D3" s="3123" t="s">
        <v>110</v>
      </c>
      <c r="E3" s="3123" t="s">
        <v>111</v>
      </c>
      <c r="F3" s="3123" t="s">
        <v>110</v>
      </c>
      <c r="G3" s="3123" t="s">
        <v>111</v>
      </c>
      <c r="H3" s="3123" t="s">
        <v>110</v>
      </c>
      <c r="I3" s="3123" t="s">
        <v>111</v>
      </c>
    </row>
    <row r="4" spans="1:9" ht="15">
      <c r="A4" s="3124" t="str">
        <f>项目基本情况!S2</f>
        <v>北京市房地产</v>
      </c>
      <c r="B4" s="3123">
        <f>项目基本情况!C17</f>
        <v>885.63</v>
      </c>
      <c r="C4" s="3123">
        <f>项目基本情况!C18</f>
        <v>0</v>
      </c>
      <c r="D4" s="3123">
        <f ca="1">结果表110!D118</f>
        <v>730</v>
      </c>
      <c r="E4" s="3123">
        <f ca="1">结果表110!E118</f>
        <v>20540</v>
      </c>
      <c r="F4" s="3123">
        <f ca="1">结果表110!F118</f>
        <v>280</v>
      </c>
      <c r="G4" s="3123">
        <f ca="1">结果表110!G118</f>
        <v>7870</v>
      </c>
      <c r="H4" s="3123">
        <f ca="1">结果表110!H118</f>
        <v>1009</v>
      </c>
      <c r="I4" s="3123">
        <f ca="1">结果表110!I118</f>
        <v>28410</v>
      </c>
    </row>
    <row r="5" spans="1:9" ht="30" customHeight="1">
      <c r="A5" s="3211" t="s">
        <v>112</v>
      </c>
      <c r="B5" s="3211"/>
      <c r="C5" s="3211"/>
      <c r="D5" s="3211" t="str">
        <f ca="1">结果表110!D119</f>
        <v>柒佰叁拾万元整</v>
      </c>
      <c r="E5" s="3211"/>
      <c r="F5" s="3211" t="str">
        <f ca="1">结果表110!F119</f>
        <v>贰佰捌拾万元整</v>
      </c>
      <c r="G5" s="3211"/>
      <c r="H5" s="3211" t="str">
        <f ca="1">结果表110!H119</f>
        <v>壹仟零玖万元整</v>
      </c>
      <c r="I5" s="3211"/>
    </row>
    <row r="6" spans="1:9" ht="15.6">
      <c r="A6" s="3212" t="str">
        <f>结果表110!A120</f>
        <v>估价师知悉的法定优先受偿款</v>
      </c>
      <c r="B6" s="3212"/>
      <c r="C6" s="3212"/>
      <c r="D6" s="3212">
        <f>结果表110!D120</f>
        <v>0</v>
      </c>
      <c r="E6" s="3212"/>
      <c r="F6" s="3212"/>
      <c r="G6" s="3212"/>
      <c r="H6" s="3212"/>
      <c r="I6" s="3212"/>
    </row>
    <row r="7" spans="1:9" ht="15">
      <c r="A7" s="3211" t="s">
        <v>112</v>
      </c>
      <c r="B7" s="3211"/>
      <c r="C7" s="3211"/>
      <c r="D7" s="3213" t="str">
        <f>结果表110!D121</f>
        <v>零元整</v>
      </c>
      <c r="E7" s="3214"/>
      <c r="F7" s="3214"/>
      <c r="G7" s="3214"/>
      <c r="H7" s="3214"/>
      <c r="I7" s="3215"/>
    </row>
    <row r="8" spans="1:9" ht="15.6">
      <c r="A8" s="3212" t="str">
        <f>结果表110!A122</f>
        <v>房地产抵押价值</v>
      </c>
      <c r="B8" s="3212"/>
      <c r="C8" s="3212"/>
      <c r="D8" s="3212">
        <f ca="1">结果表110!D122</f>
        <v>1009</v>
      </c>
      <c r="E8" s="3212"/>
      <c r="F8" s="3212"/>
      <c r="G8" s="3212"/>
      <c r="H8" s="3212"/>
      <c r="I8" s="3212"/>
    </row>
    <row r="9" spans="1:9" ht="15">
      <c r="A9" s="3211" t="s">
        <v>112</v>
      </c>
      <c r="B9" s="3211"/>
      <c r="C9" s="3211"/>
      <c r="D9" s="3211" t="str">
        <f ca="1">结果表110!D123</f>
        <v>壹仟零玖万元整</v>
      </c>
      <c r="E9" s="3211"/>
      <c r="F9" s="3211"/>
      <c r="G9" s="3211"/>
      <c r="H9" s="3211"/>
      <c r="I9" s="3211"/>
    </row>
    <row r="10" spans="1:9" ht="15.6">
      <c r="A10" s="3212" t="str">
        <f>结果表110!A124</f>
        <v/>
      </c>
      <c r="B10" s="3212"/>
      <c r="C10" s="3212"/>
      <c r="D10" s="3212" t="str">
        <f>结果表110!D124</f>
        <v>——</v>
      </c>
      <c r="E10" s="3212"/>
      <c r="F10" s="3212"/>
      <c r="G10" s="3212"/>
      <c r="H10" s="3212"/>
      <c r="I10" s="3212"/>
    </row>
    <row r="11" spans="1:9" ht="15">
      <c r="A11" s="3211" t="s">
        <v>112</v>
      </c>
      <c r="B11" s="3211"/>
      <c r="C11" s="3211"/>
      <c r="D11" s="3211" t="e">
        <f>结果表110!D125</f>
        <v>#VALUE!</v>
      </c>
      <c r="E11" s="3211"/>
      <c r="F11" s="3211"/>
      <c r="G11" s="3211"/>
      <c r="H11" s="3211"/>
      <c r="I11" s="3211"/>
    </row>
    <row r="12" spans="1:9" ht="15.6">
      <c r="A12" s="3212" t="str">
        <f>结果表110!A126</f>
        <v/>
      </c>
      <c r="B12" s="3212"/>
      <c r="C12" s="3212"/>
      <c r="D12" s="3212" t="str">
        <f>结果表110!D126</f>
        <v>——</v>
      </c>
      <c r="E12" s="3212"/>
      <c r="F12" s="3212"/>
      <c r="G12" s="3212"/>
      <c r="H12" s="3212"/>
      <c r="I12" s="3212"/>
    </row>
    <row r="13" spans="1:9" ht="15">
      <c r="A13" s="3216" t="s">
        <v>112</v>
      </c>
      <c r="B13" s="3216"/>
      <c r="C13" s="3216"/>
      <c r="D13" s="3216" t="e">
        <f>结果表110!D127</f>
        <v>#VALUE!</v>
      </c>
      <c r="E13" s="3216"/>
      <c r="F13" s="3216"/>
      <c r="G13" s="3216"/>
      <c r="H13" s="3216"/>
      <c r="I13" s="3216"/>
    </row>
    <row r="14" spans="1:9">
      <c r="A14" s="3217" t="s">
        <v>113</v>
      </c>
      <c r="B14" s="3217"/>
      <c r="C14" s="3217"/>
      <c r="D14" s="3217"/>
      <c r="E14" s="3217"/>
      <c r="F14" s="3217"/>
      <c r="G14" s="3217"/>
      <c r="H14" s="3217"/>
      <c r="I14" s="3217"/>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4" t="s">
        <v>2659</v>
      </c>
      <c r="C1" s="3524"/>
      <c r="D1" s="3524"/>
      <c r="E1" s="3524"/>
      <c r="F1" s="3524"/>
      <c r="G1" s="3523" t="s">
        <v>2660</v>
      </c>
      <c r="H1" s="3523"/>
      <c r="I1" s="3523"/>
      <c r="J1" s="3523"/>
      <c r="K1" s="3523"/>
      <c r="L1" s="3523"/>
      <c r="N1" s="3523" t="s">
        <v>2631</v>
      </c>
      <c r="O1" s="3523"/>
      <c r="P1" s="3523"/>
      <c r="Q1" s="3523"/>
      <c r="S1" s="3523" t="s">
        <v>2661</v>
      </c>
      <c r="T1" s="3523"/>
      <c r="U1" s="3523"/>
      <c r="V1" s="3523"/>
      <c r="X1" s="3522" t="s">
        <v>2632</v>
      </c>
      <c r="Y1" s="3523"/>
      <c r="Z1" s="3523"/>
      <c r="AA1" s="3523"/>
      <c r="AB1" s="3523"/>
      <c r="AD1" s="3522" t="s">
        <v>2633</v>
      </c>
      <c r="AE1" s="3523"/>
      <c r="AF1" s="3523"/>
      <c r="AG1" s="3523"/>
      <c r="AH1" s="3523"/>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2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2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2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2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2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2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2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2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2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2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2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2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29">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28">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29">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2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2750</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35"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36"/>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8" t="s">
        <v>114</v>
      </c>
      <c r="B1" s="3218"/>
      <c r="C1" s="3218"/>
      <c r="D1" s="3218"/>
    </row>
    <row r="2" spans="1:4" ht="17.399999999999999">
      <c r="A2" s="3219" t="s">
        <v>115</v>
      </c>
      <c r="B2" s="3219"/>
      <c r="C2" s="3219"/>
      <c r="D2" s="3219"/>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19" t="s">
        <v>121</v>
      </c>
      <c r="B6" s="3219"/>
      <c r="C6" s="3219"/>
      <c r="D6" s="3219"/>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0" t="s">
        <v>126</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127</v>
      </c>
      <c r="B16" s="3223"/>
      <c r="C16" s="3223"/>
      <c r="D16" s="3223"/>
    </row>
    <row r="17" spans="1:4" ht="144" customHeight="1">
      <c r="A17" s="3223" t="s">
        <v>128</v>
      </c>
      <c r="B17" s="3223"/>
      <c r="C17" s="3223"/>
      <c r="D17" s="3223"/>
    </row>
    <row r="18" spans="1:4" ht="15.75" customHeight="1">
      <c r="A18" s="3221" t="str">
        <f>IF(项目基本情况!B8="抵押",结果表110!K120,"——")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45854</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2025-07-16T01:16:28Z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