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430" windowHeight="109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0" i="1" l="1"/>
  <c r="N6" i="1" l="1"/>
  <c r="Y6" i="1" l="1"/>
  <c r="B21"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97" i="3"/>
  <c r="E369" i="3"/>
  <c r="E534" i="3"/>
  <c r="E405" i="3"/>
  <c r="E469" i="3"/>
  <c r="E408" i="3"/>
  <c r="E360" i="3"/>
  <c r="E497" i="3"/>
  <c r="E494" i="3"/>
  <c r="E470" i="3"/>
  <c r="E26" i="3"/>
  <c r="E41" i="3"/>
  <c r="E198" i="3"/>
  <c r="E225"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B11" i="76"/>
  <c r="L47" i="67"/>
  <c r="F8" i="67"/>
  <c r="M6" i="15"/>
  <c r="D5" i="73"/>
  <c r="F36" i="67"/>
  <c r="E2" i="68"/>
  <c r="F43" i="15"/>
  <c r="D3" i="73"/>
  <c r="F37" i="15"/>
  <c r="B10" i="76"/>
  <c r="F6" i="15"/>
  <c r="L48" i="67"/>
  <c r="F7" i="67"/>
  <c r="AO13" i="1"/>
  <c r="F16" i="67"/>
  <c r="F5" i="73"/>
  <c r="E13" i="76"/>
  <c r="F42" i="67"/>
  <c r="E9" i="76"/>
  <c r="M28" i="67"/>
  <c r="F38" i="15"/>
  <c r="F40" i="67"/>
  <c r="M28" i="15"/>
  <c r="M9" i="15"/>
  <c r="J15" i="15"/>
  <c r="M24" i="15"/>
  <c r="F37" i="67"/>
  <c r="E12" i="76"/>
  <c r="F9" i="15"/>
  <c r="F42" i="15"/>
  <c r="F16" i="15"/>
  <c r="F4" i="73"/>
  <c r="F13" i="67"/>
  <c r="J15" i="67"/>
  <c r="F26" i="15"/>
  <c r="M29" i="15"/>
  <c r="C76" i="15"/>
  <c r="M23" i="15"/>
  <c r="F36" i="15"/>
  <c r="B7" i="76"/>
  <c r="F8" i="15"/>
  <c r="E8" i="76"/>
  <c r="M29" i="67"/>
  <c r="L47" i="15"/>
  <c r="C76" i="67"/>
  <c r="F7" i="73"/>
  <c r="F6" i="67"/>
  <c r="B9" i="76"/>
  <c r="F9" i="67"/>
  <c r="M22" i="15"/>
  <c r="F20" i="31"/>
  <c r="F38" i="67"/>
  <c r="F26" i="67"/>
  <c r="D4" i="73"/>
  <c r="E11" i="76"/>
  <c r="M8" i="67"/>
  <c r="M23" i="67"/>
  <c r="M6" i="67"/>
  <c r="M22" i="67"/>
  <c r="F13" i="15"/>
  <c r="M26" i="15"/>
  <c r="D7" i="73"/>
  <c r="B13" i="76"/>
  <c r="M8" i="15"/>
  <c r="D6" i="73"/>
  <c r="E7" i="76"/>
  <c r="B8" i="76"/>
  <c r="F7" i="15"/>
  <c r="L48" i="15"/>
  <c r="F6" i="73"/>
  <c r="F3" i="73"/>
  <c r="M9" i="67"/>
  <c r="E2" i="69"/>
  <c r="M26" i="67"/>
  <c r="F40" i="15"/>
  <c r="E10" i="76"/>
  <c r="B12" i="76"/>
  <c r="M24" i="67"/>
  <c r="E510" i="3" l="1"/>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139" i="3"/>
  <c r="E115" i="3"/>
  <c r="E104" i="3"/>
  <c r="E420" i="3"/>
  <c r="E452" i="3"/>
  <c r="E13" i="3"/>
  <c r="E556" i="3"/>
  <c r="E451" i="3"/>
  <c r="E512" i="3"/>
  <c r="E456" i="3"/>
  <c r="T6" i="3"/>
  <c r="E525" i="3"/>
  <c r="E173" i="3"/>
  <c r="E140" i="3"/>
  <c r="E205" i="3"/>
  <c r="C21" i="68"/>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29" i="6" l="1"/>
  <c r="K15" i="1" s="1"/>
  <c r="K16" i="1" s="1"/>
  <c r="B29" i="1" s="1"/>
  <c r="C8" i="68" s="1"/>
  <c r="F48" i="9"/>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33" i="43" l="1"/>
  <c r="D1" i="43" s="1"/>
  <c r="B30" i="1"/>
  <c r="B31" i="1" s="1"/>
  <c r="B14" i="74"/>
  <c r="B1" i="7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D10" i="69"/>
  <c r="C34" i="69"/>
  <c r="D10" i="68"/>
  <c r="C17" i="15"/>
  <c r="C14" i="67"/>
  <c r="C17" i="67"/>
  <c r="E33" i="43" l="1"/>
  <c r="C6" i="68" s="1"/>
  <c r="C7" i="68" s="1"/>
  <c r="C5" i="68" s="1"/>
  <c r="C23" i="68" s="1"/>
  <c r="D30" i="6"/>
  <c r="E19" i="68"/>
  <c r="E19" i="69"/>
  <c r="E19" i="11"/>
  <c r="C19" i="11" s="1"/>
  <c r="C14" i="74"/>
  <c r="B2" i="74" s="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7" i="74" l="1"/>
  <c r="D8" i="74"/>
  <c r="C20" i="11"/>
  <c r="C24" i="1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8" i="11" l="1"/>
  <c r="C27" i="11" s="1"/>
  <c r="C25" i="11"/>
  <c r="C22" i="1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1" i="11"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9" i="1"/>
  <c r="AO11"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G14" i="74" s="1"/>
  <c r="B6" i="74" s="1"/>
  <c r="D6" i="74" s="1"/>
  <c r="H101" i="9"/>
  <c r="D45" i="9" s="1"/>
  <c r="C78" i="9" s="1"/>
  <c r="C73" i="9" s="1"/>
  <c r="D4" i="52"/>
  <c r="B47" i="72" s="1"/>
  <c r="F4" i="52"/>
  <c r="B51" i="72" s="1"/>
  <c r="G118" i="9"/>
  <c r="G4" i="52" s="1"/>
  <c r="B52" i="72" s="1"/>
  <c r="F119" i="9"/>
  <c r="F5" i="52" s="1"/>
  <c r="B53" i="72" s="1"/>
  <c r="C104" i="9"/>
  <c r="H4" i="52"/>
  <c r="H119" i="9"/>
  <c r="H5" i="52" s="1"/>
  <c r="C105" i="9" l="1"/>
  <c r="H102" i="9"/>
  <c r="D7" i="53" s="1"/>
  <c r="B21" i="72" s="1"/>
  <c r="M48" i="9"/>
  <c r="E14" i="74"/>
  <c r="B5" i="74"/>
  <c r="D5" i="74" s="1"/>
  <c r="F14" i="74"/>
  <c r="D53" i="9"/>
  <c r="H107" i="9"/>
  <c r="D122" i="9" s="1"/>
  <c r="C72" i="9"/>
  <c r="C79" i="9" s="1"/>
  <c r="C80" i="9" s="1"/>
  <c r="E80" i="9" s="1"/>
  <c r="E81" i="9" s="1"/>
  <c r="D5" i="53"/>
  <c r="B20" i="72" s="1"/>
  <c r="C85" i="9"/>
  <c r="D52" i="9"/>
  <c r="C64" i="9"/>
  <c r="C63" i="9" s="1"/>
  <c r="C67" i="9" s="1"/>
  <c r="D59" i="9" s="1"/>
  <c r="M55" i="9" s="1"/>
  <c r="C93" i="9"/>
  <c r="C86" i="9" s="1"/>
  <c r="D55" i="9"/>
  <c r="M53" i="9" s="1"/>
  <c r="E118" i="9"/>
  <c r="E4" i="52" s="1"/>
  <c r="B48" i="72" s="1"/>
  <c r="C95" i="9" l="1"/>
  <c r="C96" i="9" s="1"/>
  <c r="E96" i="9" s="1"/>
  <c r="E97" i="9" s="1"/>
  <c r="D13" i="53"/>
  <c r="D14" i="53" s="1"/>
  <c r="B32" i="72" s="1"/>
  <c r="C5" i="74"/>
  <c r="D6" i="53"/>
  <c r="B22" i="72" s="1"/>
  <c r="H108" i="9"/>
  <c r="D15" i="53" s="1"/>
  <c r="B31" i="72" s="1"/>
  <c r="M49" i="9"/>
  <c r="L67" i="9" s="1"/>
  <c r="M67" i="9" s="1"/>
  <c r="C68" i="9"/>
  <c r="D54" i="9" s="1"/>
  <c r="C81" i="9"/>
  <c r="D8" i="52"/>
  <c r="D123" i="9"/>
  <c r="D9" i="52" s="1"/>
  <c r="B30" i="72" l="1"/>
  <c r="C97" i="9"/>
  <c r="D58" i="9" s="1"/>
  <c r="D56" i="9" s="1"/>
  <c r="M54" i="9" s="1"/>
  <c r="N57" i="9" s="1"/>
  <c r="N58" i="9" s="1"/>
  <c r="C6" i="74"/>
  <c r="L66" i="9"/>
  <c r="M66" i="9" s="1"/>
  <c r="L65" i="9"/>
  <c r="M65" i="9" s="1"/>
  <c r="L64" i="9"/>
  <c r="M64" i="9" s="1"/>
  <c r="L63" i="9"/>
  <c r="M63" i="9" s="1"/>
  <c r="L68" i="9"/>
  <c r="M68" i="9" s="1"/>
  <c r="P57" i="9" l="1"/>
  <c r="N59" i="9"/>
  <c r="N61" i="9" s="1"/>
  <c r="M69" i="9"/>
  <c r="N69"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<sst xmlns="http://schemas.openxmlformats.org/spreadsheetml/2006/main" count="7827" uniqueCount="3423">
  <si>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</si>
  <si>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</si>
  <si>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</si>
  <si>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</si>
  <si>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</si>
  <si>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</si>
  <si>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</si>
  <si>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</si>
  <si>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</si>
  <si>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</si>
  <si>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</si>
  <si>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</si>
  <si>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</si>
  <si>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</si>
  <si>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</si>
  <si>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</si>
  <si>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</si>
  <si>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</si>
  <si>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</si>
  <si>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</si>
  <si>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</si>
  <si>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</si>
  <si>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</si>
  <si>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</si>
  <si>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</si>
  <si>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</si>
  <si>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</si>
  <si>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</si>
  <si>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</si>
  <si>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</si>
  <si>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</si>
  <si>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</si>
  <si>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</si>
  <si>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</si>
  <si>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</si>
  <si>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</si>
  <si>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</si>
  <si>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</si>
  <si>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</si>
  <si>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</si>
  <si>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</si>
  <si>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</si>
  <si>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</si>
  <si>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</si>
  <si>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</si>
  <si>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</si>
  <si>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</si>
  <si>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</si>
  <si>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</si>
  <si>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</si>
  <si>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</si>
  <si>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</si>
  <si>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</si>
  <si>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</si>
  <si>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</si>
  <si>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</si>
  <si>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</si>
  <si>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</si>
  <si>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</si>
  <si>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</si>
  <si>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</si>
  <si>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</si>
  <si>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</si>
  <si>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</si>
  <si>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</si>
  <si>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</si>
  <si>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</si>
  <si>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</si>
  <si>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</si>
  <si>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</si>
  <si>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</si>
  <si>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</si>
  <si>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</si>
  <si>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</si>
  <si>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</si>
  <si>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</si>
  <si>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</si>
  <si>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</si>
  <si>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</si>
  <si>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</si>
  <si>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</si>
  <si>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</si>
  <si>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</si>
  <si>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</si>
  <si>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</si>
  <si>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</si>
  <si>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</si>
  <si>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</si>
  <si>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</si>
  <si>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</si>
  <si>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</si>
  <si>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</si>
  <si>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</si>
  <si>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</si>
  <si>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</si>
  <si>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</si>
  <si>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</si>
  <si>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</si>
  <si>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</si>
  <si>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</si>
  <si>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</si>
  <si>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</si>
  <si>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</si>
  <si>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</si>
  <si>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</si>
  <si>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</si>
  <si>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</si>
  <si>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</si>
  <si>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</si>
  <si>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</si>
  <si>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</si>
  <si>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</si>
  <si>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</si>
  <si>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</si>
  <si>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</si>
  <si>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</si>
  <si>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</si>
  <si>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</si>
  <si>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</si>
  <si>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</si>
  <si>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</si>
  <si>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</si>
  <si>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</si>
  <si>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</si>
  <si>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</si>
  <si>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</si>
  <si>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</si>
  <si>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</si>
  <si>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</si>
  <si>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</si>
  <si>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</si>
  <si>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</si>
  <si>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</si>
  <si>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</si>
  <si>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</si>
  <si>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</si>
  <si>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</si>
  <si>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</si>
  <si>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</si>
  <si>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</si>
  <si>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</si>
  <si>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</si>
  <si>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</si>
  <si>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</si>
  <si>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</si>
  <si>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</si>
  <si>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</si>
  <si>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</si>
  <si>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</si>
  <si>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</si>
  <si>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</si>
  <si>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</si>
  <si>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</si>
  <si>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</si>
  <si>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</si>
  <si>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</si>
  <si>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</si>
  <si>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</si>
  <si>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</si>
  <si>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</si>
  <si>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</si>
  <si>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</si>
  <si>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</si>
  <si>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</si>
  <si>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</si>
  <si>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</si>
  <si>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</si>
  <si>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</si>
  <si>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</si>
  <si>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</si>
  <si>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</si>
  <si>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</si>
  <si>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</si>
  <si>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</si>
  <si>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</si>
  <si>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</si>
  <si>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</si>
  <si>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</si>
  <si>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</si>
  <si>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</si>
  <si>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</si>
  <si>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</si>
  <si>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</si>
  <si>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</si>
  <si>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</si>
  <si>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</si>
  <si>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</si>
  <si>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</si>
  <si>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</si>
  <si>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</si>
  <si>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</si>
  <si>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</si>
  <si>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</si>
  <si>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</si>
  <si>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</si>
  <si>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</si>
  <si>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</si>
  <si>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</si>
  <si>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</si>
  <si>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</si>
  <si>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</si>
  <si>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</si>
  <si>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</si>
  <si>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</si>
  <si>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</si>
  <si>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</si>
  <si>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</si>
  <si>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</si>
  <si>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</si>
  <si>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</si>
  <si>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</si>
  <si>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</si>
  <si>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</si>
  <si>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</si>
  <si>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</si>
  <si>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</si>
  <si>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</si>
  <si>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</si>
  <si>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</si>
  <si>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</si>
  <si>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</si>
  <si>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</si>
  <si>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</si>
  <si>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</si>
  <si>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</si>
  <si>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</si>
  <si>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</si>
  <si>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</si>
  <si>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</si>
  <si>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</si>
  <si>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</si>
  <si>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</si>
  <si>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</si>
  <si>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</si>
  <si>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</si>
  <si>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</si>
  <si>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</si>
  <si>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</si>
  <si>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</si>
  <si>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</si>
  <si>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</si>
  <si>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</si>
  <si>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</si>
  <si>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</si>
  <si>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</si>
  <si>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</si>
  <si>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</si>
  <si>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</si>
  <si>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</si>
  <si>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</si>
  <si>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</si>
  <si>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</si>
  <si>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</si>
  <si>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</si>
  <si>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</si>
  <si>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</si>
  <si>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</si>
  <si>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</si>
  <si>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</si>
  <si>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</si>
  <si>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</si>
  <si>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</si>
  <si>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</si>
  <si>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</si>
  <si>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</si>
  <si>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</si>
  <si>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</si>
  <si>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</si>
  <si>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</si>
  <si>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</si>
  <si>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</si>
  <si>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</si>
  <si>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</si>
  <si>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</si>
  <si>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</si>
  <si>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</si>
  <si>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</si>
  <si>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</si>
  <si>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</si>
  <si>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</si>
  <si>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</si>
  <si>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</si>
  <si>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</si>
  <si>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</si>
  <si>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</si>
  <si>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</si>
  <si>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</si>
  <si>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</si>
  <si>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</si>
  <si>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</si>
  <si>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</si>
  <si>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</si>
  <si>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</si>
  <si>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</si>
  <si>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</si>
  <si>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</si>
  <si>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</si>
  <si>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</si>
  <si>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</si>
  <si>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</si>
  <si>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</si>
  <si>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</si>
  <si>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</si>
  <si>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</si>
  <si>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</si>
  <si>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</si>
  <si>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</si>
  <si>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</si>
  <si>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</si>
  <si>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</si>
  <si>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</si>
  <si>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</si>
  <si>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</si>
  <si>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</si>
  <si>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</si>
  <si>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</si>
  <si>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</si>
  <si>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</si>
  <si>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</si>
  <si>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</si>
  <si>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</si>
  <si>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</si>
  <si>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</si>
  <si>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</si>
  <si>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</si>
  <si>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</si>
  <si>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</si>
  <si>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</si>
  <si>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</si>
  <si>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</si>
  <si>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</si>
  <si>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</si>
  <si>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</si>
  <si>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</si>
  <si>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</si>
  <si>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</si>
  <si>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</si>
  <si>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</si>
  <si>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</si>
  <si>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</si>
  <si>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</si>
  <si>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</si>
  <si>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</si>
  <si>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</si>
  <si>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</si>
  <si>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</si>
  <si>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</si>
  <si>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</si>
  <si>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</si>
  <si>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</si>
  <si>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</si>
  <si>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</si>
  <si>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</si>
  <si>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</si>
  <si>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</si>
  <si>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</si>
  <si>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</si>
  <si>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</si>
  <si>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</si>
  <si>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</si>
  <si>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</si>
  <si>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</si>
  <si>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</si>
  <si>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</si>
  <si>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</si>
  <si>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</si>
  <si>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</si>
  <si>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</si>
  <si>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</si>
  <si>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</si>
  <si>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</si>
  <si>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</si>
  <si>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</si>
  <si>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</si>
  <si>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</si>
  <si>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</si>
  <si>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</si>
  <si>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</si>
  <si>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</si>
  <si>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</si>
  <si>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</si>
  <si>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</si>
  <si>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</si>
  <si>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</si>
  <si>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</si>
  <si>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</si>
  <si>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</si>
  <si>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</si>
  <si>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</si>
  <si>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</si>
  <si>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</si>
  <si>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</si>
  <si>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</si>
  <si>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</si>
  <si>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</si>
  <si>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</si>
  <si>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</si>
  <si>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</si>
  <si>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</si>
  <si>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</si>
  <si>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</si>
  <si>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</si>
  <si>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</si>
  <si>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</si>
  <si>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</si>
  <si>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</si>
  <si>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</si>
  <si>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</si>
  <si>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</si>
  <si>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</si>
  <si>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</si>
  <si>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</si>
  <si>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</si>
  <si>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</si>
  <si>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</si>
  <si>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</si>
  <si>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</si>
  <si>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</si>
  <si>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</si>
  <si>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</si>
  <si>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</si>
  <si>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</si>
  <si>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</si>
  <si>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</si>
  <si>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</si>
  <si>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</si>
  <si>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</si>
  <si>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</si>
  <si>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</si>
  <si>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</si>
  <si>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</si>
  <si>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</si>
  <si>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</si>
  <si>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</si>
  <si>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</si>
  <si>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</si>
  <si>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</si>
  <si>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</si>
  <si>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</si>
  <si>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</si>
  <si>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</si>
  <si>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</si>
  <si>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</si>
  <si>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</si>
  <si>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</si>
  <si>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</si>
  <si>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</si>
  <si>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</si>
  <si>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</si>
  <si>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</si>
  <si>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</si>
  <si>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</si>
  <si>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</si>
  <si>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</si>
  <si>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</si>
  <si>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</si>
  <si>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</si>
  <si>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</si>
  <si>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</si>
  <si>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</si>
  <si>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</si>
  <si>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</si>
  <si>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</si>
  <si>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</si>
  <si>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</si>
  <si>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</si>
  <si>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</si>
  <si>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</si>
  <si>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</si>
  <si>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</si>
  <si>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</si>
  <si>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</si>
  <si>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</si>
  <si>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</si>
  <si>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</si>
  <si>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</si>
  <si>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</si>
  <si>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</si>
  <si>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</si>
  <si>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</si>
  <si>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</si>
  <si>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</si>
  <si>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</si>
  <si>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</si>
  <si>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</si>
  <si>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</si>
  <si>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</si>
  <si>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</si>
  <si>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</si>
  <si>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</si>
  <si>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</si>
  <si>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</si>
  <si>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</si>
  <si>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</si>
  <si>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</si>
  <si>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</si>
  <si>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</si>
  <si>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</si>
  <si>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</si>
  <si>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</si>
  <si>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</si>
  <si>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</si>
  <si>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</si>
  <si>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</si>
  <si>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</si>
  <si>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</si>
  <si>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</si>
  <si>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</si>
  <si>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</si>
  <si>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</si>
  <si>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</si>
  <si>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</si>
  <si>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</si>
  <si>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</si>
  <si>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</si>
  <si>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</si>
  <si>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</si>
  <si>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</si>
  <si>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</si>
  <si>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</si>
  <si>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</si>
  <si>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</si>
  <si>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</si>
  <si>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</si>
  <si>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</si>
  <si>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</si>
  <si>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</si>
  <si>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</si>
  <si>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</si>
  <si>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</si>
  <si>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</si>
  <si>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</si>
  <si>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</si>
  <si>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</si>
  <si>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</si>
  <si>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</si>
  <si>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</si>
  <si>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</si>
  <si>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</si>
  <si>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</si>
  <si>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</si>
  <si>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</si>
  <si>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</si>
  <si>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</si>
  <si>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</si>
  <si>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</si>
  <si>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</si>
  <si>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</si>
  <si>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</si>
  <si>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</si>
  <si>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</si>
  <si>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</si>
  <si>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</si>
  <si>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</si>
  <si>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</si>
  <si>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</si>
  <si>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</si>
  <si>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</si>
  <si>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</si>
  <si>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</si>
  <si>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</si>
  <si>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</si>
  <si>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</si>
  <si>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</si>
  <si>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</si>
  <si>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</si>
  <si>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</si>
  <si>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</si>
  <si>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</si>
  <si>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</si>
  <si>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</si>
  <si>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</si>
  <si>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</si>
  <si>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</si>
  <si>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</si>
  <si>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</si>
  <si>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</si>
  <si>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</si>
  <si>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</si>
  <si>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</si>
  <si>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</si>
  <si>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</si>
  <si>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</si>
  <si>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</si>
  <si>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</si>
  <si>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</si>
  <si>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</si>
  <si>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</si>
  <si>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</si>
  <si>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</si>
  <si>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</si>
  <si>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</si>
  <si>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</si>
  <si>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</si>
  <si>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</si>
  <si>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</si>
  <si>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</si>
  <si>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</si>
  <si>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</si>
  <si>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</si>
  <si>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</si>
  <si>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</si>
  <si>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</si>
  <si>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</si>
  <si>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</si>
  <si>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</si>
  <si>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</si>
  <si>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</si>
  <si>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</si>
  <si>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</si>
  <si>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</si>
  <si>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</si>
  <si>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</si>
  <si>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</si>
  <si>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</si>
  <si>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</si>
  <si>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</si>
  <si>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</si>
  <si>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</si>
  <si>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</si>
  <si>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</si>
  <si>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</si>
  <si>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</si>
  <si>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</si>
  <si>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</si>
  <si>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</si>
  <si>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</si>
  <si>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</si>
  <si>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</si>
  <si>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</si>
  <si>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</si>
  <si>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</si>
  <si>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</si>
  <si>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</si>
  <si>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</si>
  <si>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</si>
  <si>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</si>
  <si>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</si>
  <si>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</si>
  <si>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</si>
  <si>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</si>
  <si>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</si>
  <si>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</si>
  <si>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</si>
  <si>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</si>
  <si>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</si>
  <si>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</si>
  <si>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</si>
  <si>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</si>
  <si>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</si>
  <si>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</si>
  <si>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</si>
  <si>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</si>
  <si>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</si>
  <si>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</si>
  <si>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</si>
  <si>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</si>
  <si>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</si>
  <si>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</si>
  <si>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</si>
  <si>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</si>
  <si>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</si>
  <si>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</si>
  <si>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</si>
  <si>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</si>
  <si>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</si>
  <si>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</si>
  <si>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</si>
  <si>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</si>
  <si>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</si>
  <si>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</si>
  <si>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</si>
  <si>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</si>
  <si>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</si>
  <si>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</si>
  <si>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</si>
  <si>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</si>
  <si>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</si>
  <si>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</si>
  <si>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</si>
  <si>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</si>
  <si>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</si>
  <si>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</si>
  <si>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</si>
  <si>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</si>
  <si>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</si>
  <si>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</si>
  <si>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</si>
  <si>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</si>
  <si>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</si>
  <si>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</si>
  <si>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</si>
  <si>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</si>
  <si>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</si>
  <si>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</si>
  <si>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</si>
  <si>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</si>
  <si>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</si>
  <si>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</si>
  <si>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</si>
  <si>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</si>
  <si>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</si>
  <si>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</si>
  <si>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</si>
  <si>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</si>
  <si>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</si>
  <si>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</si>
  <si>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</si>
  <si>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</si>
  <si>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</si>
  <si>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</si>
  <si>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</si>
  <si>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</si>
  <si>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</si>
  <si>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</si>
  <si>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</si>
  <si>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</si>
  <si>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</si>
  <si>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</si>
  <si>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</si>
  <si>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</si>
  <si>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</si>
  <si>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</si>
  <si>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</si>
  <si>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</si>
  <si>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</si>
  <si>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</si>
  <si>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</si>
  <si>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</si>
  <si>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</si>
  <si>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</si>
  <si>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</si>
  <si>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</si>
  <si>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</si>
  <si>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</si>
  <si>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</si>
  <si>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</si>
  <si>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</si>
  <si>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</si>
  <si>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</si>
  <si>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</si>
  <si>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</si>
  <si>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</si>
  <si>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</si>
  <si>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</si>
  <si>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</si>
  <si>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</si>
  <si>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</si>
  <si>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</si>
  <si>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</si>
  <si>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</si>
  <si>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</si>
  <si>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</si>
  <si>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</si>
  <si>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</si>
  <si>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</si>
  <si>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</si>
  <si>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</si>
  <si>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</si>
  <si>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</si>
  <si>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</si>
  <si>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</si>
  <si>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</si>
  <si>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</si>
  <si>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</si>
  <si>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</si>
  <si>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</si>
  <si>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</si>
  <si>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</si>
  <si>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</si>
  <si>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</si>
  <si>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</si>
  <si>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</si>
  <si>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</si>
  <si>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</si>
  <si>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</si>
  <si>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</si>
  <si>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</si>
  <si>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</si>
  <si>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</si>
  <si>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</si>
  <si>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</si>
  <si>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</si>
  <si>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</si>
  <si>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</si>
  <si>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</si>
  <si>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</si>
  <si>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</si>
  <si>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</si>
  <si>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</si>
  <si>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</si>
  <si>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</si>
  <si>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</si>
  <si>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</si>
  <si>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</si>
  <si>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</si>
  <si>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</si>
  <si>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</si>
  <si>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</si>
  <si>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</si>
  <si>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</si>
  <si>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</si>
  <si>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</si>
  <si>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</si>
  <si>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</si>
  <si>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</si>
  <si>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</si>
  <si>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</si>
  <si>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</si>
  <si>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</si>
  <si>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</si>
  <si>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</si>
  <si>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</si>
  <si>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</si>
  <si>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</si>
  <si>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</si>
  <si>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</si>
  <si>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</si>
  <si>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</si>
  <si>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</si>
  <si>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</si>
  <si>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</si>
  <si>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</si>
  <si>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</si>
  <si>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</si>
  <si>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</si>
  <si>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</si>
  <si>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</si>
  <si>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</si>
  <si>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</si>
  <si>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</si>
  <si>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</si>
  <si>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</si>
  <si>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</si>
  <si>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</si>
  <si>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</si>
  <si>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</si>
  <si>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</si>
  <si>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</si>
  <si>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</si>
  <si>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</si>
  <si>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</si>
  <si>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</si>
  <si>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</si>
  <si>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</si>
  <si>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</si>
  <si>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</si>
  <si>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</si>
  <si>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</si>
  <si>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</si>
  <si>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</si>
  <si>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</si>
  <si>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</si>
  <si>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</si>
  <si>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</si>
  <si>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</si>
  <si>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</si>
  <si>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</si>
  <si>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</si>
  <si>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</si>
  <si>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</si>
  <si>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</si>
  <si>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</si>
  <si>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</si>
  <si>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</si>
  <si>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</si>
  <si>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</si>
  <si>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</si>
  <si>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</si>
  <si>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</si>
  <si>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</si>
  <si>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</si>
  <si>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</si>
  <si>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</si>
  <si>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</si>
  <si>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</si>
  <si>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</si>
  <si>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</si>
  <si>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</si>
  <si>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</si>
  <si>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</si>
  <si>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</si>
  <si>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</si>
  <si>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</si>
  <si>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</si>
  <si>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</si>
  <si>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</si>
  <si>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</si>
  <si>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</si>
  <si>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</si>
  <si>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</si>
  <si>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</si>
  <si>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</si>
  <si>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</si>
  <si>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</si>
  <si>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</si>
  <si>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</si>
  <si>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</si>
  <si>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</si>
  <si>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</si>
  <si>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</si>
  <si>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</si>
  <si>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</si>
  <si>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</si>
  <si>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</si>
  <si>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</si>
  <si>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</si>
  <si>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</si>
  <si>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</si>
  <si>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</si>
  <si>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</si>
  <si>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</si>
  <si>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</si>
  <si>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</si>
  <si>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</si>
  <si>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</si>
  <si>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</si>
  <si>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</si>
  <si>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</si>
  <si>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</si>
  <si>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</si>
  <si>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</si>
  <si>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</si>
  <si>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</si>
  <si>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</si>
  <si>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</si>
  <si>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</si>
  <si>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</si>
  <si>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</si>
  <si>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</si>
  <si>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</si>
  <si>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</si>
  <si>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</si>
  <si>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</si>
  <si>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</si>
  <si>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</si>
  <si>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</si>
  <si>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</si>
  <si>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</si>
  <si>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</si>
  <si>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</si>
  <si>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</si>
  <si>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</si>
  <si>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</si>
  <si>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</si>
  <si>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</si>
  <si>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</si>
  <si>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</si>
  <si>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</si>
  <si>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</si>
  <si>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</si>
  <si>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</si>
  <si>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</si>
  <si>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</si>
  <si>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</si>
  <si>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</si>
  <si>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</si>
  <si>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</si>
  <si>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</si>
  <si>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</si>
  <si>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</si>
  <si>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</si>
  <si>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</si>
  <si>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</si>
  <si>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</si>
  <si>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</si>
  <si>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</si>
  <si>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</si>
  <si>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</si>
  <si>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</si>
  <si>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</si>
  <si>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</si>
  <si>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</si>
  <si>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</si>
  <si>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</si>
  <si>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</si>
  <si>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</si>
  <si>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</si>
  <si>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</si>
  <si>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</si>
  <si>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</si>
  <si>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</si>
  <si>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</si>
  <si>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</si>
  <si>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</si>
  <si>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</si>
  <si>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</si>
  <si>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</si>
  <si>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</si>
  <si>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</si>
  <si>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</si>
  <si>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</si>
  <si>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</si>
  <si>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</si>
  <si>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</si>
  <si>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</si>
  <si>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</si>
  <si>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</si>
  <si>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</si>
  <si>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</si>
  <si>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</si>
  <si>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</si>
  <si>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</si>
  <si>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</si>
  <si>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</si>
  <si>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</si>
  <si>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</si>
  <si>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</si>
  <si>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</si>
  <si>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</si>
  <si>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</si>
  <si>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</si>
  <si>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</si>
  <si>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</si>
  <si>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</si>
  <si>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</si>
  <si>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</si>
  <si>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</si>
  <si>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</si>
  <si>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</si>
  <si>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</si>
  <si>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</si>
  <si>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</si>
  <si>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</si>
  <si>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</si>
  <si>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</si>
  <si>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</si>
  <si>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</si>
  <si>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</si>
  <si>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</si>
  <si>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</si>
  <si>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</si>
  <si>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</si>
  <si>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</si>
  <si>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</si>
  <si>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</si>
  <si>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</si>
  <si>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</si>
  <si>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</si>
  <si>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</si>
  <si>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</si>
  <si>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</si>
  <si>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</si>
  <si>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</si>
  <si>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</si>
  <si>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</si>
  <si>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</si>
  <si>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</si>
  <si>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</si>
  <si>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</si>
  <si>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</si>
  <si>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</si>
  <si>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</si>
  <si>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</si>
  <si>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</si>
  <si>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</si>
  <si>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</si>
  <si>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</si>
  <si>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</si>
  <si>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</si>
  <si>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</si>
  <si>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</si>
  <si>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</si>
  <si>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</si>
  <si>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</si>
  <si>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</si>
  <si>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</si>
  <si>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</si>
  <si>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</si>
  <si>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</si>
  <si>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</si>
  <si>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</si>
  <si>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</si>
  <si>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</si>
  <si>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</si>
  <si>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</si>
  <si>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</si>
  <si>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</si>
  <si>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</si>
  <si>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</si>
  <si>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</si>
  <si>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</si>
  <si>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</si>
  <si>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</si>
  <si>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</si>
  <si>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</si>
  <si>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</si>
  <si>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</si>
  <si>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</si>
  <si>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</si>
  <si>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</si>
  <si>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</si>
  <si>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</si>
  <si>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</si>
  <si>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</si>
  <si>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</si>
  <si>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</si>
  <si>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</si>
  <si>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</si>
  <si>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</si>
  <si>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</si>
  <si>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</si>
  <si>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</si>
  <si>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</si>
  <si>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</si>
  <si>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</si>
  <si>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</si>
  <si>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</si>
  <si>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</si>
  <si>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</si>
  <si>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</si>
  <si>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</si>
  <si>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</si>
  <si>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</si>
  <si>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</si>
  <si>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</si>
  <si>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</si>
  <si>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</si>
  <si>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</si>
  <si>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</si>
  <si>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</si>
  <si>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</si>
  <si>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</si>
  <si>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</si>
  <si>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</si>
  <si>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</si>
  <si>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</si>
  <si>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</si>
  <si>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</si>
  <si>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</si>
  <si>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</si>
  <si>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</si>
  <si>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</si>
  <si>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</si>
  <si>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</si>
  <si>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</si>
  <si>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</si>
  <si>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</si>
  <si>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</si>
  <si>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</si>
  <si>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</si>
  <si>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</si>
  <si>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</si>
  <si>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</si>
  <si>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</si>
  <si>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</si>
  <si>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</si>
  <si>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</si>
  <si>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</si>
  <si>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</si>
  <si>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</si>
  <si>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</si>
  <si>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</si>
  <si>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</si>
  <si>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</si>
  <si>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</si>
  <si>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</si>
  <si>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</si>
  <si>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</si>
  <si>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</si>
  <si>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</si>
  <si>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</si>
  <si>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</si>
  <si>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</si>
  <si>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</si>
  <si>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</si>
  <si>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</si>
  <si>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</si>
  <si>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</si>
  <si>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</si>
  <si>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</si>
  <si>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</si>
  <si>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</si>
  <si>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</si>
  <si>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</si>
  <si>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</si>
  <si>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</si>
  <si>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</si>
  <si>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</si>
  <si>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</si>
  <si>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</si>
  <si>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</si>
  <si>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</si>
  <si>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</si>
  <si>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</si>
  <si>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</si>
  <si>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</si>
  <si>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</si>
  <si>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</si>
  <si>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</si>
  <si>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</si>
  <si>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</si>
  <si>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</si>
  <si>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</si>
  <si>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</si>
  <si>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</si>
  <si>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</si>
  <si>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</si>
  <si>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</si>
  <si>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</si>
  <si>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</si>
  <si>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</si>
  <si>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</si>
  <si>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</si>
  <si>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</si>
  <si>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</si>
  <si>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</si>
  <si>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</si>
  <si>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</si>
  <si>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</si>
  <si>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</si>
  <si>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</si>
  <si>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</si>
  <si>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</si>
  <si>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</si>
  <si>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</si>
  <si>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</si>
  <si>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</si>
  <si>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</si>
  <si>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</si>
  <si>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</si>
  <si>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</si>
  <si>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</si>
  <si>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</si>
  <si>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</si>
  <si>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</si>
  <si>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</si>
  <si>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</si>
  <si>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</si>
  <si>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</si>
  <si>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</si>
  <si>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</si>
  <si>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</si>
  <si>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</si>
  <si>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</si>
  <si>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</si>
  <si>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</si>
  <si>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</si>
  <si>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</si>
  <si>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</si>
  <si>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</si>
  <si>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</si>
  <si>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</si>
  <si>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</si>
  <si>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</si>
  <si>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</si>
  <si>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</si>
  <si>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</si>
  <si>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</si>
  <si>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</si>
  <si>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</si>
  <si>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</si>
  <si>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</si>
  <si>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</si>
  <si>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</si>
  <si>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</si>
  <si>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</si>
  <si>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</si>
  <si>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</si>
  <si>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</si>
  <si>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</si>
  <si>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</si>
  <si>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</si>
  <si>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</si>
  <si>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</si>
  <si>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</si>
  <si>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</si>
  <si>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</si>
  <si>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</si>
  <si>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</si>
  <si>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</si>
  <si>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</si>
  <si>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</si>
  <si>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</si>
  <si>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</si>
  <si>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</si>
  <si>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</si>
  <si>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</si>
  <si>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</si>
  <si>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</si>
  <si>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</si>
  <si>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</si>
  <si>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</si>
  <si>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</si>
  <si>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</si>
  <si>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</si>
  <si>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</si>
  <si>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</si>
  <si>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</si>
  <si>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</si>
  <si>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</si>
  <si>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</si>
  <si>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</si>
  <si>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</si>
  <si>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</si>
  <si>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</si>
  <si>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</si>
  <si>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</si>
  <si>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</si>
  <si>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</si>
  <si>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</si>
  <si>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</si>
  <si>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</si>
  <si>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</si>
  <si>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</si>
  <si>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</si>
  <si>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</si>
  <si>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</si>
  <si>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</si>
  <si>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</si>
  <si>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</si>
  <si>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</si>
  <si>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</si>
  <si>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</si>
  <si>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</si>
  <si>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</si>
  <si>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</si>
  <si>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</si>
  <si>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</si>
  <si>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</si>
  <si>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</si>
  <si>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</si>
  <si>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</si>
  <si>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</si>
  <si>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</si>
  <si>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</si>
  <si>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</si>
  <si>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</si>
  <si>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</si>
  <si>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</si>
  <si>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</si>
  <si>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</si>
  <si>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</si>
  <si>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</si>
  <si>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</si>
  <si>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</si>
  <si>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</si>
  <si>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</si>
  <si>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</si>
  <si>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</si>
  <si>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</si>
  <si>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</si>
  <si>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</si>
  <si>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</si>
  <si>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</si>
  <si>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</si>
  <si>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</si>
  <si>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</si>
  <si>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</si>
  <si>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</si>
  <si>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</si>
  <si>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</si>
  <si>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</si>
  <si>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</si>
  <si>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</si>
  <si>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</si>
  <si>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</si>
  <si>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</si>
  <si>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</si>
  <si>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</si>
  <si>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</si>
  <si>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</si>
  <si>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</si>
  <si>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</si>
  <si>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</si>
  <si>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</si>
  <si>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</si>
  <si>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</si>
  <si>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</si>
  <si>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</si>
  <si>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</si>
  <si>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</si>
  <si>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</si>
  <si>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</si>
  <si>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</si>
  <si>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</si>
  <si>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</si>
  <si>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</si>
  <si>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</si>
  <si>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</si>
  <si>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</si>
  <si>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</si>
  <si>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</si>
  <si>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</si>
  <si>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</si>
  <si>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</si>
  <si>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</si>
  <si>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</si>
  <si>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</si>
  <si>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</si>
  <si>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</si>
  <si>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</si>
  <si>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</si>
  <si>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</si>
  <si>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</si>
  <si>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</si>
  <si>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</si>
  <si>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</si>
  <si>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</si>
  <si>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</si>
  <si>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</si>
  <si>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</si>
  <si>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</si>
  <si>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</si>
  <si>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</si>
  <si>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</si>
  <si>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</si>
  <si>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</si>
  <si>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</si>
  <si>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</si>
  <si>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</si>
  <si>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</si>
  <si>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</si>
  <si>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</si>
  <si>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</si>
  <si>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</si>
  <si>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</si>
  <si>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</si>
  <si>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</si>
  <si>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</si>
  <si>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</si>
  <si>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</si>
  <si>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</si>
  <si>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</si>
  <si>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</si>
  <si>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</si>
  <si>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</si>
  <si>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</si>
  <si>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</si>
  <si>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</si>
  <si>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</si>
  <si>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</si>
  <si>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</si>
  <si>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</si>
  <si>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</si>
  <si>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</si>
  <si>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</si>
  <si>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</si>
  <si>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</si>
  <si>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</si>
  <si>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</si>
  <si>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</si>
  <si>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</si>
  <si>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</si>
  <si>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</si>
  <si>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</si>
  <si>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</si>
  <si>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</si>
  <si>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</si>
  <si>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</si>
  <si>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</si>
  <si>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</si>
  <si>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</si>
  <si>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</si>
  <si>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</si>
  <si>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</si>
  <si>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</si>
  <si>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</si>
  <si>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</si>
  <si>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</si>
  <si>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</si>
  <si>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</si>
  <si>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</si>
  <si>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</si>
  <si>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</si>
  <si>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</si>
  <si>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</si>
  <si>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</si>
  <si>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</si>
  <si>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</si>
  <si>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</si>
  <si>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</si>
  <si>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</si>
  <si>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</si>
  <si>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</si>
  <si>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</si>
  <si>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</si>
  <si>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</si>
  <si>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</si>
  <si>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</si>
  <si>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</si>
  <si>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</si>
  <si>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</si>
  <si>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</si>
  <si>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</si>
  <si>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</si>
  <si>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</si>
  <si>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</si>
  <si>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</si>
  <si>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</si>
  <si>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</si>
  <si>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</si>
  <si>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</si>
  <si>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</si>
  <si>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</si>
  <si>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</si>
  <si>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</si>
  <si>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</si>
  <si>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</si>
  <si>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</si>
  <si>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</si>
  <si>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</si>
  <si>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</si>
  <si>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</si>
  <si>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</si>
  <si>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</si>
  <si>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</si>
  <si>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</si>
  <si>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</si>
  <si>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</si>
  <si>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</si>
  <si>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</si>
  <si>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</si>
  <si>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</si>
  <si>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</si>
  <si>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</si>
  <si>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</si>
  <si>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</si>
  <si>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</si>
  <si>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</si>
  <si>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</si>
  <si>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</si>
  <si>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</si>
  <si>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</si>
  <si>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</si>
  <si>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</si>
  <si>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</si>
  <si>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</si>
  <si>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</si>
  <si>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</si>
  <si>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</si>
  <si>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</si>
  <si>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</si>
  <si>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</si>
  <si>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</si>
  <si>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</si>
  <si>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</si>
  <si>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</si>
  <si>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</si>
  <si>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</si>
  <si>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</si>
  <si>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</si>
  <si>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</si>
  <si>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</si>
  <si>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</si>
  <si>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</si>
  <si>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</si>
  <si>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</si>
  <si>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</si>
  <si>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</si>
  <si>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</si>
  <si>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</si>
  <si>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</si>
  <si>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</si>
  <si>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</si>
  <si>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</si>
  <si>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</si>
  <si>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</si>
  <si>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</si>
  <si>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</si>
  <si>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</si>
  <si>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</si>
  <si>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</si>
  <si>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</si>
  <si>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</si>
  <si>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</si>
  <si>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</si>
  <si>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</si>
  <si>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</si>
  <si>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</si>
  <si>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</si>
  <si>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</si>
  <si>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</si>
  <si>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</si>
  <si>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</si>
  <si>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</si>
  <si>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</si>
  <si>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</si>
  <si>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</si>
  <si>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</si>
  <si>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</si>
  <si>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</si>
  <si>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</si>
  <si>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</si>
  <si>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</si>
  <si>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</si>
  <si>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</si>
  <si>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</si>
  <si>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</si>
  <si>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</si>
  <si>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</si>
  <si>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</si>
  <si>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</si>
  <si>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</si>
  <si>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</si>
  <si>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</si>
  <si>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</si>
  <si>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</si>
  <si>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</si>
  <si>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</si>
  <si>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</si>
  <si>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</si>
  <si>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</si>
  <si>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</si>
  <si>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</si>
  <si>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</si>
  <si>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</si>
  <si>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</si>
  <si>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</si>
  <si>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</si>
  <si>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</si>
  <si>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</si>
  <si>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</si>
  <si>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</si>
  <si>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</si>
  <si>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</si>
  <si>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</si>
  <si>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</si>
  <si>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</si>
  <si>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</si>
  <si>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</si>
  <si>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</si>
  <si>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</si>
  <si>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</si>
  <si>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</si>
  <si>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</si>
  <si>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</si>
  <si>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</si>
  <si>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</si>
  <si>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</si>
  <si>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</si>
  <si>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</si>
  <si>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</si>
  <si>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</si>
  <si>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</si>
  <si>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</si>
  <si>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</si>
  <si>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</si>
  <si>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</si>
  <si>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</si>
  <si>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</si>
  <si>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</si>
  <si>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</si>
  <si>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</si>
  <si>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</si>
  <si>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</si>
  <si>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</si>
  <si>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</si>
  <si>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</si>
  <si>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</si>
  <si>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</si>
  <si>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</si>
  <si>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</si>
  <si>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</si>
  <si>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</si>
  <si>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</si>
  <si>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</si>
  <si>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</si>
  <si>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</si>
  <si>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</si>
  <si>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</si>
  <si>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</si>
  <si>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</si>
  <si>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</si>
  <si>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</si>
  <si>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</si>
  <si>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</si>
  <si>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</si>
  <si>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</si>
  <si>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</si>
  <si>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</si>
  <si>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</si>
  <si>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</si>
  <si>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</si>
  <si>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</si>
  <si>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</si>
  <si>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</si>
  <si>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</si>
  <si>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</si>
  <si>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</si>
  <si>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</si>
  <si>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</si>
  <si>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</si>
  <si>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</si>
  <si>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</si>
  <si>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</si>
  <si>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</si>
  <si>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</si>
  <si>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</si>
  <si>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</si>
  <si>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</si>
  <si>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</si>
  <si>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</si>
  <si>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</si>
  <si>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</si>
  <si>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</si>
  <si>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</si>
  <si>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</si>
  <si>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</si>
  <si>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</si>
  <si>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</si>
  <si>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</si>
  <si>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</si>
  <si>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</si>
  <si>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</si>
  <si>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</si>
  <si>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</si>
  <si>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</si>
  <si>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</si>
  <si>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</si>
  <si>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</si>
  <si>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</si>
  <si>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</si>
  <si>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</si>
  <si>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</si>
  <si>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</si>
  <si>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</si>
  <si>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</si>
  <si>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</si>
  <si>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</si>
  <si>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</si>
  <si>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</si>
  <si>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</si>
  <si>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</si>
  <si>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</si>
  <si>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</si>
  <si>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</si>
  <si>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</si>
  <si>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</si>
  <si>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</si>
  <si>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</si>
  <si>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</si>
  <si>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</si>
  <si>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</si>
  <si>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</si>
  <si>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</si>
  <si>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</si>
  <si>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</si>
  <si>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</si>
  <si>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</si>
  <si>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</si>
  <si>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</si>
  <si>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</si>
  <si>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</si>
  <si>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</si>
  <si>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</si>
  <si>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</si>
  <si>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</si>
  <si>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</si>
  <si>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</si>
  <si>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</si>
  <si>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</si>
  <si>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</si>
  <si>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</si>
  <si>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</si>
  <si>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</si>
  <si>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</si>
  <si>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</si>
  <si>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</si>
  <si>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</si>
  <si>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</si>
  <si>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</si>
  <si>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</si>
  <si>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</si>
  <si>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</si>
  <si>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</si>
  <si>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</si>
  <si>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</si>
  <si>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</si>
  <si>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</si>
  <si>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</si>
  <si>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</si>
  <si>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</si>
  <si>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</si>
  <si>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</si>
  <si>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</si>
  <si>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</si>
  <si>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</si>
  <si>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</si>
  <si>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</si>
  <si>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</si>
  <si>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</si>
  <si>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</si>
  <si>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</si>
  <si>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</si>
  <si>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</si>
  <si>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</si>
  <si>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</si>
  <si>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</si>
  <si>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</si>
  <si>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</si>
  <si>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</si>
  <si>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</si>
  <si>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</si>
  <si>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</si>
  <si>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</si>
  <si>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</si>
  <si>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</si>
  <si>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</si>
  <si>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</si>
  <si>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</si>
  <si>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</si>
  <si>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</si>
  <si>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</si>
  <si>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</si>
  <si>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</si>
  <si>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</si>
  <si>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</si>
  <si>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</si>
  <si>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</si>
  <si>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</si>
  <si>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</si>
  <si>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</si>
  <si>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</si>
  <si>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</si>
  <si>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</si>
  <si>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</si>
  <si>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</si>
  <si>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</si>
  <si>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</si>
  <si>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</si>
  <si>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</si>
  <si>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</si>
  <si>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</si>
  <si>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</si>
  <si>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</si>
  <si>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</si>
  <si>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</si>
  <si>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</si>
  <si>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</si>
  <si>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</si>
  <si>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</si>
  <si>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</si>
  <si>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</si>
  <si>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</si>
  <si>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</si>
  <si>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</si>
  <si>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</si>
  <si>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</si>
  <si>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</si>
  <si>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</si>
  <si>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</si>
  <si>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</si>
  <si>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</si>
  <si>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</si>
  <si>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</si>
  <si>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</si>
  <si>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</si>
  <si>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</si>
  <si>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</si>
  <si>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</si>
  <si>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</si>
  <si>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</si>
  <si>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</si>
  <si>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</si>
  <si>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</si>
  <si>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</si>
  <si>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</si>
  <si>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</si>
  <si>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</si>
  <si>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</si>
  <si>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</si>
  <si>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</si>
  <si>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</si>
  <si>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</si>
  <si>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</si>
  <si>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</si>
  <si>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</si>
  <si>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</si>
  <si>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</si>
  <si>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</si>
  <si>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</si>
  <si>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</si>
  <si>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</si>
  <si>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</si>
  <si>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</si>
  <si>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</si>
  <si>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</si>
  <si>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</si>
  <si>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</si>
  <si>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</si>
  <si>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</si>
  <si>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</si>
  <si>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</si>
  <si>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</si>
  <si>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</si>
  <si>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</si>
  <si>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</si>
  <si>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</si>
  <si>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</si>
  <si>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</si>
  <si>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</si>
  <si>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</si>
  <si>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</si>
  <si>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</si>
  <si>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</si>
  <si>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</si>
  <si>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</si>
  <si>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</si>
  <si>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</si>
  <si>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</si>
  <si>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</si>
  <si>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</si>
  <si>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</si>
  <si>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</si>
  <si>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</si>
  <si>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</si>
  <si>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</si>
  <si>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</si>
  <si>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</si>
  <si>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</si>
  <si>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</si>
  <si>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</si>
  <si>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</si>
  <si>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</si>
  <si>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</si>
  <si>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</si>
  <si>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</si>
  <si>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</si>
  <si>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</si>
  <si>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</si>
  <si>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</si>
  <si>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</si>
  <si>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</si>
  <si>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</si>
  <si>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</si>
  <si>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</si>
  <si>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</si>
  <si>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</si>
  <si>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</si>
  <si>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</si>
  <si>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</si>
  <si>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</si>
  <si>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</si>
  <si>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</si>
  <si>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</si>
  <si>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</si>
  <si>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</si>
  <si>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</si>
  <si>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</si>
  <si>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</si>
  <si>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</si>
  <si>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</si>
  <si>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</si>
  <si>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</si>
  <si>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</si>
  <si>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</si>
  <si>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</si>
  <si>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</si>
  <si>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</si>
  <si>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</si>
  <si>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</si>
  <si>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</si>
  <si>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</si>
  <si>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</si>
  <si>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</si>
  <si>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</si>
  <si>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</si>
  <si>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</si>
  <si>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</si>
  <si>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</si>
  <si>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</si>
  <si>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</si>
  <si>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</si>
  <si>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</si>
  <si>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</si>
  <si>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</si>
  <si>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</si>
  <si>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</si>
  <si>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</si>
  <si>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</si>
  <si>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</si>
  <si>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</si>
  <si>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</si>
  <si>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</si>
  <si>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</si>
  <si>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</si>
  <si>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</si>
  <si>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</si>
  <si>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</si>
  <si>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</si>
  <si>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</si>
  <si>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</si>
  <si>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</si>
  <si>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</si>
  <si>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</si>
  <si>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</si>
  <si>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</si>
  <si>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</si>
  <si>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</si>
  <si>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</si>
  <si>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</si>
  <si>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</si>
  <si>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</si>
  <si>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</si>
  <si>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</si>
  <si>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</si>
  <si>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</si>
  <si>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</si>
  <si>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</si>
  <si>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</si>
  <si>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</si>
  <si>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</si>
  <si>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</si>
  <si>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</si>
  <si>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</si>
  <si>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</si>
  <si>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</si>
  <si>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</si>
  <si>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</si>
  <si>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</si>
  <si>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</si>
  <si>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</si>
  <si>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</si>
  <si>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</si>
  <si>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</si>
  <si>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</si>
  <si>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</si>
  <si>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</si>
  <si>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</si>
  <si>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</si>
  <si>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</si>
  <si>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</si>
  <si>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</si>
  <si>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</si>
  <si>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</si>
  <si>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</si>
  <si>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</si>
  <si>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</si>
  <si>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</si>
  <si>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</si>
  <si>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</si>
  <si>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</si>
  <si>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</si>
  <si>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</si>
  <si>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</si>
  <si>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</si>
  <si>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</si>
  <si>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</si>
  <si>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</si>
  <si>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</si>
  <si>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</si>
  <si>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</si>
  <si>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</si>
  <si>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</si>
  <si>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</si>
  <si>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</si>
  <si>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</si>
  <si>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</si>
  <si>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</si>
  <si>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</si>
  <si>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</si>
  <si>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</si>
  <si>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</si>
  <si>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</si>
  <si>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</si>
  <si>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</si>
  <si>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</si>
  <si>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</si>
  <si>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</si>
  <si>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</si>
  <si>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</si>
  <si>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</si>
  <si>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</si>
  <si>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</si>
  <si>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</si>
  <si>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</si>
  <si>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</si>
  <si>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</si>
  <si>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</si>
  <si>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</si>
  <si>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</si>
  <si>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</si>
  <si>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</si>
  <si>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</si>
  <si>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</si>
  <si>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</si>
  <si>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</si>
  <si>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</si>
  <si>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</si>
  <si>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</si>
  <si>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</si>
  <si>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</si>
  <si>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</si>
  <si>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</si>
  <si>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</si>
  <si>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</si>
  <si>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</si>
  <si>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</si>
  <si>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</si>
  <si>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</si>
  <si>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</si>
  <si>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</si>
  <si>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</si>
  <si>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</si>
  <si>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</si>
  <si>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</si>
  <si>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</si>
  <si>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</si>
  <si>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</si>
  <si>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</si>
  <si>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</si>
  <si>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</si>
  <si>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</si>
  <si>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</si>
  <si>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</si>
  <si>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</si>
  <si>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</si>
  <si>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</si>
  <si>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</si>
  <si>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</si>
  <si>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</si>
  <si>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</si>
  <si>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</si>
  <si>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</si>
  <si>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</si>
  <si>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</si>
  <si>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</si>
  <si>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</si>
  <si>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</si>
  <si>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</si>
  <si>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</si>
  <si>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</si>
  <si>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</si>
  <si>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</si>
  <si>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</si>
  <si>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</si>
  <si>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</si>
  <si>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</si>
  <si>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</si>
  <si>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</si>
  <si>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</si>
  <si>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</si>
  <si>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</si>
  <si>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</si>
  <si>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</si>
  <si>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</si>
  <si>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</si>
  <si>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</si>
  <si>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</si>
  <si>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</si>
  <si>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</si>
  <si>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</si>
  <si>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</si>
  <si>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</si>
  <si>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</si>
  <si>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</si>
  <si>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</si>
  <si>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</si>
  <si>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</si>
  <si>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</si>
  <si>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</si>
  <si>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</si>
  <si>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</si>
  <si>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</si>
  <si>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</si>
  <si>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</si>
  <si>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</si>
  <si>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</si>
  <si>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</si>
  <si>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</si>
  <si>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</si>
  <si>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</si>
  <si>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</si>
  <si>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</si>
  <si>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</si>
  <si>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</si>
  <si>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</si>
  <si>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</si>
  <si>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</si>
  <si>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</si>
  <si>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</si>
  <si>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</si>
  <si>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</si>
  <si>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</si>
  <si>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</si>
  <si>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</si>
  <si>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</si>
  <si>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</si>
  <si>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</si>
  <si>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</si>
  <si>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</si>
  <si>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</si>
  <si>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</si>
  <si>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</si>
  <si>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</si>
  <si>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</si>
  <si>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</si>
  <si>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</si>
  <si>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</si>
  <si>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</si>
  <si>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</si>
  <si>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</si>
  <si>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</si>
  <si>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</si>
  <si>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</si>
  <si>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</si>
  <si>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</si>
  <si>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</si>
  <si>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</si>
  <si>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</si>
  <si>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</si>
  <si>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</si>
  <si>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</si>
  <si>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</si>
  <si>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</si>
  <si>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</si>
  <si>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</si>
  <si>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</si>
  <si>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</si>
  <si>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</si>
  <si>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</si>
  <si>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</si>
  <si>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</si>
  <si>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</si>
  <si>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</si>
  <si>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</si>
  <si>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</si>
  <si>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</si>
  <si>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</si>
  <si>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</si>
  <si>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</si>
  <si>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</si>
  <si>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</si>
  <si>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</si>
  <si>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</si>
  <si>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</si>
  <si>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</si>
  <si>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</si>
  <si>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</si>
  <si>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</si>
  <si>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</si>
  <si>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</si>
  <si>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</si>
  <si>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</si>
  <si>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</si>
  <si>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</si>
  <si>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</si>
  <si>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</si>
  <si>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</si>
  <si>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</si>
  <si>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</si>
  <si>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</si>
  <si>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</si>
  <si>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</si>
  <si>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</si>
  <si>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</si>
  <si>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</si>
  <si>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</si>
  <si>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</si>
  <si>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</si>
  <si>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</si>
  <si>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</si>
  <si>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</si>
  <si>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</si>
  <si>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</si>
  <si>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</si>
  <si>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</si>
  <si>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</si>
  <si>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</si>
  <si>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</si>
  <si>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</si>
  <si>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</si>
  <si>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</si>
  <si>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</si>
  <si>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</si>
  <si>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</si>
  <si>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</si>
  <si>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</si>
  <si>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</si>
  <si>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</si>
  <si>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</si>
  <si>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</si>
  <si>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</si>
  <si>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</si>
  <si>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</si>
  <si>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</si>
  <si>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</si>
  <si>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</si>
  <si>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</si>
  <si>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</si>
  <si>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</si>
  <si>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</si>
  <si>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</si>
  <si>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</si>
  <si>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</si>
  <si>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</si>
  <si>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</si>
  <si>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</si>
  <si>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</si>
  <si>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</si>
  <si>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</si>
  <si>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</si>
  <si>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</si>
  <si>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</si>
  <si>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</si>
  <si>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</si>
  <si>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</si>
  <si>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</si>
  <si>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</si>
  <si>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</si>
  <si>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</si>
  <si>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</si>
  <si>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</si>
  <si>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</si>
  <si>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</si>
  <si>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</si>
  <si>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</si>
  <si>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</si>
  <si>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</si>
  <si>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</si>
  <si>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</si>
  <si>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</si>
  <si>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</si>
  <si>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</si>
  <si>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</si>
  <si>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</si>
  <si>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</si>
  <si>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</si>
  <si>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</si>
  <si>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</si>
  <si>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</si>
  <si>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</si>
  <si>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</si>
  <si>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</si>
  <si>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</si>
  <si>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</si>
  <si>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</si>
  <si>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</si>
  <si>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</si>
  <si>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</si>
  <si>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</si>
  <si>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</si>
  <si>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</si>
  <si>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</si>
  <si>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</si>
  <si>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</si>
  <si>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</si>
  <si>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</si>
  <si>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</si>
  <si>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</si>
  <si>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</si>
  <si>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</si>
  <si>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</si>
  <si>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</si>
  <si>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</si>
  <si>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</si>
  <si>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</si>
  <si>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</si>
  <si>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</si>
  <si>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</si>
  <si>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</si>
  <si>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</si>
  <si>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</si>
  <si>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</si>
  <si>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</si>
  <si>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</si>
  <si>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</si>
  <si>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</si>
  <si>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</si>
  <si>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</si>
  <si>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</si>
  <si>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</si>
  <si>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</si>
  <si>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</si>
  <si>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</si>
  <si>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</si>
  <si>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</si>
  <si>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</si>
  <si>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</si>
  <si>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</si>
  <si>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</si>
  <si>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</si>
  <si>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</si>
  <si>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</si>
  <si>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</si>
  <si>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</si>
  <si>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</si>
  <si>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</si>
  <si>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</si>
  <si>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</si>
  <si>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</si>
  <si>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</si>
  <si>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</si>
  <si>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</si>
  <si>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</si>
  <si>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</si>
  <si>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</si>
  <si>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</si>
  <si>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</si>
  <si>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</si>
  <si>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</si>
  <si>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</si>
  <si>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</si>
  <si>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</si>
  <si>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</si>
  <si>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</si>
  <si>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</si>
  <si>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</si>
  <si>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</si>
  <si>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</si>
  <si>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</si>
  <si>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</si>
  <si>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</si>
  <si>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</si>
  <si>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</si>
  <si>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</si>
  <si>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</si>
  <si>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</si>
  <si>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</si>
  <si>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</si>
  <si>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</si>
  <si>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</si>
  <si>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</si>
  <si>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</si>
  <si>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</si>
  <si>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</si>
  <si>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</si>
  <si>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</si>
  <si>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</si>
  <si>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</si>
  <si>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</si>
  <si>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</si>
  <si>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</si>
  <si>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</si>
  <si>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</si>
  <si>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</si>
  <si>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</si>
  <si>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</si>
  <si>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</si>
  <si>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</si>
  <si>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</si>
  <si>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</si>
  <si>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</si>
  <si>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</si>
  <si>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</si>
  <si>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</si>
  <si>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</si>
  <si>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</si>
  <si>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</si>
  <si>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</si>
  <si>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</si>
  <si>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</si>
  <si>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</si>
  <si>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</si>
  <si>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</si>
  <si>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</si>
  <si>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</si>
  <si>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</si>
  <si>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</si>
  <si>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</si>
  <si>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</si>
  <si>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</si>
  <si>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</si>
  <si>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</si>
  <si>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</si>
  <si>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</si>
  <si>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</si>
  <si>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</si>
  <si>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</si>
  <si>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</si>
  <si>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</si>
  <si>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</si>
  <si>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</si>
  <si>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</si>
  <si>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</si>
  <si>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</si>
  <si>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</si>
  <si>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</si>
  <si>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</si>
  <si>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</si>
  <si>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</si>
  <si>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</si>
  <si>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</si>
  <si>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</si>
  <si>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</si>
  <si>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</si>
  <si>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</si>
  <si>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</si>
  <si>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</si>
  <si>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</si>
  <si>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</si>
  <si>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</si>
  <si>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</si>
  <si>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</si>
  <si>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</si>
  <si>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</si>
  <si>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</si>
  <si>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</si>
  <si>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</si>
  <si>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</si>
  <si>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</si>
  <si>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</si>
  <si>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</si>
  <si>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</si>
  <si>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</si>
  <si>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</si>
  <si>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</si>
  <si>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</si>
  <si>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</si>
  <si>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</si>
  <si>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</si>
  <si>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</si>
  <si>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</si>
  <si>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</si>
  <si>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</si>
  <si>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</si>
  <si>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</si>
  <si>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</si>
  <si>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</si>
  <si>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</si>
  <si>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</si>
  <si>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</si>
  <si>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</si>
  <si>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</si>
  <si>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</si>
  <si>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</si>
  <si>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</si>
  <si>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</si>
  <si>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</si>
  <si>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</si>
  <si>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</si>
  <si>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</si>
  <si>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</si>
  <si>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</si>
  <si>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</si>
  <si>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</si>
  <si>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</si>
  <si>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</si>
  <si>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</si>
  <si>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</si>
  <si>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</si>
  <si>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</si>
  <si>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</si>
  <si>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</si>
  <si>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</si>
  <si>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</si>
  <si>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</si>
  <si>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</si>
  <si>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</si>
  <si>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</si>
  <si>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</si>
  <si>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</si>
  <si>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</si>
  <si>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</si>
  <si>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</si>
  <si>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</si>
  <si>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</si>
  <si>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</si>
  <si>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</si>
  <si>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</si>
  <si>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</si>
  <si>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</si>
  <si>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</si>
  <si>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</si>
  <si>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</si>
  <si>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</si>
  <si>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</si>
  <si>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</si>
  <si>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</si>
  <si>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</si>
  <si>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</si>
  <si>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</si>
  <si>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</si>
  <si>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</si>
  <si>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</si>
  <si>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</si>
  <si>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</si>
  <si>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</si>
  <si>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</si>
  <si>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</si>
  <si>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</si>
  <si>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</si>
  <si>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</si>
  <si>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</si>
  <si>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</si>
  <si>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</si>
  <si>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</si>
  <si>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</si>
  <si>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</si>
  <si>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</si>
  <si>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</si>
  <si>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</si>
  <si>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</si>
  <si>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</si>
  <si>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</si>
  <si>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</si>
  <si>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</si>
  <si>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</si>
  <si>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</si>
  <si>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</si>
  <si>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</si>
  <si>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</si>
  <si>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</si>
  <si>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</si>
  <si>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</si>
  <si>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</si>
  <si>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</si>
  <si>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</si>
  <si>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</si>
  <si>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</si>
  <si>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</si>
  <si>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</si>
  <si>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</si>
  <si>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</si>
  <si>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</si>
  <si>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</si>
  <si>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</si>
  <si>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</si>
  <si>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</si>
  <si>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</si>
  <si>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</si>
  <si>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</si>
  <si>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</si>
  <si>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</si>
  <si>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</si>
  <si>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</si>
  <si>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</si>
  <si>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</si>
  <si>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</si>
  <si>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</si>
  <si>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</si>
  <si>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</si>
  <si>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</si>
  <si>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</si>
  <si>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</si>
  <si>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</si>
  <si>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</si>
  <si>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</si>
  <si>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</si>
  <si>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</si>
  <si>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</si>
  <si>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</si>
  <si>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</si>
  <si>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</si>
  <si>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</si>
  <si>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</si>
  <si>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</si>
  <si>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</si>
  <si>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</si>
  <si>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</si>
  <si>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</si>
  <si>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</si>
  <si>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</si>
  <si>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</si>
  <si>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</si>
  <si>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</si>
  <si>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</si>
  <si>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</si>
  <si>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</si>
  <si>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</si>
  <si>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</si>
  <si>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</si>
  <si>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</si>
  <si>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</si>
  <si>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</si>
  <si>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</si>
  <si>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</si>
  <si>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</si>
  <si>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</si>
  <si>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</si>
  <si>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</si>
  <si>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</si>
  <si>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</si>
  <si>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</si>
  <si>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</si>
  <si>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</si>
  <si>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</si>
  <si>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</si>
  <si>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</si>
  <si>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</si>
  <si>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</si>
  <si>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</si>
  <si>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</si>
  <si>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</si>
  <si>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</si>
  <si>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</si>
  <si>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</si>
  <si>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</si>
  <si>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</si>
  <si>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</si>
  <si>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</si>
  <si>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</si>
  <si>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</si>
  <si>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</si>
  <si>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</si>
  <si>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</si>
  <si>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</si>
  <si>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</si>
  <si>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</si>
  <si>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</si>
  <si>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</si>
  <si>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</si>
  <si>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</si>
  <si>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</si>
  <si>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</si>
  <si>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</si>
  <si>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</si>
  <si>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</si>
  <si>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</si>
  <si>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</si>
  <si>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</si>
  <si>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</si>
  <si>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</si>
  <si>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</si>
  <si>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</si>
  <si>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</si>
  <si>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</si>
  <si>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</si>
  <si>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</si>
  <si>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</si>
  <si>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</si>
  <si>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</si>
  <si>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</si>
  <si>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</si>
  <si>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</si>
  <si>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</si>
  <si>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</si>
  <si>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</si>
  <si>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</si>
  <si>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</si>
  <si>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</si>
  <si>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</si>
  <si>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</si>
  <si>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</si>
  <si>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</si>
  <si>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</si>
  <si>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</si>
  <si>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</si>
  <si>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</si>
  <si>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</si>
  <si>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</si>
  <si>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</si>
  <si>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</si>
  <si>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</si>
  <si>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</si>
  <si>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</si>
  <si>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</si>
  <si>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</si>
  <si>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</si>
  <si>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</si>
  <si>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</si>
  <si>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</si>
  <si>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</si>
  <si>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</si>
  <si>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</si>
  <si>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</si>
  <si>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</si>
  <si>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</si>
  <si>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</si>
  <si>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</si>
  <si>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</si>
  <si>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</si>
  <si>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</si>
  <si>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</si>
  <si>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</si>
  <si>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</si>
  <si>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</si>
  <si>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</si>
  <si>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</si>
  <si>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</si>
  <si>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</si>
  <si>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</si>
  <si>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</si>
  <si>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</si>
  <si>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</si>
  <si>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</si>
  <si>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</si>
  <si>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</si>
  <si>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</si>
  <si>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</si>
  <si>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</si>
  <si>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</si>
  <si>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</si>
  <si>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</si>
  <si>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</si>
  <si>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</si>
  <si>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</si>
  <si>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</si>
  <si>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</si>
  <si>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</si>
  <si>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</si>
  <si>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</si>
  <si>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</si>
  <si>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</si>
  <si>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</si>
  <si>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</si>
  <si>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</si>
  <si>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</si>
  <si>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</si>
  <si>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</si>
  <si>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</si>
  <si>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</si>
  <si>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</si>
  <si>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</si>
  <si>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</si>
  <si>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</si>
  <si>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</si>
  <si>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</si>
  <si>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</si>
  <si>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</si>
  <si>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</si>
  <si>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</si>
  <si>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</si>
  <si>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</si>
  <si>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</si>
  <si>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</si>
  <si>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</si>
  <si>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</si>
  <si>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</si>
  <si>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</si>
  <si>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</si>
  <si>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</si>
  <si>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</si>
  <si>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</si>
  <si>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</si>
  <si>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</si>
  <si>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</si>
  <si>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</si>
  <si>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</si>
  <si>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</si>
  <si>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</si>
  <si>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</si>
  <si>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</si>
  <si>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</si>
  <si>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</si>
  <si>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</si>
  <si>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</si>
  <si>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</si>
  <si>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</si>
  <si>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</si>
  <si>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</si>
  <si>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</si>
  <si>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</si>
  <si>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</si>
  <si>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</si>
  <si>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</si>
  <si>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</si>
  <si>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</si>
  <si>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</si>
  <si>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</si>
  <si>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</si>
  <si>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</si>
  <si>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</si>
  <si>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</si>
  <si>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</si>
  <si>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</si>
  <si>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</si>
  <si>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</si>
  <si>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</si>
  <si>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</si>
  <si>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</si>
  <si>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</si>
  <si>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</si>
  <si>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</si>
  <si>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</si>
  <si>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</si>
  <si>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</si>
  <si>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</si>
  <si>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</si>
  <si>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</si>
  <si>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</si>
  <si>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</si>
  <si>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</si>
  <si>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</si>
  <si>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</si>
  <si>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</si>
  <si>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</si>
  <si>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</si>
  <si>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</si>
  <si>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</si>
  <si>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</si>
  <si>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</si>
  <si>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</si>
  <si>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</si>
  <si>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</si>
  <si>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</si>
  <si>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</si>
  <si>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</si>
  <si>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</si>
  <si>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</si>
  <si>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</si>
  <si>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</si>
  <si>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</si>
  <si>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</si>
  <si>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</si>
  <si>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</si>
  <si>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</si>
  <si>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</si>
  <si>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</si>
  <si>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</si>
  <si>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</si>
  <si>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</si>
  <si>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</si>
  <si>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</si>
  <si>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</si>
  <si>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</si>
  <si>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</si>
  <si>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</si>
  <si>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</si>
  <si>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</si>
  <si>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</si>
  <si>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</si>
  <si>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</si>
  <si>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</si>
  <si>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</si>
  <si>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</si>
  <si>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</si>
  <si>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</si>
  <si>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</si>
  <si>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</si>
  <si>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</si>
  <si>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</si>
  <si>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</si>
  <si>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</si>
  <si>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</si>
  <si>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</si>
  <si>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</si>
  <si>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</si>
  <si>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</si>
  <si>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</si>
  <si>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</si>
  <si>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</si>
  <si>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</si>
  <si>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</si>
  <si>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</si>
  <si>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</si>
  <si>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</si>
  <si>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</si>
  <si>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</si>
  <si>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</si>
  <si>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</si>
  <si>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</si>
  <si>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</si>
  <si>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</si>
  <si>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</si>
  <si>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</si>
  <si>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</si>
  <si>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</si>
  <si>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</si>
  <si>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</si>
  <si>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</si>
  <si>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</si>
  <si>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</si>
  <si>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</si>
  <si>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</si>
  <si>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</si>
  <si>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</si>
  <si>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</si>
  <si>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</si>
  <si>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</si>
  <si>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</si>
  <si>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</si>
  <si>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</si>
  <si>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</si>
  <si>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</si>
  <si>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</si>
  <si>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</si>
  <si>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</si>
  <si>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</si>
  <si>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</si>
  <si>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</si>
  <si>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</si>
  <si>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</si>
  <si>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</si>
  <si>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</si>
  <si>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</si>
  <si>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</si>
  <si>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</si>
  <si>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</si>
  <si>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</si>
  <si>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</si>
  <si>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</si>
  <si>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</si>
  <si>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</si>
  <si>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</si>
  <si>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</si>
  <si>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</si>
  <si>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</si>
  <si>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</si>
  <si>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</si>
  <si>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</si>
  <si>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</si>
  <si>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</si>
  <si>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</si>
  <si>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</si>
  <si>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</si>
  <si>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</si>
  <si>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</si>
  <si>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</si>
  <si>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</si>
  <si>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</si>
  <si>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</si>
  <si>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</si>
  <si>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</si>
  <si>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</si>
  <si>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</si>
  <si>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</si>
  <si>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</si>
  <si>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</si>
  <si>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</si>
  <si>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</si>
  <si>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</si>
  <si>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</si>
  <si>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</si>
  <si>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</si>
  <si>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</si>
  <si>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</si>
  <si>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</si>
  <si>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</si>
  <si>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</si>
  <si>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</si>
  <si>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</si>
  <si>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</si>
  <si>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</si>
  <si>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</si>
  <si>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</si>
  <si>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</si>
  <si>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</si>
  <si>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</si>
  <si>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</si>
  <si>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</si>
  <si>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</si>
  <si>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</si>
  <si>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</si>
  <si>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</si>
  <si>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</si>
  <si>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</si>
  <si>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</si>
  <si>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</si>
  <si>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</si>
  <si>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</si>
  <si>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</si>
  <si>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</si>
  <si>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</si>
  <si>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</si>
  <si>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</si>
  <si>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</si>
  <si>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</si>
  <si>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</si>
  <si>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</si>
  <si>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</si>
  <si>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</si>
  <si>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</si>
  <si>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</si>
  <si>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</si>
  <si>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</si>
  <si>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</si>
  <si>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</si>
  <si>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</si>
  <si>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</si>
  <si>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</si>
  <si>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</si>
  <si>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</si>
  <si>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</si>
  <si>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</si>
  <si>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</si>
  <si>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</si>
  <si>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</si>
  <si>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</si>
  <si>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</si>
  <si>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</si>
  <si>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</si>
  <si>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</si>
  <si>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</si>
  <si>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</si>
  <si>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</si>
  <si>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</si>
  <si>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</si>
  <si>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</si>
  <si>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</si>
  <si>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</si>
  <si>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</si>
  <si>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</si>
  <si>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</si>
  <si>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</si>
  <si>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</si>
  <si>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</si>
  <si>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</si>
  <si>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</si>
  <si>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</si>
  <si>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</si>
  <si>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</si>
  <si>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</si>
  <si>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</si>
  <si>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</si>
  <si>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</si>
  <si>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</si>
  <si>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</si>
  <si>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</si>
  <si>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</si>
  <si>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</si>
  <si>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</si>
  <si>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</si>
  <si>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</si>
  <si>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</si>
  <si>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</si>
  <si>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</si>
  <si>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</si>
  <si>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</si>
  <si>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</si>
  <si>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</si>
  <si>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</si>
  <si>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</si>
  <si>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</si>
  <si>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</si>
  <si>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</si>
  <si>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</si>
  <si>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</si>
  <si>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</si>
  <si>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</si>
  <si>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</si>
  <si>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</si>
  <si>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</si>
  <si>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</si>
  <si>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</si>
  <si>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</si>
  <si>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</si>
  <si>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</si>
  <si>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</si>
  <si>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</si>
  <si>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</si>
  <si>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</si>
  <si>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</si>
  <si>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</si>
  <si>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</si>
  <si>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</si>
  <si>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</si>
  <si>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</si>
  <si>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</si>
  <si>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</si>
  <si>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</si>
  <si>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</si>
  <si>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</si>
  <si>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</si>
  <si>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</si>
  <si>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</si>
  <si>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</si>
  <si>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</si>
  <si>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</si>
  <si>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</si>
  <si>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</si>
  <si>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</si>
  <si>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</si>
  <si>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</si>
  <si>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</si>
  <si>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</si>
  <si>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</si>
  <si>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</si>
  <si>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</si>
  <si>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</si>
  <si>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</si>
  <si>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</si>
  <si>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</si>
  <si>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</si>
  <si>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</si>
  <si>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</si>
  <si>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</si>
  <si>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</si>
  <si>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</si>
  <si>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</si>
  <si>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</si>
  <si>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</si>
  <si>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</si>
  <si>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</si>
  <si>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</si>
  <si>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</si>
  <si>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</si>
  <si>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</si>
  <si>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</si>
  <si>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</si>
  <si>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</si>
  <si>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</si>
  <si>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</si>
  <si>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</si>
  <si>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</si>
  <si>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</si>
  <si>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</si>
  <si>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</si>
  <si>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</si>
  <si>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</si>
  <si>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</si>
  <si>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</si>
  <si>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</si>
  <si>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</si>
  <si>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</si>
  <si>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</si>
  <si>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</si>
  <si>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</si>
  <si>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</si>
  <si>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</si>
  <si>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</si>
  <si>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</si>
  <si>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</si>
  <si>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</si>
  <si>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</si>
  <si>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</si>
  <si>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</si>
  <si>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</si>
  <si>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</si>
  <si>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</si>
  <si>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</si>
  <si>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</si>
  <si>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</si>
  <si>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</si>
  <si>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</si>
  <si>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</si>
  <si>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</si>
  <si>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</si>
  <si>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</si>
  <si>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</si>
  <si>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</si>
  <si>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</si>
  <si>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</si>
  <si>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</si>
  <si>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</si>
  <si>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</si>
  <si>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</si>
  <si>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</si>
  <si>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</si>
  <si>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</si>
  <si>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</si>
  <si>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</si>
  <si>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</si>
  <si>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</si>
  <si>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</si>
  <si>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</si>
  <si>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</si>
  <si>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</si>
  <si>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</si>
  <si>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</si>
  <si>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</si>
  <si>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</si>
  <si>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</si>
  <si>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</si>
  <si>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</si>
  <si>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</si>
  <si>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</si>
  <si>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</si>
  <si>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</si>
  <si>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</si>
  <si>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</si>
  <si>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</si>
  <si>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</si>
  <si>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</si>
  <si>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</si>
  <si>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</si>
  <si>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</si>
  <si>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</si>
  <si>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</si>
  <si>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</si>
  <si>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</si>
  <si>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</si>
  <si>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</si>
  <si>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</si>
  <si>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</si>
  <si>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</si>
  <si>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</si>
  <si>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</si>
  <si>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</si>
  <si>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</si>
  <si>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</si>
  <si>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</si>
  <si>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</si>
  <si>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</si>
  <si>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</si>
  <si>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</si>
  <si>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</si>
  <si>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</si>
  <si>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</si>
  <si>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</si>
  <si>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</si>
  <si>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</si>
  <si>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</si>
  <si>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</si>
  <si>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</si>
  <si>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</si>
  <si>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</si>
  <si>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</si>
  <si>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</si>
  <si>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</si>
  <si>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</si>
  <si>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</si>
  <si>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</si>
  <si>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</si>
  <si>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</si>
  <si>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</si>
  <si>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</si>
  <si>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</si>
  <si>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</si>
  <si>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</si>
  <si>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</si>
  <si>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</si>
  <si>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</si>
  <si>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</si>
  <si>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</si>
  <si>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</si>
  <si>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</si>
  <si>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</si>
  <si>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</si>
  <si>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</si>
  <si>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</si>
  <si>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</si>
  <si>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</si>
  <si>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</si>
  <si>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</si>
  <si>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</si>
  <si>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</si>
  <si>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</si>
  <si>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</si>
  <si>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</si>
  <si>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</si>
  <si>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</si>
  <si>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</si>
  <si>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</si>
  <si>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</si>
  <si>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</si>
  <si>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</si>
  <si>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</si>
  <si>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</si>
  <si>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</si>
  <si>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</si>
  <si>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</si>
  <si>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</si>
  <si>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</si>
  <si>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</si>
  <si>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</si>
  <si>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</si>
  <si>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</si>
  <si>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</si>
  <si>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</si>
  <si>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</si>
  <si>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</si>
  <si>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</si>
  <si>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</si>
  <si>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</si>
  <si>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</si>
  <si>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</si>
  <si>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</si>
  <si>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</si>
  <si>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</si>
  <si>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</si>
  <si>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</si>
  <si>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</si>
  <si>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</si>
  <si>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</si>
  <si>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</si>
  <si>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</si>
  <si>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</si>
  <si>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</si>
  <si>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</si>
  <si>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</si>
  <si>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</si>
  <si>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</si>
  <si>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</si>
  <si>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</si>
  <si>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</si>
  <si>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</si>
  <si>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</si>
  <si>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</si>
  <si>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</si>
  <si>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</si>
  <si>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</si>
  <si>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</si>
  <si>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</si>
  <si>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</si>
  <si>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</si>
  <si>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</si>
  <si>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</si>
  <si>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</si>
  <si>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</si>
  <si>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</si>
  <si>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</si>
  <si>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</si>
  <si>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</si>
  <si>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</si>
  <si>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</si>
  <si>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</si>
  <si>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</si>
  <si>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</si>
  <si>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</si>
  <si>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</si>
  <si>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</si>
  <si>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</si>
  <si>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</si>
  <si>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</si>
  <si>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</si>
  <si>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</si>
  <si>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</si>
  <si>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</si>
  <si>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</si>
  <si>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</si>
  <si>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</si>
  <si>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</si>
  <si>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</si>
  <si>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</si>
  <si>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</si>
  <si>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</si>
  <si>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</si>
  <si>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</si>
  <si>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</si>
  <si>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</si>
  <si>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</si>
  <si>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</si>
  <si>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</si>
  <si>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</si>
  <si>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</si>
  <si>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</si>
  <si>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</si>
  <si>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</si>
  <si>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</si>
  <si>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</si>
  <si>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</si>
  <si>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</si>
  <si>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</si>
  <si>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</si>
  <si>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</si>
  <si>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</si>
  <si>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</si>
  <si>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</si>
  <si>
    <t>1号楼</t>
    <phoneticPr fontId="134" type="noConversion"/>
  </si>
  <si>
    <t>2号楼</t>
    <phoneticPr fontId="3" type="noConversion"/>
  </si>
  <si>
    <r>
      <t>3</t>
    </r>
    <r>
      <rPr>
        <sz val="10"/>
        <color indexed="8"/>
        <rFont val="宋体"/>
        <family val="3"/>
        <charset val="134"/>
      </rPr>
      <t>号楼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</si>
</sst>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北京市延庆区康庄镇西桑园南区5号院1号楼01等房地产抵押价值预评估</v>
      </c>
    </row>
    <row r="3" spans="1:2" s="1201" customFormat="1">
      <c r="A3" s="1199" t="s">
        <v>523</v>
      </c>
      <c r="B3" s="1200" t="str">
        <f>'预评函-封皮'!B40</f>
        <v>中国银行</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受贵公司委托，我公司对北京市延庆区康庄镇西桑园南区5号院1号楼01等房地产抵押价值进行了预评估。</v>
      </c>
    </row>
    <row r="7" spans="1:2" s="1201" customFormat="1">
      <c r="A7" s="1199" t="s">
        <v>566</v>
      </c>
      <c r="B7" s="1200" t="str">
        <f>'预评函-1'!A7</f>
        <v>估价对象为北京市延庆区康庄镇西桑园南区5号院1号楼01等房地产，为所有。根据《不动产权证书》[]，估价对象（分摊）出让国有建设用地使用权面积为7248.99平方米，建筑面积为5970.96平方米。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延庆区康庄镇西桑园南区5号院1号楼01等房地产,为开发建设的工业项目，该项目尚在开发建设中。根据《不动产权证书》[]，估价对象（分摊）出让国有建设用地使用权面积为7248.99平方米，规划建筑面积为5970.96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2023年2月28日（评估专业人员实地查勘之日）</v>
      </c>
    </row>
    <row r="13" spans="1:2" s="1201" customFormat="1">
      <c r="A13" s="1199" t="s">
        <v>529</v>
      </c>
      <c r="B13" s="1200"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4018</v>
      </c>
    </row>
    <row r="21" spans="1:2" s="1201" customFormat="1">
      <c r="A21" s="1199" t="s">
        <v>537</v>
      </c>
      <c r="B21" s="1200">
        <f ca="1">'预评函-2'!D7</f>
        <v>6729</v>
      </c>
    </row>
    <row r="22" spans="1:2" s="1201" customFormat="1">
      <c r="A22" s="1199" t="s">
        <v>538</v>
      </c>
      <c r="B22" s="1200" t="str">
        <f ca="1">'预评函-2'!D6</f>
        <v>肆仟零壹拾捌万元整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4018</v>
      </c>
    </row>
    <row r="31" spans="1:2" s="1201" customFormat="1">
      <c r="A31" s="1199" t="s">
        <v>576</v>
      </c>
      <c r="B31" s="1200">
        <f ca="1">'预评函-2'!D15</f>
        <v>6729</v>
      </c>
    </row>
    <row r="32" spans="1:2" s="1201" customFormat="1">
      <c r="A32" s="1199" t="s">
        <v>543</v>
      </c>
      <c r="B32" s="1200" t="str">
        <f ca="1">'预评函-2'!D14</f>
        <v>肆仟零壹拾捌万元整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北京市延庆区康庄镇西桑园南区5号院1号楼01等房地产</v>
      </c>
    </row>
    <row r="42" spans="1:2" s="1201" customFormat="1">
      <c r="A42" s="1199" t="s">
        <v>590</v>
      </c>
      <c r="B42" s="1200" t="str">
        <f>'预评函-3'!B2</f>
        <v>建筑面积</v>
      </c>
    </row>
    <row r="43" spans="1:2" s="1201" customFormat="1">
      <c r="A43" s="1199" t="s">
        <v>591</v>
      </c>
      <c r="B43" s="1200">
        <f>'预评函-3'!B4</f>
        <v>5970.96</v>
      </c>
    </row>
    <row r="44" spans="1:2" s="1201" customFormat="1">
      <c r="A44" s="1199" t="s">
        <v>575</v>
      </c>
      <c r="B44" s="1200" t="str">
        <f>'预评函-3'!C2</f>
        <v>(分摊)土地面积</v>
      </c>
    </row>
    <row r="45" spans="1:2" s="1201" customFormat="1">
      <c r="A45" s="1199" t="s">
        <v>547</v>
      </c>
      <c r="B45" s="1200">
        <f>'预评函-3'!C4</f>
        <v>7248.99</v>
      </c>
    </row>
    <row r="46" spans="1:2" s="1201" customFormat="1">
      <c r="A46" s="1199" t="s">
        <v>573</v>
      </c>
      <c r="B46" s="1200" t="str">
        <f>'预评函-3'!D2</f>
        <v>出让国有建设用地使用权价值</v>
      </c>
    </row>
    <row r="47" spans="1:2" s="1201" customFormat="1">
      <c r="A47" s="1199" t="s">
        <v>548</v>
      </c>
      <c r="B47" s="1200">
        <f ca="1">'预评函-3'!D4</f>
        <v>683</v>
      </c>
    </row>
    <row r="48" spans="1:2" s="1201" customFormat="1">
      <c r="A48" s="1199" t="s">
        <v>549</v>
      </c>
      <c r="B48" s="1200">
        <f ca="1">'预评函-3'!E4</f>
        <v>1144</v>
      </c>
    </row>
    <row r="49" spans="1:2" s="1201" customFormat="1">
      <c r="A49" s="1199" t="s">
        <v>550</v>
      </c>
      <c r="B49" s="1200" t="str">
        <f ca="1">'预评函-3'!D5</f>
        <v>陆佰捌拾叁万元整</v>
      </c>
    </row>
    <row r="50" spans="1:2" s="1201" customFormat="1">
      <c r="A50" s="1199" t="s">
        <v>574</v>
      </c>
      <c r="B50" s="1200" t="str">
        <f>'预评函-3'!F2</f>
        <v>在建建筑物价值</v>
      </c>
    </row>
    <row r="51" spans="1:2" s="1201" customFormat="1">
      <c r="A51" s="1199" t="s">
        <v>551</v>
      </c>
      <c r="B51" s="1200">
        <f ca="1">'预评函-3'!F4</f>
        <v>3335</v>
      </c>
    </row>
    <row r="52" spans="1:2" s="1201" customFormat="1">
      <c r="A52" s="1199" t="s">
        <v>552</v>
      </c>
      <c r="B52" s="1200">
        <f ca="1">'预评函-3'!G4</f>
        <v>5585</v>
      </c>
    </row>
    <row r="53" spans="1:2" s="1201" customFormat="1">
      <c r="A53" s="1199" t="s">
        <v>580</v>
      </c>
      <c r="B53" s="1200" t="str">
        <f ca="1">'预评函-3'!F5</f>
        <v>叁仟叁佰叁拾伍万元整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2578</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2579</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9" t="s">
        <v>2581</v>
      </c>
      <c r="J2" s="3499"/>
      <c r="K2" s="3499"/>
      <c r="L2" s="3499"/>
      <c r="M2" s="3499"/>
      <c r="N2" s="3499"/>
      <c r="O2" s="3499"/>
      <c r="P2" s="3499"/>
      <c r="Q2" s="3499"/>
      <c r="R2" s="3499"/>
    </row>
    <row r="3" spans="1:18">
      <c r="A3" s="3016" t="s">
        <v>2502</v>
      </c>
      <c r="B3" s="3017">
        <f>项目基本情况!D3</f>
        <v>44985</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v>
      </c>
      <c r="D5" s="3021">
        <f>IF(ISERROR(ROUND(POWER(1+E5,A5-C5)*(POWER(1+E5,C5)-1)/(POWER(1+E5,A5)-1),3)),0,ROUND(POWER(1+E5,A5-C5)*(POWER(1+E5,C5)-1)/(POWER(1+E5,A5)-1),4))</f>
        <v>0.1749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13.81</v>
      </c>
      <c r="D6" s="3021">
        <f>IF(ISERROR(ROUND(POWER(1+E6,A6-C6)*(POWER(1+E6,C6)-1)/(POWER(1+E6,A6)-1),3)),0,ROUND(POWER(1+E6,A6-C6)*(POWER(1+E6,C6)-1)/(POWER(1+E6,A6)-1),4))</f>
        <v>0.48670000000000002</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33.83</v>
      </c>
      <c r="D7" s="3021">
        <f>IF(ISERROR(ROUND(POWER(1+E7,A7-C7)*(POWER(1+E7,C7)-1)/(POWER(1+E7,A7)-1),3)),0,ROUND(POWER(1+E7,A7-C7)*(POWER(1+E7,C7)-1)/(POWER(1+E7,A7)-1),4))</f>
        <v>0.78510000000000002</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zoomScaleSheetLayoutView="100" workbookViewId="0">
      <selection activeCell="G50" sqref="G5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8"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509"/>
      <c r="D1" s="3509"/>
      <c r="E1" s="3509"/>
      <c r="F1" s="3509"/>
      <c r="G1" s="3509"/>
      <c r="H1" s="3509"/>
      <c r="I1" s="3510"/>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3"/>
      <c r="U1" s="1743"/>
      <c r="V1" s="1743"/>
      <c r="W1" s="1743"/>
      <c r="X1" s="1743"/>
      <c r="Y1" s="1743"/>
      <c r="Z1" s="1743"/>
      <c r="AA1" s="1743"/>
      <c r="AB1" s="1743"/>
    </row>
    <row r="2" spans="1:30">
      <c r="A2" s="2365" t="s">
        <v>2169</v>
      </c>
      <c r="B2" s="2369"/>
      <c r="C2" s="2370"/>
      <c r="D2" s="2666"/>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北京市延庆区康庄镇西桑园南区5号院1号楼01等房地产</v>
      </c>
      <c r="T2" s="1743"/>
      <c r="U2" s="1743"/>
      <c r="V2" s="1743"/>
      <c r="W2" s="1743"/>
      <c r="X2" s="1743"/>
      <c r="Y2" s="1743"/>
      <c r="Z2" s="1743"/>
      <c r="AA2" s="1743"/>
      <c r="AB2" s="1743"/>
    </row>
    <row r="3" spans="1:30">
      <c r="A3" s="300" t="s">
        <v>2170</v>
      </c>
      <c r="B3" s="2371">
        <v>44985</v>
      </c>
      <c r="C3" s="2372" t="s">
        <v>2171</v>
      </c>
      <c r="D3" s="2371">
        <f>B3</f>
        <v>44985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3378</v>
      </c>
      <c r="C4" s="2374">
        <f ca="1">SUMIF(注册房地产估价师,B4,估价师及机构信息!B3:B24)</f>
        <v>1120070131</v>
      </c>
      <c r="D4" s="2373" t="s">
        <v>3379</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2173</v>
      </c>
      <c r="B5" s="3447" t="s">
        <v>3380</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2174</v>
      </c>
      <c r="B6" s="2381" t="str">
        <f>B5</f>
        <v>中国银行</v>
      </c>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3377</v>
      </c>
      <c r="C8" s="2387"/>
      <c r="D8" s="3511" t="s">
        <v>2177</v>
      </c>
      <c r="E8" s="2388" t="s">
        <v>3381</v>
      </c>
      <c r="F8" s="2389"/>
      <c r="G8" s="2659"/>
      <c r="H8" s="2659"/>
      <c r="I8" s="2659"/>
      <c r="J8" s="2435"/>
      <c r="K8" s="2610"/>
      <c r="L8" s="2609"/>
      <c r="M8" s="2609"/>
      <c r="N8" s="2435"/>
      <c r="O8" s="2446"/>
      <c r="P8" s="2435"/>
      <c r="Q8" s="2435"/>
      <c r="R8" s="2435"/>
    </row>
    <row r="9" spans="1:30" ht="13.5" thickBot="1">
      <c r="A9" s="2390" t="s">
        <v>2178</v>
      </c>
      <c r="B9" s="2391" t="s">
        <v>3381</v>
      </c>
      <c r="C9" s="2392"/>
      <c r="D9" s="3512"/>
      <c r="E9" s="2391" t="s">
        <v>43</v>
      </c>
      <c r="F9" s="2393"/>
      <c r="G9" s="2661"/>
      <c r="H9" s="2661"/>
      <c r="I9" s="2661"/>
      <c r="J9" s="2435"/>
      <c r="K9" s="2612"/>
      <c r="L9" s="2609"/>
      <c r="M9" s="2609"/>
      <c r="N9" s="2435"/>
      <c r="O9" s="2446"/>
      <c r="P9" s="2435"/>
      <c r="Q9" s="2435"/>
      <c r="R9" s="2435"/>
    </row>
    <row r="10" spans="1:30" ht="13.5" thickTop="1">
      <c r="A10" s="2394" t="s">
        <v>2179</v>
      </c>
      <c r="B10" s="2395" t="s">
        <v>3382</v>
      </c>
      <c r="C10" s="2396"/>
      <c r="D10" s="2379"/>
      <c r="E10" s="2397" t="s">
        <v>2180</v>
      </c>
      <c r="F10" s="2662" t="s">
        <v>3383</v>
      </c>
      <c r="G10" s="2663"/>
      <c r="H10" s="2664"/>
      <c r="I10" s="2665"/>
      <c r="J10" s="2435"/>
      <c r="K10" s="2612"/>
      <c r="L10" s="2609"/>
      <c r="M10" s="2609"/>
      <c r="N10" s="2435"/>
      <c r="O10" s="2446"/>
      <c r="P10" s="2435"/>
      <c r="Q10" s="2435"/>
      <c r="R10" s="2435"/>
    </row>
    <row r="11" spans="1:30">
      <c r="A11" s="2398" t="s">
        <v>2181</v>
      </c>
      <c r="B11" s="3446" t="s">
        <v>3409</v>
      </c>
      <c r="C11" s="2399"/>
      <c r="D11" s="2400"/>
      <c r="E11" s="2368"/>
      <c r="F11" s="2368"/>
      <c r="G11" s="2368"/>
      <c r="H11" s="2368"/>
      <c r="I11" s="2368"/>
      <c r="J11" s="3057"/>
      <c r="K11" s="3056"/>
      <c r="L11" s="2609"/>
      <c r="M11" s="2609"/>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5" t="s">
        <v>2577</v>
      </c>
      <c r="J12" s="3058"/>
      <c r="K12" s="2609"/>
      <c r="L12" s="2609"/>
      <c r="M12" s="2435"/>
      <c r="N12" s="2446"/>
      <c r="O12" s="2435"/>
      <c r="P12" s="2435"/>
      <c r="Q12" s="2435"/>
      <c r="AD12" s="1743"/>
    </row>
    <row r="13" spans="1:30">
      <c r="A13" s="3419" t="s">
        <v>3337</v>
      </c>
      <c r="B13" s="2403" t="s">
        <v>2190</v>
      </c>
      <c r="C13" s="854"/>
      <c r="D13" s="854"/>
      <c r="E13" s="854"/>
      <c r="F13" s="854"/>
      <c r="G13" s="854"/>
      <c r="H13" s="854">
        <v>55598</v>
      </c>
      <c r="I13" s="854"/>
      <c r="J13" s="3058"/>
      <c r="K13" s="2609"/>
      <c r="L13" s="2609"/>
      <c r="M13" s="2435"/>
      <c r="N13" s="2446"/>
      <c r="O13" s="2435"/>
      <c r="P13" s="2435"/>
      <c r="Q13" s="2435"/>
      <c r="AD13" s="1743"/>
    </row>
    <row r="14" spans="1:30">
      <c r="A14" s="1079"/>
      <c r="B14" s="2403" t="s">
        <v>2191</v>
      </c>
      <c r="C14" s="2404"/>
      <c r="D14" s="2404"/>
      <c r="E14" s="2404"/>
      <c r="F14" s="2404"/>
      <c r="G14" s="2404"/>
      <c r="H14" s="2404">
        <v>50</v>
      </c>
      <c r="I14" s="2404"/>
      <c r="J14" s="3059"/>
      <c r="K14" s="2609"/>
      <c r="L14" s="2609"/>
      <c r="M14" s="2435"/>
      <c r="N14" s="2446"/>
      <c r="O14" s="2435"/>
      <c r="P14" s="2435"/>
      <c r="Q14" s="2435"/>
      <c r="AD14" s="1743"/>
    </row>
    <row r="15" spans="1:30">
      <c r="A15" s="318"/>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29.07</v>
      </c>
      <c r="I15" s="2406" t="str">
        <f>IF(A13="出让",IF(I13="","",ROUNDDOWN(MIN((I13-$D$3)/365,I14),2)),I14)</f>
        <v/>
      </c>
      <c r="J15" s="3060"/>
      <c r="K15" s="2447"/>
      <c r="L15" s="2447"/>
      <c r="M15" s="2505"/>
      <c r="N15" s="2447"/>
      <c r="O15" s="2505"/>
      <c r="P15" s="2435"/>
      <c r="Q15" s="2435"/>
      <c r="AD15" s="1743"/>
    </row>
    <row r="16" spans="1:30">
      <c r="A16" s="2397" t="s">
        <v>2193</v>
      </c>
      <c r="B16" s="3518"/>
      <c r="C16" s="3519"/>
      <c r="D16" s="3520"/>
      <c r="E16" s="2409" t="s">
        <v>2194</v>
      </c>
      <c r="F16" s="3521"/>
      <c r="G16" s="3522"/>
      <c r="H16" s="3522"/>
      <c r="I16" s="3523"/>
      <c r="J16" s="2435"/>
      <c r="K16" s="2613"/>
      <c r="L16" s="2447"/>
      <c r="M16" s="2447"/>
      <c r="N16" s="2505"/>
      <c r="O16" s="2447"/>
      <c r="P16" s="2505"/>
      <c r="Q16" s="2435"/>
      <c r="R16" s="2435"/>
    </row>
    <row r="17" spans="1:28">
      <c r="A17" s="311" t="s">
        <v>2195</v>
      </c>
      <c r="B17" s="300" t="s">
        <v>2196</v>
      </c>
      <c r="C17" s="8">
        <f>'数据-汇总表'!E3</f>
        <v>5970.96</v>
      </c>
      <c r="D17" s="2320" t="s">
        <v>2197</v>
      </c>
      <c r="E17" s="3524" t="s">
        <v>2198</v>
      </c>
      <c r="F17" s="3525"/>
      <c r="G17" s="3525"/>
      <c r="H17" s="3525"/>
      <c r="I17" s="3526"/>
      <c r="J17" s="2435"/>
      <c r="K17" s="2614"/>
      <c r="L17" s="2447"/>
      <c r="M17" s="2447"/>
      <c r="N17" s="2505"/>
      <c r="O17" s="2447"/>
      <c r="P17" s="2505"/>
      <c r="Q17" s="2435"/>
      <c r="R17" s="2435"/>
      <c r="S17" s="2435"/>
      <c r="T17" s="2435"/>
      <c r="U17" s="2435"/>
      <c r="V17" s="2435"/>
    </row>
    <row r="18" spans="1:28" ht="26.25" thickBot="1">
      <c r="A18" s="2410" t="s">
        <v>3384</v>
      </c>
      <c r="B18" s="1088" t="s">
        <v>2199</v>
      </c>
      <c r="C18" s="2411">
        <f>'数据-汇总表'!D3</f>
        <v>7248.99</v>
      </c>
      <c r="D18" s="1090" t="s">
        <v>2200</v>
      </c>
      <c r="E18" s="3527" t="s">
        <v>3385</v>
      </c>
      <c r="F18" s="3528"/>
      <c r="G18" s="3528"/>
      <c r="H18" s="3528"/>
      <c r="I18" s="3529"/>
      <c r="J18" s="2435"/>
      <c r="K18" s="2614"/>
      <c r="L18" s="2447"/>
      <c r="M18" s="2447"/>
      <c r="N18" s="2505"/>
      <c r="O18" s="2447"/>
      <c r="P18" s="2505"/>
      <c r="Q18" s="2435"/>
      <c r="R18" s="2435"/>
      <c r="S18" s="2435"/>
      <c r="T18" s="2435"/>
      <c r="U18" s="2435"/>
      <c r="V18" s="2435"/>
    </row>
    <row r="19" spans="1:28" ht="37.5" thickTop="1" thickBot="1">
      <c r="A19" s="325" t="s">
        <v>1055</v>
      </c>
      <c r="B19" s="305"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14" t="s">
        <v>2204</v>
      </c>
      <c r="C20" s="3515"/>
      <c r="D20" s="3516" t="s">
        <v>2205</v>
      </c>
      <c r="E20" s="3517"/>
      <c r="F20" s="2643" t="s">
        <v>1056</v>
      </c>
      <c r="G20" s="2660"/>
      <c r="H20" s="2660"/>
      <c r="I20" s="2660"/>
      <c r="J20" s="2435"/>
      <c r="K20" s="3513" t="s">
        <v>2206</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3386</v>
      </c>
      <c r="D21" s="1566" t="s">
        <v>2208</v>
      </c>
      <c r="E21" s="2631" t="s">
        <v>1057</v>
      </c>
      <c r="F21" s="2644"/>
      <c r="G21" s="2660"/>
      <c r="H21" s="2660"/>
      <c r="I21" s="2660"/>
      <c r="J21" s="2435"/>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1" t="s">
        <v>2212</v>
      </c>
      <c r="B27" s="318" t="s">
        <v>2213</v>
      </c>
      <c r="C27" s="2412" t="s">
        <v>3393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1"/>
      <c r="B28" s="300"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1"/>
      <c r="B29" s="300"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02"/>
      <c r="B30" s="300" t="s">
        <v>2216</v>
      </c>
      <c r="C30" s="3503"/>
      <c r="D30" s="3504"/>
      <c r="E30" s="2660"/>
      <c r="F30" s="2660"/>
      <c r="G30" s="2660"/>
      <c r="H30" s="2660"/>
      <c r="I30" s="2660"/>
      <c r="J30" s="2435"/>
      <c r="K30" s="2612"/>
      <c r="L30" s="2609"/>
      <c r="M30" s="2609"/>
      <c r="N30" s="2435"/>
      <c r="O30" s="2446"/>
      <c r="P30" s="2435"/>
      <c r="Q30" s="2435"/>
      <c r="R30" s="2435"/>
      <c r="S30" s="2435"/>
      <c r="T30" s="2435"/>
      <c r="U30" s="2435"/>
      <c r="V30" s="2435"/>
    </row>
    <row r="31" spans="1:28">
      <c r="A31" s="3505"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06"/>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06"/>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0" t="s">
        <v>2218</v>
      </c>
      <c r="B34" s="2024" t="s">
        <v>3387</v>
      </c>
      <c r="C34" s="2024" t="s">
        <v>3388</v>
      </c>
      <c r="D34" s="2024" t="s">
        <v>3389</v>
      </c>
      <c r="E34" s="2024" t="s">
        <v>3390</v>
      </c>
      <c r="F34" s="2024" t="s">
        <v>3391</v>
      </c>
      <c r="G34" s="2024" t="s">
        <v>3392</v>
      </c>
      <c r="H34" s="2024"/>
      <c r="I34" s="2660"/>
      <c r="J34" s="2435"/>
      <c r="K34" s="2423">
        <f>COUNTIF(B34:H34,"——")</f>
        <v>0</v>
      </c>
      <c r="L34" s="321" t="s">
        <v>2219</v>
      </c>
      <c r="M34" s="321" t="s">
        <v>2220</v>
      </c>
      <c r="N34" s="321" t="s">
        <v>2221</v>
      </c>
      <c r="O34" s="321" t="s">
        <v>2222</v>
      </c>
      <c r="P34" s="321" t="s">
        <v>2223</v>
      </c>
      <c r="Q34" s="321" t="s">
        <v>2224</v>
      </c>
      <c r="R34" s="321" t="s">
        <v>2225</v>
      </c>
      <c r="S34" s="3500" t="s">
        <v>2226</v>
      </c>
      <c r="T34" s="2424" t="str">
        <f>NUMBERSTRING(7-K34,1)&amp;"通"</f>
        <v>七通</v>
      </c>
      <c r="U34" s="2435"/>
      <c r="V34" s="2435"/>
    </row>
    <row r="35" spans="1:30">
      <c r="A35" s="2425"/>
      <c r="B35" s="3507" t="s">
        <v>2227</v>
      </c>
      <c r="C35" s="3507"/>
      <c r="D35" s="3507"/>
      <c r="E35" s="3507"/>
      <c r="F35" s="662">
        <f>C10</f>
        <v>0</v>
      </c>
      <c r="G35" s="2660"/>
      <c r="H35" s="2660"/>
      <c r="I35" s="2660"/>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通路、通电、通讯、通上水、通下水、平整</v>
      </c>
      <c r="R35" s="327" t="str">
        <f>B34&amp;"、"&amp;C34&amp;"、"&amp;D34&amp;"、"&amp;E34&amp;"、"&amp;F34&amp;"、"&amp;G34&amp;"、"&amp;H34</f>
        <v>通路、通电、通讯、通上水、通下水、平整、</v>
      </c>
      <c r="S35" s="3500"/>
      <c r="T35" s="327" t="str">
        <f>IF(T34="一通",L35,IF(T34="二通",M35,IF(T34="三通",N35,IF(T34="四通",O35,IF(T34="五通",P35,IF(T34="六通",Q35,R35))))))</f>
        <v>通路、通电、通讯、通上水、通下水、平整、</v>
      </c>
      <c r="U35" s="2435"/>
      <c r="V35" s="2435"/>
    </row>
    <row r="36" spans="1:30">
      <c r="A36" s="2426"/>
      <c r="B36" s="662" t="s">
        <v>2185</v>
      </c>
      <c r="C36" s="662" t="s">
        <v>2186</v>
      </c>
      <c r="D36" s="662" t="s">
        <v>2184</v>
      </c>
      <c r="E36" s="662" t="s">
        <v>2189</v>
      </c>
      <c r="F36" s="3061" t="s">
        <v>2580</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2981</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1"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11439.98</v>
      </c>
      <c r="B3" s="11">
        <f>IF(C3="否",G5-AT5,G5)</f>
        <v>9423.06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3395</v>
      </c>
      <c r="J9" s="807"/>
      <c r="K9" s="1601" t="s">
        <v>3419</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8" t="s">
        <v>3421</v>
      </c>
      <c r="D13" s="3449" t="s">
        <v>3418</v>
      </c>
      <c r="E13" s="13">
        <f>IF($C$3="是",ROUND($A$3*G13/$B$3,2),ROUND($A$3*(G13-AT13)/$B$3,2))</f>
        <v>2095.5</v>
      </c>
      <c r="F13" s="29"/>
      <c r="G13" s="30">
        <f>H13+AC13+AT13</f>
        <v>1726.05</v>
      </c>
      <c r="H13" s="17">
        <f>SUMIF(I$12:AB$12,"总值",I13:AB13)</f>
        <v>1726.05</v>
      </c>
      <c r="I13" s="1624">
        <v>1726.05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2号楼</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t="s">
        <v>3422</v>
      </c>
      <c r="D14" s="3449" t="s">
        <v>3418</v>
      </c>
      <c r="E14" s="13">
        <f>IF($C$3="是",ROUND($A$3*G14/$B$3,2),ROUND($A$3*(G14-AT14)/$B$3,2))</f>
        <v>2095.5</v>
      </c>
      <c r="F14" s="29"/>
      <c r="G14" s="30">
        <f>H14+AC14+AT14</f>
        <v>1726.05</v>
      </c>
      <c r="H14" s="17">
        <f>SUMIF(I$12:AB$12,"总值",I14:AB14)</f>
        <v>1726.05</v>
      </c>
      <c r="I14" s="1624">
        <v>1726.05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3号楼</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3448" t="s">
        <v>3420</v>
      </c>
      <c r="D15" s="1623" t="s">
        <v>3394</v>
      </c>
      <c r="E15" s="13">
        <f>IF($C$3="是",ROUND($A$3*G15/$B$3,2),ROUND($A$3*(G15-AT15)/$B$3,2))</f>
        <v>7248.99</v>
      </c>
      <c r="F15" s="29"/>
      <c r="G15" s="30">
        <f>H15+AC15+AT15</f>
        <v>5970.96</v>
      </c>
      <c r="H15" s="17">
        <f>SUMIF(I$12:AB$12,"总值",I15:AB15)</f>
        <v>5970.96</v>
      </c>
      <c r="I15" s="1624">
        <f>1699.08+1589.71+1589.71+429.85</f>
        <v>5308.35</v>
      </c>
      <c r="J15" s="1624"/>
      <c r="K15" s="1624">
        <v>662.61</v>
      </c>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1号楼</v>
      </c>
      <c r="AY15" s="1347">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0" sqref="J4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5"/>
      <c r="G2" s="2646"/>
      <c r="H2" s="2647"/>
      <c r="I2" s="2323" t="s">
        <v>1132</v>
      </c>
      <c r="J2" s="2655"/>
      <c r="K2" s="2655"/>
      <c r="L2" s="2655"/>
      <c r="M2" s="2655"/>
      <c r="N2" s="2657"/>
      <c r="O2" s="2655"/>
      <c r="P2" s="2655"/>
    </row>
    <row r="3" spans="1:16" ht="15.75" thickBot="1">
      <c r="A3" s="3540" t="s">
        <v>1105</v>
      </c>
      <c r="B3" s="3540"/>
      <c r="C3" s="3540"/>
      <c r="D3" s="43">
        <f>'数据-基础表'!AY6</f>
        <v>7248.99</v>
      </c>
      <c r="E3" s="43">
        <f>'数据-基础表'!AZ5</f>
        <v>5970.96</v>
      </c>
      <c r="F3" s="2655"/>
      <c r="G3" s="1143"/>
      <c r="H3" s="1024" t="s">
        <v>1106</v>
      </c>
      <c r="I3" s="853">
        <f>ROUND('数据-基础表'!B3/'数据-基础表'!A3,2)</f>
        <v>0.82</v>
      </c>
      <c r="J3" s="2655"/>
      <c r="K3" s="2655"/>
      <c r="L3" s="2655"/>
      <c r="M3" s="2655"/>
      <c r="N3" s="2657"/>
      <c r="O3" s="2655"/>
      <c r="P3" s="2655"/>
    </row>
    <row r="4" spans="1:16" ht="15">
      <c r="A4" s="3541"/>
      <c r="B4" s="3542"/>
      <c r="C4" s="3543"/>
      <c r="D4" s="1639" t="s">
        <v>1107</v>
      </c>
      <c r="E4" s="1640" t="s">
        <v>1108</v>
      </c>
      <c r="F4" s="2655"/>
      <c r="G4" s="2648" t="s">
        <v>1133</v>
      </c>
      <c r="H4" s="1024" t="s">
        <v>1113</v>
      </c>
      <c r="I4" s="853">
        <f>ROUND(SUMIF('数据-基础表'!I9:AS9,"地上",'数据-基础表'!I5:AS5)/'数据-基础表'!A3,2)</f>
        <v>0.77</v>
      </c>
      <c r="J4" s="2655"/>
      <c r="K4" s="2655"/>
      <c r="L4" s="2655"/>
      <c r="M4" s="2655"/>
      <c r="N4" s="2657"/>
      <c r="O4" s="2655"/>
      <c r="P4" s="2655"/>
    </row>
    <row r="5" spans="1:16">
      <c r="A5" s="44" t="s">
        <v>1109</v>
      </c>
      <c r="B5" s="3544" t="s">
        <v>1110</v>
      </c>
      <c r="C5" s="3544"/>
      <c r="D5" s="45">
        <f>ROUND($D$3*E5/$E$3,2)</f>
        <v>0</v>
      </c>
      <c r="E5" s="46">
        <f>SUMIF('数据-基础表'!$11:$11,"住宅",'数据-基础表'!$5:$5)</f>
        <v>0</v>
      </c>
      <c r="F5" s="2655"/>
      <c r="G5" s="1143"/>
      <c r="H5" s="1024" t="s">
        <v>1106</v>
      </c>
      <c r="I5" s="853">
        <f>ROUND(E31/D31,2)</f>
        <v>0.82</v>
      </c>
      <c r="J5" s="2655"/>
      <c r="K5" s="2655"/>
      <c r="L5" s="2655"/>
      <c r="M5" s="2655"/>
      <c r="N5" s="2655"/>
      <c r="O5" s="2655"/>
      <c r="P5" s="2655"/>
    </row>
    <row r="6" spans="1:16" ht="15" thickBot="1">
      <c r="A6" s="1642"/>
      <c r="B6" s="3544" t="s">
        <v>1111</v>
      </c>
      <c r="C6" s="3544"/>
      <c r="D6" s="45">
        <f>ROUND($D$3*E6/$E$3,2)</f>
        <v>7248.99</v>
      </c>
      <c r="E6" s="46">
        <f>E3-E5</f>
        <v>5970.96</v>
      </c>
      <c r="F6" s="2655"/>
      <c r="G6" s="2649" t="s">
        <v>1112</v>
      </c>
      <c r="H6" s="1144" t="s">
        <v>1113</v>
      </c>
      <c r="I6" s="2650">
        <f>ROUND(F31/D31,2)</f>
        <v>0.73</v>
      </c>
      <c r="J6" s="2655"/>
      <c r="K6" s="2655"/>
      <c r="L6" s="2655"/>
      <c r="M6" s="2655"/>
      <c r="N6" s="2655"/>
      <c r="O6" s="2655"/>
      <c r="P6" s="2655"/>
    </row>
    <row r="7" spans="1:16" ht="15.75" thickBot="1">
      <c r="A7" s="3536"/>
      <c r="B7" s="3537"/>
      <c r="C7" s="3538"/>
      <c r="D7" s="1639" t="s">
        <v>1107</v>
      </c>
      <c r="E7" s="1643"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6444.55</v>
      </c>
      <c r="E8" s="48">
        <f>SUMIF('数据-基础表'!BB10:BK10,"地上",'数据-基础表'!BB5:BK5)</f>
        <v>5308.35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6444.55</v>
      </c>
      <c r="E16" s="50">
        <f>SUM(E8:E15)</f>
        <v>5308.35</v>
      </c>
      <c r="F16" s="2655"/>
      <c r="G16" s="2656"/>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3" t="s">
        <v>3397</v>
      </c>
      <c r="D19" s="45">
        <f>ROUND($D$3*E19/$E$3,2)</f>
        <v>7248.99</v>
      </c>
      <c r="E19" s="53">
        <f t="shared" ref="E19:E26" si="1">SUM(F19:G19)</f>
        <v>5970.96</v>
      </c>
      <c r="F19" s="2791">
        <f>'数据-基础表'!I15</f>
        <v>5308.35</v>
      </c>
      <c r="G19" s="2792">
        <v>662.61</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7248.99</v>
      </c>
      <c r="S19" s="1025">
        <f t="shared" si="5"/>
        <v>5970.96</v>
      </c>
    </row>
    <row r="20" spans="1:19">
      <c r="A20" s="1668"/>
      <c r="B20" s="47" t="s">
        <v>1153</v>
      </c>
      <c r="C20" s="3413"/>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3"/>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4"/>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4"/>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4"/>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7248.99</v>
      </c>
      <c r="E27" s="1139">
        <f>IF(SUM(E19:E26)='数据-基础表'!BA5,SUM(E19:E26),IF(F27="地上面积有误","面积有误","地下面积有误"))</f>
        <v>5970.96</v>
      </c>
      <c r="F27" s="1138">
        <f>IF(SUM(F19:F26)=E8,SUM(F19:F26),"地上面积有误")</f>
        <v>5308.35</v>
      </c>
      <c r="G27" s="1140">
        <f>SUM(G19:G26)</f>
        <v>662.61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7248.99</v>
      </c>
      <c r="S27" s="1024">
        <f>IF(SUM(S19:S26)=$E$3,SUM(S19:S26),SUM(S19:S26)&amp;"误差"&amp;ROUND(SUM(S19:S26)-E3,2))</f>
        <v>5970.96</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7248.99</v>
      </c>
      <c r="E31" s="674">
        <f>E27+E30</f>
        <v>5970.96</v>
      </c>
      <c r="F31" s="675">
        <f>F27+F30</f>
        <v>5308.35</v>
      </c>
      <c r="G31" s="676">
        <f>G27+G30</f>
        <v>662.61</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44985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工业办公</v>
      </c>
      <c r="B6" s="1711" t="str">
        <f>IF(A6=0,"","经营性")</f>
        <v>经营性</v>
      </c>
      <c r="C6" s="1712" t="s">
        <v>3</v>
      </c>
      <c r="D6" s="856">
        <f>SUMIF(项目基本情况!C$12:I$12,C6,项目基本情况!C$14:I$14)</f>
        <v>50</v>
      </c>
      <c r="E6" s="855">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0">
        <v>4.4999999999999998E-2</v>
      </c>
      <c r="I6" s="730">
        <v>5.5E-2</v>
      </c>
      <c r="J6" s="66">
        <v>7.0000000000000007E-2</v>
      </c>
      <c r="K6" s="1028">
        <f>SUMIF('数据-汇总表'!C$19:C$33,A6,'数据-汇总表'!E$19:E$33)</f>
        <v>5970.96</v>
      </c>
      <c r="L6" s="3454">
        <v>3800</v>
      </c>
      <c r="M6" s="67">
        <f t="shared" ref="M6:M14" si="0">ROUND(K6*L6/10000,0)</f>
        <v>2269</v>
      </c>
      <c r="N6" s="729">
        <f>ROUND(1-(2023-2022)/60,2)</f>
        <v>0.98</v>
      </c>
      <c r="O6" s="67" t="str">
        <f>IF($N$5="成新度","——",ROUND(M6*N6,0))</f>
        <v>——</v>
      </c>
      <c r="P6" s="68" t="str">
        <f>IF($N$5="成新度","——",M6-O6)</f>
        <v>——</v>
      </c>
      <c r="Q6" s="3453">
        <v>0.08</v>
      </c>
      <c r="R6" s="69">
        <f ca="1">SUMIF('数据-汇总表'!C$19:C$33,A6,'数据-汇总表'!R$19:R$27)</f>
        <v>7248.99</v>
      </c>
      <c r="S6" s="51">
        <f>IF('数据-汇总表'!$I$17="按面积比例",SUMIF('数据-汇总表'!C$19:C$33,A6,'数据-汇总表'!K$19:K$33),SUMIF('数据-汇总表'!C$19:C$33,A6,'数据-汇总表'!N$19:N$33))</f>
        <v>0</v>
      </c>
      <c r="T6" s="1170">
        <f>ROUND($L$14*S6/10000,0)</f>
        <v>0</v>
      </c>
      <c r="U6" s="3452">
        <v>1.6</v>
      </c>
      <c r="V6" s="3457">
        <v>0.02</v>
      </c>
      <c r="W6" s="70">
        <v>0.1</v>
      </c>
      <c r="X6" s="1038"/>
      <c r="Y6" s="71">
        <f>N6</f>
        <v>0.98</v>
      </c>
      <c r="Z6" s="72"/>
      <c r="AA6" s="66"/>
      <c r="AB6" s="66"/>
      <c r="AC6" s="1038"/>
      <c r="AD6" s="73"/>
      <c r="AE6" s="1039">
        <f ca="1">IF(AN6="",0,SUMIF(INDIRECT("'"&amp;AN6&amp;"'"&amp;"!E:E"),$AE$5,INDIRECT("'"&amp;AN6&amp;"'"&amp;"!F:F")))</f>
        <v>29.07</v>
      </c>
      <c r="AF6" s="1346"/>
      <c r="AG6" s="136">
        <f>IF(AF6="",0,AE6-AF6)</f>
        <v>0</v>
      </c>
      <c r="AH6" s="74"/>
      <c r="AI6" s="76">
        <v>365</v>
      </c>
      <c r="AJ6" s="77"/>
      <c r="AK6" s="78">
        <v>5.0000000000000001E-3</v>
      </c>
      <c r="AL6" s="79">
        <v>1.5E-3</v>
      </c>
      <c r="AM6" s="80">
        <v>0.01</v>
      </c>
      <c r="AN6" s="1713" t="s">
        <v>3400</v>
      </c>
      <c r="AO6" s="52">
        <f ca="1">SUMIF(INDIRECT("'"&amp;AN6&amp;"'"&amp;"!A:A"),"总价",INDIRECT("'"&amp;AN6&amp;"'"&amp;"!B:B"))</f>
        <v>4413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6">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6">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6">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3800</v>
      </c>
      <c r="M16" s="93">
        <f>SUM(M6:M14)</f>
        <v>2269</v>
      </c>
      <c r="N16" s="94">
        <f>ROUND(SUMPRODUCT(M6:M14,N6:N14)/M16,3)</f>
        <v>0.98</v>
      </c>
      <c r="O16" s="93">
        <f>SUM(O6:O14)</f>
        <v>0</v>
      </c>
      <c r="P16" s="93">
        <f>SUM(P6:P14)</f>
        <v>0</v>
      </c>
      <c r="Q16" s="95">
        <f>ROUND(SUMPRODUCT(Q6:Q13,K6:K13)/SUMPRODUCT((Q6:Q13&gt;0)*(K6:K13)),2)</f>
        <v>0.08</v>
      </c>
      <c r="R16" s="1032">
        <f ca="1">SUM(R6:R13)</f>
        <v>7248.99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1</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f>B20</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3450">
        <v>100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51">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ROUND(B28*K16/10000,)</f>
        <v>90</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f>C30*'数据-汇总表'!D3/'数据-汇总表'!E3</f>
        <v>224.59757727400617</v>
      </c>
      <c r="C30" s="2676">
        <f>255-40-30</f>
        <v>185</v>
      </c>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224.59757727400617</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3455">
        <v>150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3">
        <v>0.03</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3456">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3399</v>
      </c>
      <c r="B40" s="1076">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4">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6">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7">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5">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5">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8"/>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19">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5">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0">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1">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2">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545" t="s">
        <v>2284</v>
      </c>
      <c r="B1" s="3546"/>
      <c r="C1" s="3546"/>
      <c r="D1" s="3546"/>
      <c r="E1" s="3546"/>
      <c r="F1" s="3546"/>
      <c r="G1" s="354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7"/>
      <c r="I2" s="797"/>
      <c r="J2" s="797"/>
      <c r="K2" s="797"/>
      <c r="L2" s="797"/>
      <c r="M2" s="797"/>
      <c r="N2" s="797"/>
      <c r="O2" s="797"/>
      <c r="P2" s="797"/>
      <c r="Q2" s="797"/>
      <c r="R2" s="797"/>
    </row>
    <row r="3" spans="1:29" ht="48">
      <c r="A3" s="2437" t="s">
        <v>2281</v>
      </c>
      <c r="B3" s="2459" t="s">
        <v>2250</v>
      </c>
      <c r="C3" s="2460" t="s">
        <v>2282</v>
      </c>
      <c r="D3" s="2461"/>
      <c r="E3" s="2438" t="s">
        <v>2281</v>
      </c>
      <c r="F3" s="2462" t="s">
        <v>2251</v>
      </c>
      <c r="G3" s="2463" t="s">
        <v>2283</v>
      </c>
      <c r="H3" s="797"/>
      <c r="I3" s="797"/>
      <c r="J3" s="797"/>
      <c r="K3" s="797"/>
      <c r="L3" s="797"/>
      <c r="M3" s="797"/>
      <c r="N3" s="797"/>
      <c r="O3" s="797"/>
      <c r="P3" s="797"/>
      <c r="Q3" s="797"/>
      <c r="R3" s="797"/>
    </row>
    <row r="4" spans="1:29" ht="36.75">
      <c r="A4" s="2438"/>
      <c r="B4" s="321" t="s">
        <v>2252</v>
      </c>
      <c r="C4" s="2464" t="s">
        <v>2253</v>
      </c>
      <c r="D4" s="2461"/>
      <c r="E4" s="2465"/>
      <c r="F4" s="1371" t="s">
        <v>2254</v>
      </c>
      <c r="G4" s="2466" t="s">
        <v>2255</v>
      </c>
      <c r="H4" s="797"/>
      <c r="I4" s="797"/>
      <c r="J4" s="797"/>
      <c r="K4" s="797"/>
      <c r="L4" s="797"/>
      <c r="M4" s="797"/>
      <c r="N4" s="797"/>
      <c r="O4" s="797"/>
      <c r="P4" s="797"/>
      <c r="Q4" s="797"/>
      <c r="R4" s="797"/>
    </row>
    <row r="5" spans="1:29" ht="36.75">
      <c r="A5" s="2438"/>
      <c r="B5" s="321" t="s">
        <v>2256</v>
      </c>
      <c r="C5" s="2464" t="s">
        <v>2257</v>
      </c>
      <c r="D5" s="2461"/>
      <c r="E5" s="2465"/>
      <c r="F5" s="321" t="s">
        <v>2258</v>
      </c>
      <c r="G5" s="2466" t="s">
        <v>2259</v>
      </c>
      <c r="H5" s="797"/>
      <c r="I5" s="797"/>
      <c r="J5" s="797"/>
      <c r="K5" s="797"/>
      <c r="L5" s="797"/>
      <c r="M5" s="797"/>
      <c r="N5" s="797"/>
      <c r="O5" s="797"/>
      <c r="P5" s="797"/>
      <c r="Q5" s="797"/>
      <c r="R5" s="797"/>
    </row>
    <row r="6" spans="1:29" ht="36">
      <c r="A6" s="2438"/>
      <c r="B6" s="321" t="s">
        <v>2260</v>
      </c>
      <c r="C6" s="2466" t="s">
        <v>2255</v>
      </c>
      <c r="D6" s="2461"/>
      <c r="E6" s="2465"/>
      <c r="F6" s="321" t="s">
        <v>2261</v>
      </c>
      <c r="G6" s="2466" t="s">
        <v>2262</v>
      </c>
      <c r="H6" s="797"/>
      <c r="I6" s="797"/>
      <c r="J6" s="797"/>
      <c r="K6" s="797"/>
      <c r="L6" s="797"/>
      <c r="M6" s="797"/>
      <c r="N6" s="797"/>
      <c r="O6" s="797"/>
      <c r="P6" s="797"/>
      <c r="Q6" s="797"/>
      <c r="R6" s="797"/>
    </row>
    <row r="7" spans="1:29" ht="24.75" thickBot="1">
      <c r="A7" s="2438"/>
      <c r="B7" s="321" t="s">
        <v>2258</v>
      </c>
      <c r="C7" s="2466" t="s">
        <v>2259</v>
      </c>
      <c r="D7" s="2467"/>
      <c r="E7" s="2468"/>
      <c r="F7" s="2469" t="s">
        <v>2263</v>
      </c>
      <c r="G7" s="2470" t="s">
        <v>2264</v>
      </c>
      <c r="H7" s="797"/>
      <c r="I7" s="797"/>
      <c r="J7" s="797"/>
      <c r="K7" s="797"/>
      <c r="L7" s="797"/>
      <c r="M7" s="797"/>
      <c r="N7" s="797"/>
      <c r="O7" s="797"/>
      <c r="P7" s="797"/>
      <c r="Q7" s="797"/>
      <c r="R7" s="797"/>
    </row>
    <row r="8" spans="1:29">
      <c r="A8" s="2438"/>
      <c r="B8" s="321" t="s">
        <v>2261</v>
      </c>
      <c r="C8" s="2466" t="s">
        <v>2262</v>
      </c>
      <c r="D8" s="2467"/>
      <c r="E8" s="2467"/>
      <c r="F8" s="2471"/>
      <c r="G8" s="2471"/>
      <c r="H8" s="797"/>
      <c r="I8" s="797"/>
      <c r="J8" s="797"/>
      <c r="K8" s="797"/>
      <c r="L8" s="797"/>
      <c r="M8" s="797"/>
      <c r="N8" s="797"/>
      <c r="O8" s="797"/>
      <c r="P8" s="797"/>
      <c r="Q8" s="797"/>
      <c r="R8" s="797"/>
    </row>
    <row r="9" spans="1:29" ht="24">
      <c r="A9" s="2438"/>
      <c r="B9" s="321" t="s">
        <v>2265</v>
      </c>
      <c r="C9" s="2464" t="s">
        <v>2266</v>
      </c>
      <c r="D9" s="2461"/>
      <c r="E9" s="2467"/>
      <c r="F9" s="2471"/>
      <c r="G9" s="2471"/>
      <c r="H9" s="797"/>
      <c r="I9" s="797"/>
      <c r="J9" s="797"/>
      <c r="K9" s="797"/>
      <c r="L9" s="797"/>
      <c r="M9" s="797"/>
      <c r="N9" s="797"/>
      <c r="O9" s="797"/>
      <c r="P9" s="797"/>
      <c r="Q9" s="797"/>
      <c r="R9" s="797"/>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1"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1" t="s">
        <v>2261</v>
      </c>
      <c r="G20" s="2499" t="str">
        <f>G6</f>
        <v>估价对象所在区域基础设施水平</v>
      </c>
    </row>
    <row r="21" spans="1:18" ht="25.5">
      <c r="A21" s="2442"/>
      <c r="B21" s="321" t="s">
        <v>2258</v>
      </c>
      <c r="C21" s="2499" t="str">
        <f>C7</f>
        <v>估价对象所在区域公共配套设施齐备情况</v>
      </c>
      <c r="D21" s="2461"/>
      <c r="E21" s="2443"/>
      <c r="F21" s="2498" t="s">
        <v>2276</v>
      </c>
      <c r="G21" s="2501"/>
    </row>
    <row r="22" spans="1:18" ht="13.5" customHeight="1">
      <c r="A22" s="2442"/>
      <c r="B22" s="321" t="s">
        <v>2261</v>
      </c>
      <c r="C22" s="2499" t="str">
        <f>C8</f>
        <v>估价对象所在区域基础设施水平</v>
      </c>
      <c r="D22" s="2461"/>
      <c r="E22" s="2443"/>
      <c r="F22" s="2498" t="s">
        <v>2267</v>
      </c>
      <c r="G22" s="2500"/>
    </row>
    <row r="23" spans="1:18" s="797"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7"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1" sqref="K2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5970.96</v>
      </c>
      <c r="C1" s="2682"/>
      <c r="D1" s="2682"/>
      <c r="E1" s="2682"/>
      <c r="F1" s="2682"/>
      <c r="G1" s="2683"/>
      <c r="H1" s="2684"/>
      <c r="I1" s="2684"/>
      <c r="J1" s="2684"/>
      <c r="K1" s="2684"/>
    </row>
    <row r="2" spans="1:11" ht="16.5">
      <c r="A2" s="2508" t="s">
        <v>653</v>
      </c>
      <c r="B2" s="2508">
        <f>SUM(C14:C23)</f>
        <v>7248.99</v>
      </c>
      <c r="C2" s="2682"/>
      <c r="D2" s="2682"/>
      <c r="E2" s="2682"/>
      <c r="F2" s="2682"/>
      <c r="G2" s="2683"/>
      <c r="H2" s="2684"/>
      <c r="I2" s="2684"/>
      <c r="J2" s="2684"/>
      <c r="K2" s="2684"/>
    </row>
    <row r="3" spans="1:11" ht="16.5">
      <c r="A3" s="2508" t="s">
        <v>662</v>
      </c>
      <c r="B3" s="2510">
        <f>项目基本情况!D3</f>
        <v>44985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4018</v>
      </c>
      <c r="C5" s="2508">
        <f ca="1">IF(B5=D14,结果表!H102,ROUND(B5*10000/$B$1,0))</f>
        <v>6729</v>
      </c>
      <c r="D5" s="2508">
        <f ca="1">ROUND(B5*10000/$B$2,0)</f>
        <v>5543</v>
      </c>
      <c r="E5" s="2682"/>
      <c r="F5" s="2683"/>
      <c r="G5" s="2683"/>
      <c r="H5" s="2684"/>
      <c r="I5" s="2684"/>
      <c r="J5" s="2684"/>
      <c r="K5" s="2684"/>
    </row>
    <row r="6" spans="1:11" ht="16.5">
      <c r="A6" s="2508" t="s">
        <v>656</v>
      </c>
      <c r="B6" s="2508">
        <f ca="1">SUM(G14:G23)</f>
        <v>4018</v>
      </c>
      <c r="C6" s="2508">
        <f ca="1">IF(B6=G14,结果表!H108,ROUND(B6*10000/$B$1,0))</f>
        <v>6729</v>
      </c>
      <c r="D6" s="2508">
        <f ca="1">ROUND(B6*10000/$B$2,0)</f>
        <v>5543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5970.96</v>
      </c>
      <c r="C14" s="2514">
        <f>结果表!C118</f>
        <v>7248.99</v>
      </c>
      <c r="D14" s="2514">
        <f ca="1">结果表!H118</f>
        <v>4018</v>
      </c>
      <c r="E14" s="2514">
        <f ca="1">ROUND(D14*10000/B14,0)</f>
        <v>6729</v>
      </c>
      <c r="F14" s="2514">
        <f ca="1">ROUND(D14*10000/C14,0)</f>
        <v>5543</v>
      </c>
      <c r="G14" s="2514">
        <f ca="1">D14</f>
        <v>4018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D119" sqref="D119:I11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t="s">
        <v>3415</v>
      </c>
      <c r="H1" s="1748" t="str">
        <f>IF(G1="现房","——","估价对象范围")</f>
        <v>——</v>
      </c>
      <c r="I1" s="1749" t="s">
        <v>3416</v>
      </c>
    </row>
    <row r="2" spans="1:12" ht="21.75" customHeight="1" thickBot="1">
      <c r="A2" s="3581" t="str">
        <f>项目基本情况!S2</f>
        <v>北京市延庆区康庄镇西桑园南区5号院1号楼01等房地产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3412</v>
      </c>
      <c r="D4" s="1754" t="s">
        <v>3400</v>
      </c>
      <c r="E4" s="3587" t="s">
        <v>1267</v>
      </c>
      <c r="F4" s="3588"/>
      <c r="G4" s="3588"/>
      <c r="H4" s="3588"/>
      <c r="I4" s="3589"/>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29" t="s">
        <v>1269</v>
      </c>
      <c r="F5" s="1755"/>
      <c r="G5" s="1755"/>
      <c r="H5" s="1755"/>
      <c r="I5" s="1371"/>
    </row>
    <row r="6" spans="1:12" ht="12.75">
      <c r="A6" s="3561"/>
      <c r="B6" s="3548"/>
      <c r="C6" s="3565"/>
      <c r="D6" s="3584"/>
      <c r="E6" s="129" t="s">
        <v>1270</v>
      </c>
      <c r="F6" s="1755"/>
      <c r="G6" s="1755"/>
      <c r="H6" s="1755"/>
      <c r="I6" s="1371"/>
    </row>
    <row r="7" spans="1:12" ht="12.75">
      <c r="A7" s="3561"/>
      <c r="B7" s="3548"/>
      <c r="C7" s="3566"/>
      <c r="D7" s="3584"/>
      <c r="E7" s="129" t="s">
        <v>1271</v>
      </c>
      <c r="F7" s="1755"/>
      <c r="G7" s="1755"/>
      <c r="H7" s="1755"/>
      <c r="I7" s="1371"/>
    </row>
    <row r="8" spans="1:12" ht="12.75">
      <c r="A8" s="3561" t="s">
        <v>1272</v>
      </c>
      <c r="B8" s="3548">
        <v>15</v>
      </c>
      <c r="C8" s="3564"/>
      <c r="D8" s="3584"/>
      <c r="E8" s="129" t="s">
        <v>1273</v>
      </c>
      <c r="F8" s="1755"/>
      <c r="G8" s="1755"/>
      <c r="H8" s="1755"/>
      <c r="I8" s="1371"/>
    </row>
    <row r="9" spans="1:12" ht="12.75">
      <c r="A9" s="3561"/>
      <c r="B9" s="3548"/>
      <c r="C9" s="3566"/>
      <c r="D9" s="3584"/>
      <c r="E9" s="129" t="s">
        <v>1274</v>
      </c>
      <c r="F9" s="1755"/>
      <c r="G9" s="1755"/>
      <c r="H9" s="1755"/>
      <c r="I9" s="1371"/>
    </row>
    <row r="10" spans="1:12" ht="12.75">
      <c r="A10" s="3561" t="s">
        <v>1275</v>
      </c>
      <c r="B10" s="3548">
        <v>15</v>
      </c>
      <c r="C10" s="3564"/>
      <c r="D10" s="3584"/>
      <c r="E10" s="129" t="s">
        <v>1276</v>
      </c>
      <c r="F10" s="1755"/>
      <c r="G10" s="1755"/>
      <c r="H10" s="1755"/>
      <c r="I10" s="1371"/>
    </row>
    <row r="11" spans="1:12" ht="12.75">
      <c r="A11" s="3561"/>
      <c r="B11" s="3548"/>
      <c r="C11" s="3566"/>
      <c r="D11" s="3584"/>
      <c r="E11" s="129" t="s">
        <v>1277</v>
      </c>
      <c r="F11" s="1755"/>
      <c r="G11" s="1755"/>
      <c r="H11" s="1755"/>
      <c r="I11" s="1371"/>
    </row>
    <row r="12" spans="1:12" ht="12.75">
      <c r="A12" s="3561" t="s">
        <v>1278</v>
      </c>
      <c r="B12" s="3548">
        <v>15</v>
      </c>
      <c r="C12" s="3564"/>
      <c r="D12" s="3584"/>
      <c r="E12" s="129" t="s">
        <v>1279</v>
      </c>
      <c r="F12" s="1755"/>
      <c r="G12" s="1755"/>
      <c r="H12" s="1755"/>
      <c r="I12" s="1371"/>
    </row>
    <row r="13" spans="1:12" ht="12.75">
      <c r="A13" s="3561"/>
      <c r="B13" s="3548"/>
      <c r="C13" s="3566"/>
      <c r="D13" s="3584"/>
      <c r="E13" s="129" t="s">
        <v>1280</v>
      </c>
      <c r="F13" s="1755"/>
      <c r="G13" s="1755"/>
      <c r="H13" s="1755"/>
      <c r="I13" s="1371"/>
    </row>
    <row r="14" spans="1:12" ht="12.75">
      <c r="A14" s="3561" t="s">
        <v>1281</v>
      </c>
      <c r="B14" s="3548">
        <v>30</v>
      </c>
      <c r="C14" s="3564">
        <v>5</v>
      </c>
      <c r="D14" s="3584">
        <v>5</v>
      </c>
      <c r="E14" s="129" t="s">
        <v>1282</v>
      </c>
      <c r="F14" s="1755"/>
      <c r="G14" s="1755"/>
      <c r="H14" s="1755"/>
      <c r="I14" s="1371"/>
    </row>
    <row r="15" spans="1:12" ht="12.75">
      <c r="A15" s="3561"/>
      <c r="B15" s="3548"/>
      <c r="C15" s="3565"/>
      <c r="D15" s="3584"/>
      <c r="E15" s="129" t="s">
        <v>1283</v>
      </c>
      <c r="F15" s="1755"/>
      <c r="G15" s="1755"/>
      <c r="H15" s="1755"/>
      <c r="I15" s="1371"/>
    </row>
    <row r="16" spans="1:12" ht="12.75">
      <c r="A16" s="3561"/>
      <c r="B16" s="3548"/>
      <c r="C16" s="3566"/>
      <c r="D16" s="3584"/>
      <c r="E16" s="129" t="s">
        <v>1284</v>
      </c>
      <c r="F16" s="1755"/>
      <c r="G16" s="1755"/>
      <c r="H16" s="1755"/>
      <c r="I16" s="1371"/>
    </row>
    <row r="17" spans="1:36" ht="15">
      <c r="A17" s="1756" t="s">
        <v>1285</v>
      </c>
      <c r="B17" s="56"/>
      <c r="C17" s="130">
        <f>SUM(C5:C16)</f>
        <v>5</v>
      </c>
      <c r="D17" s="130">
        <f>SUM(D5:D16)</f>
        <v>5</v>
      </c>
      <c r="E17" s="127"/>
      <c r="F17" s="127"/>
      <c r="G17" s="127"/>
      <c r="H17" s="127"/>
      <c r="I17" s="127"/>
      <c r="K17" s="300"/>
      <c r="L17" s="300" t="s">
        <v>1286</v>
      </c>
      <c r="M17" s="300" t="s">
        <v>1287</v>
      </c>
    </row>
    <row r="18" spans="1:36" ht="31.9" customHeight="1" thickBot="1">
      <c r="A18" s="1757" t="s">
        <v>1288</v>
      </c>
      <c r="B18" s="1758"/>
      <c r="C18" s="131">
        <f>ROUND(C17/SUM(C17:D17),2)</f>
        <v>0.5</v>
      </c>
      <c r="D18" s="131">
        <f>1-C18</f>
        <v>0.5</v>
      </c>
      <c r="E18" s="3571" t="s">
        <v>2131</v>
      </c>
      <c r="F18" s="3572"/>
      <c r="G18" s="3572"/>
      <c r="H18" s="3572"/>
      <c r="I18" s="3572"/>
      <c r="K18" s="300" t="s">
        <v>1289</v>
      </c>
      <c r="L18" s="300">
        <f>IF(C1="",'数据-汇总表'!E3,SUMIF(项目类型,C1,'数据-汇总表'!E17:E26)+SUMIF(项目类型,C1,'数据-汇总表'!I17:I26))</f>
        <v>5970.96</v>
      </c>
      <c r="M18" s="300">
        <f>IF(C1="",'数据-汇总表'!E3,SUMIF(项目类型,C1,'数据-汇总表'!E17:E26))</f>
        <v>5970.96</v>
      </c>
    </row>
    <row r="19" spans="1:36" ht="15">
      <c r="A19" s="1759" t="s">
        <v>1290</v>
      </c>
      <c r="B19" s="1760" t="s">
        <v>1291</v>
      </c>
      <c r="C19" s="132">
        <f ca="1">SUMIF(INDIRECT("'"&amp;C4&amp;"'"&amp;"!A:A"),结果表!B19,INDIRECT("'"&amp;C4&amp;"'"&amp;"!B:B"))</f>
        <v>3623</v>
      </c>
      <c r="D19" s="133">
        <f ca="1">SUMIF(INDIRECT("'"&amp;D4&amp;"'"&amp;"!A:A"),结果表!B19,INDIRECT("'"&amp;D4&amp;"'"&amp;"!B:B"))</f>
        <v>4413</v>
      </c>
      <c r="E19" s="1759" t="s">
        <v>1292</v>
      </c>
      <c r="F19" s="1760" t="s">
        <v>1291</v>
      </c>
      <c r="G19" s="134">
        <f ca="1">ROUND(C19*$C$18+D19*$D$18,0)</f>
        <v>4018</v>
      </c>
      <c r="H19" s="1761" t="s">
        <v>1293</v>
      </c>
      <c r="I19" s="127"/>
      <c r="K19" s="300" t="s">
        <v>1294</v>
      </c>
      <c r="L19" s="300">
        <f>IF(C1="",'数据-汇总表'!D3,SUMIF(项目类型,C1,'数据-汇总表'!D17:D26)+SUMIF(项目类型,C1,'数据-汇总表'!H17:H27))</f>
        <v>7248.99</v>
      </c>
      <c r="M19" s="300">
        <f>IF(C1="",'数据-汇总表'!D3,SUMIF(项目类型,C1,'数据-汇总表'!D17:D26))</f>
        <v>7248.99</v>
      </c>
    </row>
    <row r="20" spans="1:36" ht="15">
      <c r="A20" s="1762"/>
      <c r="B20" s="1024" t="s">
        <v>1295</v>
      </c>
      <c r="C20" s="135">
        <f ca="1">SUMIF(INDIRECT("'"&amp;C4&amp;"'"&amp;"!A:A"),结果表!B20,INDIRECT("'"&amp;C4&amp;"'"&amp;"!B:B"))</f>
        <v>6068</v>
      </c>
      <c r="D20" s="136">
        <f ca="1">SUMIF(INDIRECT("'"&amp;D4&amp;"'"&amp;"!A:A"),结果表!B20,INDIRECT("'"&amp;D4&amp;"'"&amp;"!B:B"))</f>
        <v>7391</v>
      </c>
      <c r="E20" s="1762"/>
      <c r="F20" s="1024" t="s">
        <v>1295</v>
      </c>
      <c r="G20" s="137">
        <f ca="1">ROUND(C20*$C$18+D20*$D$18,0)</f>
        <v>6730</v>
      </c>
      <c r="H20" s="806" t="s">
        <v>1296</v>
      </c>
      <c r="I20" s="127"/>
    </row>
    <row r="21" spans="1:36" ht="15" customHeight="1" thickBot="1">
      <c r="A21" s="826"/>
      <c r="B21" s="1763" t="s">
        <v>1297</v>
      </c>
      <c r="C21" s="717">
        <f ca="1">ROUND(C19*10000/L19,0)</f>
        <v>4998</v>
      </c>
      <c r="D21" s="718">
        <f ca="1">ROUND(D19*10000/L19,0)</f>
        <v>6088</v>
      </c>
      <c r="E21" s="826"/>
      <c r="F21" s="1763" t="s">
        <v>1297</v>
      </c>
      <c r="G21" s="138">
        <f ca="1">ROUND(G19*10000/L19,0)</f>
        <v>5543</v>
      </c>
      <c r="H21" s="1764" t="s">
        <v>1296</v>
      </c>
      <c r="I21" s="127"/>
    </row>
    <row r="22" spans="1:36" ht="15" thickBot="1">
      <c r="A22" s="1686" t="s">
        <v>1298</v>
      </c>
      <c r="B22" s="1765"/>
      <c r="C22" s="1766"/>
      <c r="D22" s="719">
        <f ca="1">IF(C19&lt;D19,D19/C19-1,C19/D19-1)</f>
        <v>0.21805133866961079</v>
      </c>
      <c r="E22" s="127"/>
      <c r="F22" s="127"/>
      <c r="G22" s="127"/>
      <c r="H22" s="127"/>
      <c r="I22" s="127"/>
    </row>
    <row r="23" spans="1:36" ht="13.5" thickBot="1">
      <c r="A23" s="1745"/>
      <c r="B23" s="1745"/>
      <c r="C23" s="1745"/>
      <c r="D23" s="1745"/>
      <c r="E23" s="127"/>
      <c r="F23" s="127"/>
      <c r="G23" s="127"/>
      <c r="H23" s="127"/>
      <c r="I23" s="127"/>
    </row>
    <row r="24" spans="1:36" ht="14.25">
      <c r="A24" s="3555" t="s">
        <v>1299</v>
      </c>
      <c r="B24" s="1760" t="s">
        <v>1291</v>
      </c>
      <c r="C24" s="134">
        <f>IF(B30=0,0,D30)</f>
        <v>0</v>
      </c>
      <c r="D24" s="1767"/>
      <c r="E24" s="127"/>
      <c r="F24" s="127"/>
      <c r="G24" s="127"/>
      <c r="H24" s="127"/>
      <c r="I24" s="127"/>
    </row>
    <row r="25" spans="1:36" ht="14.25">
      <c r="A25" s="3556"/>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4018</v>
      </c>
      <c r="D32" s="1773" t="s">
        <v>3414</v>
      </c>
      <c r="E32" s="127"/>
      <c r="F32" s="127"/>
      <c r="G32" s="127"/>
      <c r="H32" s="127"/>
      <c r="I32" s="127"/>
    </row>
    <row r="33" spans="1:15" ht="15">
      <c r="A33" s="784" t="s">
        <v>1306</v>
      </c>
      <c r="B33" s="1774"/>
      <c r="C33" s="1775" t="s">
        <v>3413</v>
      </c>
      <c r="D33" s="1776" t="s">
        <v>3412</v>
      </c>
      <c r="E33" s="1777" t="s">
        <v>1307</v>
      </c>
      <c r="F33" s="1778" t="str">
        <f>IF(D32="楼面单价","取值（单价）","取值（总价）")</f>
        <v>取值（总价）</v>
      </c>
      <c r="G33" s="127"/>
      <c r="H33" s="127"/>
      <c r="I33" s="127"/>
    </row>
    <row r="34" spans="1:15" ht="15">
      <c r="A34" s="1779"/>
      <c r="B34" s="1780" t="s">
        <v>1308</v>
      </c>
      <c r="C34" s="146">
        <f ca="1">IF(C33="自定义",F34,C32-C35)</f>
        <v>683</v>
      </c>
      <c r="D34" s="859">
        <f ca="1">IF(C33="自定义",ROUND(C34/C32,3),IF(C33="收益比率",SUMIF(INDIRECT("'"&amp;D33&amp;"'"&amp;"!b:b"),"土地收益比率",INDIRECT("'"&amp;D33&amp;"'"&amp;"!c:c")),SUMIF(INDIRECT("'"&amp;D33&amp;"'"&amp;"!b:b"),"土地成本比率",INDIRECT("'"&amp;D33&amp;"'"&amp;"!c:c"))))</f>
        <v>0.17000000000000004</v>
      </c>
      <c r="E34" s="1781" t="s">
        <v>1309</v>
      </c>
      <c r="F34" s="1328"/>
      <c r="G34" s="127"/>
      <c r="H34" s="127"/>
      <c r="I34" s="127"/>
    </row>
    <row r="35" spans="1:15" ht="15.75" thickBot="1">
      <c r="A35" s="1782"/>
      <c r="B35" s="1783" t="s">
        <v>1310</v>
      </c>
      <c r="C35" s="1168">
        <f ca="1">IF(C33="自定义",F35,ROUND(C32*D35,0))</f>
        <v>3335</v>
      </c>
      <c r="D35" s="1169">
        <f ca="1">IF(C33="自定义",ROUND(C35/C32,3),IF(C33="收益比率",SUMIF(INDIRECT("'"&amp;D33&amp;"'"&amp;"!b:b"),"建筑物收益比率",INDIRECT("'"&amp;D33&amp;"'"&amp;"!c:c")),SUMIF(INDIRECT("'"&amp;D33&amp;"'"&amp;"!b:b"),"建筑物成本比率",INDIRECT("'"&amp;D33&amp;"'"&amp;"!c:c"))))</f>
        <v>0.83</v>
      </c>
      <c r="E35" s="1784" t="s">
        <v>1311</v>
      </c>
      <c r="F35" s="152"/>
      <c r="G35" s="127"/>
      <c r="H35" s="127"/>
      <c r="I35" s="127"/>
    </row>
    <row r="36" spans="1:15" ht="15.75" thickBot="1">
      <c r="A36" s="3575" t="s">
        <v>1312</v>
      </c>
      <c r="B36" s="1785" t="s">
        <v>1313</v>
      </c>
      <c r="C36" s="143"/>
      <c r="D36" s="1786"/>
      <c r="E36" s="1787"/>
      <c r="F36" s="1788"/>
      <c r="G36" s="127"/>
      <c r="H36" s="127"/>
      <c r="I36" s="127"/>
    </row>
    <row r="37" spans="1:15" ht="15.75" thickBot="1">
      <c r="A37" s="3576"/>
      <c r="B37" s="1672" t="s">
        <v>1314</v>
      </c>
      <c r="C37" s="145"/>
      <c r="D37" s="1137"/>
      <c r="E37" s="1137"/>
      <c r="F37" s="1788"/>
      <c r="G37" s="127"/>
      <c r="H37" s="127"/>
      <c r="I37" s="127"/>
    </row>
    <row r="38" spans="1:15" ht="15.75" thickBot="1">
      <c r="A38" s="3577"/>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3">
        <f ca="1">ROUND(H101*F45,0)</f>
        <v>4018</v>
      </c>
      <c r="E45" s="154" t="s">
        <v>1327</v>
      </c>
      <c r="F45" s="155">
        <v>1</v>
      </c>
      <c r="G45" s="156" t="s">
        <v>1328</v>
      </c>
      <c r="H45" s="127"/>
      <c r="I45" s="127"/>
      <c r="J45" s="3630" t="s">
        <v>1329</v>
      </c>
      <c r="K45" s="3630"/>
      <c r="L45" s="3630"/>
      <c r="M45" s="3630"/>
      <c r="N45" s="3630"/>
      <c r="O45" s="3630"/>
    </row>
    <row r="46" spans="1:15" ht="14.25" customHeight="1">
      <c r="A46" s="3549" t="s">
        <v>1330</v>
      </c>
      <c r="B46" s="3550"/>
      <c r="C46" s="3550"/>
      <c r="D46" s="3550"/>
      <c r="E46" s="3550"/>
      <c r="F46" s="3550"/>
      <c r="G46" s="3551"/>
      <c r="H46" s="1804"/>
      <c r="I46" s="157"/>
      <c r="J46" s="2519">
        <v>1</v>
      </c>
      <c r="K46" s="3611" t="s">
        <v>1331</v>
      </c>
      <c r="L46" s="3611"/>
      <c r="M46" s="3631"/>
      <c r="N46" s="3631"/>
      <c r="O46" s="3631"/>
    </row>
    <row r="47" spans="1:15" ht="12" customHeight="1">
      <c r="A47" s="158" t="s">
        <v>1332</v>
      </c>
      <c r="B47" s="159"/>
      <c r="C47" s="160"/>
      <c r="D47" s="1085" t="s">
        <v>1333</v>
      </c>
      <c r="E47" s="300" t="s">
        <v>1334</v>
      </c>
      <c r="F47" s="161" t="s">
        <v>1335</v>
      </c>
      <c r="G47" s="2542" t="s">
        <v>1336</v>
      </c>
      <c r="H47" s="2543"/>
      <c r="I47" s="157"/>
      <c r="J47" s="2519">
        <v>2</v>
      </c>
      <c r="K47" s="3611" t="s">
        <v>1337</v>
      </c>
      <c r="L47" s="3611"/>
      <c r="M47" s="3632">
        <f>'数据-取费表'!B2</f>
        <v>44985</v>
      </c>
      <c r="N47" s="3632"/>
      <c r="O47" s="3632"/>
    </row>
    <row r="48" spans="1:15" ht="25.5">
      <c r="A48" s="3580" t="s">
        <v>1338</v>
      </c>
      <c r="B48" s="3563"/>
      <c r="C48" s="3563"/>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4"/>
      <c r="J48" s="2519">
        <v>3</v>
      </c>
      <c r="K48" s="3611" t="s">
        <v>1340</v>
      </c>
      <c r="L48" s="3611"/>
      <c r="M48" s="3633">
        <f ca="1">H101</f>
        <v>4018</v>
      </c>
      <c r="N48" s="3633"/>
      <c r="O48" s="3633"/>
    </row>
    <row r="49" spans="1:35" ht="25.5" customHeight="1">
      <c r="A49" s="2331" t="s">
        <v>1341</v>
      </c>
      <c r="B49" s="3547" t="s">
        <v>1342</v>
      </c>
      <c r="C49" s="3547"/>
      <c r="D49" s="1588">
        <v>0</v>
      </c>
      <c r="E49" s="322" t="s">
        <v>1343</v>
      </c>
      <c r="F49" s="2420" t="s">
        <v>28</v>
      </c>
      <c r="G49" s="3617"/>
      <c r="H49" s="2308" t="s">
        <v>2134</v>
      </c>
      <c r="I49" s="2309"/>
      <c r="J49" s="2519">
        <v>4</v>
      </c>
      <c r="K49" s="3611" t="str">
        <f>IF(项目基本情况!E8="房地产抵押价值","房地产抵押价值","抵押担保权已注销时的房地产抵押价值")</f>
        <v>房地产抵押价值</v>
      </c>
      <c r="L49" s="3611"/>
      <c r="M49" s="3633">
        <f ca="1">IF(项目基本情况!E8="房地产抵押价值",H107,H109)</f>
        <v>4018</v>
      </c>
      <c r="N49" s="3633"/>
      <c r="O49" s="3633"/>
    </row>
    <row r="50" spans="1:35" ht="25.5" customHeight="1">
      <c r="A50" s="2547"/>
      <c r="B50" s="3547" t="s">
        <v>1344</v>
      </c>
      <c r="C50" s="3547"/>
      <c r="D50" s="2548"/>
      <c r="E50" s="330"/>
      <c r="F50" s="2420"/>
      <c r="G50" s="3618"/>
      <c r="H50" s="2310" t="s">
        <v>2135</v>
      </c>
      <c r="I50" s="2309"/>
      <c r="J50" s="3630" t="s">
        <v>1345</v>
      </c>
      <c r="K50" s="3630"/>
      <c r="L50" s="3630"/>
      <c r="M50" s="3630"/>
      <c r="N50" s="3630"/>
      <c r="O50" s="3630"/>
    </row>
    <row r="51" spans="1:35" ht="20.45" customHeight="1">
      <c r="A51" s="2549"/>
      <c r="B51" s="3547" t="s">
        <v>1346</v>
      </c>
      <c r="C51" s="3547"/>
      <c r="D51" s="1085"/>
      <c r="E51" s="325"/>
      <c r="F51" s="2420"/>
      <c r="G51" s="3619"/>
      <c r="H51" s="2310" t="s">
        <v>2136</v>
      </c>
      <c r="I51" s="2309"/>
      <c r="J51" s="2520" t="s">
        <v>1347</v>
      </c>
      <c r="K51" s="3611" t="s">
        <v>1348</v>
      </c>
      <c r="L51" s="3611"/>
      <c r="M51" s="2520" t="s">
        <v>1349</v>
      </c>
      <c r="N51" s="2520" t="s">
        <v>1350</v>
      </c>
      <c r="O51" s="2520" t="s">
        <v>1351</v>
      </c>
    </row>
    <row r="52" spans="1:35" ht="24" customHeight="1">
      <c r="A52" s="2333" t="s">
        <v>1352</v>
      </c>
      <c r="B52" s="3547" t="s">
        <v>1353</v>
      </c>
      <c r="C52" s="3547"/>
      <c r="D52" s="1085">
        <f ca="1">ROUND(D45*'数据-取费表'!B41/(1+'数据-取费表'!C42),0)</f>
        <v>210</v>
      </c>
      <c r="E52" s="2332" t="s">
        <v>1354</v>
      </c>
      <c r="F52" s="2550">
        <f>'数据-取费表'!B41</f>
        <v>5.5000000000000007E-2</v>
      </c>
      <c r="G52" s="2551"/>
      <c r="H52" s="2540"/>
      <c r="I52" s="1805"/>
      <c r="J52" s="2519">
        <v>1</v>
      </c>
      <c r="K52" s="3612" t="s">
        <v>1355</v>
      </c>
      <c r="L52" s="3612"/>
      <c r="M52" s="2521" t="b">
        <f>D48</f>
        <v>0</v>
      </c>
      <c r="N52" s="2519" t="str">
        <f>E48</f>
        <v>销售额×税（费）率</v>
      </c>
      <c r="O52" s="2522">
        <f>F48</f>
        <v>5.5000000000000007E-2</v>
      </c>
    </row>
    <row r="53" spans="1:35" ht="12" customHeight="1">
      <c r="A53" s="2333" t="s">
        <v>1356</v>
      </c>
      <c r="B53" s="3573" t="s">
        <v>2289</v>
      </c>
      <c r="C53" s="3574"/>
      <c r="D53" s="1085">
        <f ca="1">ROUND(D45*'数据-取费表'!B41/(1+'数据-取费表'!C42),0)</f>
        <v>210</v>
      </c>
      <c r="E53" s="2332" t="s">
        <v>1354</v>
      </c>
      <c r="F53" s="2550">
        <f>'数据-取费表'!B41</f>
        <v>5.5000000000000007E-2</v>
      </c>
      <c r="G53" s="2551"/>
      <c r="H53" s="2540"/>
      <c r="I53" s="1805"/>
      <c r="J53" s="2519">
        <v>2</v>
      </c>
      <c r="K53" s="3612" t="s">
        <v>1357</v>
      </c>
      <c r="L53" s="3612"/>
      <c r="M53" s="2521">
        <f t="shared" ref="M53:O54" ca="1" si="0">D55</f>
        <v>2</v>
      </c>
      <c r="N53" s="2519" t="str">
        <f t="shared" si="0"/>
        <v>销售额×税（费）率</v>
      </c>
      <c r="O53" s="2522" t="str">
        <f t="shared" si="0"/>
        <v>免征</v>
      </c>
    </row>
    <row r="54" spans="1:35" ht="12" customHeight="1">
      <c r="A54" s="2333" t="s">
        <v>1358</v>
      </c>
      <c r="B54" s="3573" t="s">
        <v>2290</v>
      </c>
      <c r="C54" s="3574"/>
      <c r="D54" s="1085">
        <f ca="1">C68</f>
        <v>210</v>
      </c>
      <c r="E54" s="325" t="s">
        <v>1359</v>
      </c>
      <c r="F54" s="2550">
        <f>'数据-取费表'!B41</f>
        <v>5.5000000000000007E-2</v>
      </c>
      <c r="G54" s="2551"/>
      <c r="H54" s="2552"/>
      <c r="I54" s="1805"/>
      <c r="J54" s="2519">
        <v>3</v>
      </c>
      <c r="K54" s="3612" t="s">
        <v>1360</v>
      </c>
      <c r="L54" s="3612"/>
      <c r="M54" s="2521">
        <f t="shared" ca="1" si="0"/>
        <v>2278</v>
      </c>
      <c r="N54" s="2519" t="str">
        <f t="shared" si="0"/>
        <v>增值额×税（费）率</v>
      </c>
      <c r="O54" s="2523" t="str">
        <f t="shared" si="0"/>
        <v>免征</v>
      </c>
    </row>
    <row r="55" spans="1:35" ht="24" customHeight="1">
      <c r="A55" s="3562" t="s">
        <v>1361</v>
      </c>
      <c r="B55" s="3563"/>
      <c r="C55" s="3563"/>
      <c r="D55" s="2322">
        <f ca="1">IF(H55="个人住宅",0,ROUND(D45*I55,0))</f>
        <v>2</v>
      </c>
      <c r="E55" s="2332" t="s">
        <v>1362</v>
      </c>
      <c r="F55" s="2550" t="str">
        <f>IF(H55="正常",I55,"免征")</f>
        <v>免征</v>
      </c>
      <c r="G55" s="2551"/>
      <c r="H55" s="2546"/>
      <c r="I55" s="163">
        <f>'数据-取费表'!B49</f>
        <v>5.0000000000000001E-4</v>
      </c>
      <c r="J55" s="2519">
        <f>IF(H59="非个人房产","",4)</f>
        <v>4</v>
      </c>
      <c r="K55" s="3612" t="str">
        <f>IF(H59="非个人房产","——","个人所得税")</f>
        <v>个人所得税</v>
      </c>
      <c r="L55" s="3612"/>
      <c r="M55" s="2524">
        <f ca="1">D59</f>
        <v>38</v>
      </c>
      <c r="N55" s="2038" t="str">
        <f>E59</f>
        <v>差额计税</v>
      </c>
      <c r="O55" s="2525">
        <f>F59</f>
        <v>0.01</v>
      </c>
    </row>
    <row r="56" spans="1:35" ht="24.75">
      <c r="A56" s="3562" t="s">
        <v>1363</v>
      </c>
      <c r="B56" s="3563"/>
      <c r="C56" s="3563"/>
      <c r="D56" s="2322">
        <f ca="1">IF(H56="个人住宅",D57,D58)</f>
        <v>2278</v>
      </c>
      <c r="E56" s="2332" t="s">
        <v>1364</v>
      </c>
      <c r="F56" s="2550" t="str">
        <f>IF(H56="正常",F58,"免征")</f>
        <v>免征</v>
      </c>
      <c r="G56" s="2553" t="s">
        <v>1365</v>
      </c>
      <c r="H56" s="2554"/>
      <c r="I56" s="1806"/>
      <c r="J56" s="2519" t="str">
        <f>IF(项目基本情况!K6="上海银行",IF(J55="",4,J55+1),"")</f>
        <v/>
      </c>
      <c r="K56" s="3635" t="str">
        <f>IF(项目基本情况!K6="上海银行","其他处置费用","")</f>
        <v/>
      </c>
      <c r="L56" s="3636"/>
      <c r="M56" s="2521"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2" t="s">
        <v>1343</v>
      </c>
      <c r="F57" s="300"/>
      <c r="G57" s="2551"/>
      <c r="H57" s="2555"/>
      <c r="I57" s="1806"/>
      <c r="J57" s="3612">
        <f>IF(AND(J55="",J56=""),4,IF(项目基本情况!K6="上海银行",结果表!J56+1,结果表!J55+1))</f>
        <v>5</v>
      </c>
      <c r="K57" s="3612" t="s">
        <v>1367</v>
      </c>
      <c r="L57" s="2526" t="s">
        <v>1368</v>
      </c>
      <c r="M57" s="2527"/>
      <c r="N57" s="2528">
        <f ca="1">SUMIF(M52:M56,"&lt;9e307")</f>
        <v>2318</v>
      </c>
      <c r="O57" s="2529"/>
      <c r="P57" s="2686">
        <f ca="1">N57/M49</f>
        <v>0.57690393230462922</v>
      </c>
    </row>
    <row r="58" spans="1:35" ht="24.75">
      <c r="A58" s="2333" t="s">
        <v>1352</v>
      </c>
      <c r="B58" s="3573" t="s">
        <v>1369</v>
      </c>
      <c r="C58" s="3547"/>
      <c r="D58" s="2322">
        <f ca="1">IF(H58="转让取得",C81,C97)</f>
        <v>2278</v>
      </c>
      <c r="E58" s="2332" t="s">
        <v>1364</v>
      </c>
      <c r="F58" s="300" t="s">
        <v>28</v>
      </c>
      <c r="G58" s="2551"/>
      <c r="H58" s="2554"/>
      <c r="I58" s="1806"/>
      <c r="J58" s="3612"/>
      <c r="K58" s="3612"/>
      <c r="L58" s="2526" t="s">
        <v>1370</v>
      </c>
      <c r="M58" s="2530"/>
      <c r="N58" s="2531" t="str">
        <f ca="1">NUMBERSTRING(INT(N57*10000),2)&amp;"元整"</f>
        <v>贰仟叁佰壹拾捌万元整</v>
      </c>
      <c r="O58" s="2532"/>
    </row>
    <row r="59" spans="1:35" ht="24.75" thickBot="1">
      <c r="A59" s="3615" t="s">
        <v>1371</v>
      </c>
      <c r="B59" s="3616"/>
      <c r="C59" s="3616"/>
      <c r="D59" s="2556">
        <f ca="1">IF(H59="非个人房产","——",IF(H59="个人住宅（满五唯一有凭证）",0,IF(H59="个人其他（无凭证）",ROUND(D45*F59,0),ROUND(C67*F59,0))))</f>
        <v>38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613">
        <f>J57+1</f>
        <v>6</v>
      </c>
      <c r="K59" s="3612" t="s">
        <v>1372</v>
      </c>
      <c r="L59" s="2519" t="s">
        <v>1368</v>
      </c>
      <c r="M59" s="2533"/>
      <c r="N59" s="2534">
        <f ca="1">M49-N57</f>
        <v>1700</v>
      </c>
      <c r="O59" s="2535"/>
    </row>
    <row r="60" spans="1:35" ht="12" customHeight="1">
      <c r="A60" s="1807"/>
      <c r="B60" s="1745"/>
      <c r="C60" s="1745"/>
      <c r="D60" s="1745"/>
      <c r="E60" s="1576"/>
      <c r="F60" s="1806"/>
      <c r="G60" s="1806"/>
      <c r="H60" s="1808"/>
      <c r="I60" s="127"/>
      <c r="J60" s="3614"/>
      <c r="K60" s="3612"/>
      <c r="L60" s="2526" t="s">
        <v>1370</v>
      </c>
      <c r="M60" s="2530"/>
      <c r="N60" s="2531" t="str">
        <f ca="1">NUMBERSTRING(INT(N59*10000),2)&amp;"元整"</f>
        <v>壹仟柒佰万元整</v>
      </c>
      <c r="O60" s="2532"/>
    </row>
    <row r="61" spans="1:35" ht="13.5" thickBot="1">
      <c r="A61" s="3560" t="s">
        <v>1373</v>
      </c>
      <c r="B61" s="3560"/>
      <c r="C61" s="3560"/>
      <c r="D61" s="3560"/>
      <c r="E61" s="3560"/>
      <c r="F61" s="1806"/>
      <c r="G61" s="1806"/>
      <c r="H61" s="1808"/>
      <c r="I61" s="127"/>
      <c r="J61" s="2519">
        <f>J59+1</f>
        <v>7</v>
      </c>
      <c r="K61" s="3612" t="s">
        <v>1374</v>
      </c>
      <c r="L61" s="3612"/>
      <c r="M61" s="2536"/>
      <c r="N61" s="2537">
        <f ca="1">ROUND(N59*10000/'数据-汇总表'!E3,0)</f>
        <v>2847</v>
      </c>
      <c r="O61" s="2538"/>
    </row>
    <row r="62" spans="1:35" ht="12.75">
      <c r="A62" s="3578" t="s">
        <v>1375</v>
      </c>
      <c r="B62" s="3579"/>
      <c r="C62" s="2019"/>
      <c r="D62" s="2019" t="s">
        <v>1376</v>
      </c>
      <c r="E62" s="164" t="s">
        <v>1377</v>
      </c>
      <c r="F62" s="1806"/>
      <c r="G62" s="1806"/>
      <c r="H62" s="1808"/>
      <c r="I62" s="127"/>
    </row>
    <row r="63" spans="1:35" ht="12.75">
      <c r="A63" s="171" t="s">
        <v>330</v>
      </c>
      <c r="B63" s="165" t="s">
        <v>1378</v>
      </c>
      <c r="C63" s="2560">
        <f ca="1">ROUND((C64+C65)/(1+'数据-取费表'!C42),0)</f>
        <v>3827</v>
      </c>
      <c r="D63" s="165"/>
      <c r="E63" s="166"/>
      <c r="F63" s="1806"/>
      <c r="G63" s="1806"/>
      <c r="H63" s="1808"/>
      <c r="I63" s="127"/>
      <c r="J63" s="3637" t="s">
        <v>1379</v>
      </c>
      <c r="K63" s="1330" t="s">
        <v>1380</v>
      </c>
      <c r="L63" s="1330">
        <f ca="1">IF(M49&gt;10000,M49*0.5%,IF(AND(M49&gt;1000,M49&lt;=10000),M49*1%,IF(AND(M49&gt;100,M49&lt;=1000),M49*3%,IF(AND(M49&gt;10,M49&lt;=100),M49*5%,M49*8%))))</f>
        <v>40.18</v>
      </c>
      <c r="M63" s="300">
        <f ca="1">ROUND(L63,1)</f>
        <v>40.200000000000003</v>
      </c>
      <c r="N63" s="2539"/>
      <c r="Z63" s="1750"/>
      <c r="AI63" s="1751"/>
    </row>
    <row r="64" spans="1:35" ht="14.25" customHeight="1">
      <c r="A64" s="167" t="s">
        <v>325</v>
      </c>
      <c r="B64" s="168" t="s">
        <v>1381</v>
      </c>
      <c r="C64" s="2561">
        <f ca="1">D45</f>
        <v>4018</v>
      </c>
      <c r="D64" s="168" t="s">
        <v>26</v>
      </c>
      <c r="E64" s="170"/>
      <c r="F64" s="1806"/>
      <c r="G64" s="1806"/>
      <c r="H64" s="1808"/>
      <c r="I64" s="127"/>
      <c r="J64" s="3637"/>
      <c r="K64" s="1330" t="s">
        <v>1382</v>
      </c>
      <c r="L64" s="1330">
        <f ca="1">IF(M49&gt;2000,M49*0.5%,IF(AND(M49&gt;1000,M49&lt;=2000),M49*0.6%,IF(AND(M49&gt;500,M49&lt;=1000),M49*0.7%,IF(AND(M49&gt;200,M49&lt;=500),M49*0.8%,IF(AND(M49&gt;100,M49&lt;=200),M49*0.9%,IF(AND(M49&gt;50,M49&lt;=100),M49*1%,IF(AND(M49&gt;20,M49&lt;=50),M49*1.5%,IF(AND(M49&gt;10,M49&lt;=20),M49*2%,IF(AND(M49&gt;1,M49&lt;=10),M49*2.5%)))))))))</f>
        <v>20.09</v>
      </c>
      <c r="M64" s="300">
        <f t="shared" ref="M64:M65" ca="1" si="1">ROUND(L64,1)</f>
        <v>20.100000000000001</v>
      </c>
      <c r="N64" s="2540" t="s">
        <v>1383</v>
      </c>
      <c r="Z64" s="1750"/>
      <c r="AI64" s="1751"/>
    </row>
    <row r="65" spans="1:35" ht="14.25" customHeight="1">
      <c r="A65" s="167" t="s">
        <v>326</v>
      </c>
      <c r="B65" s="168" t="s">
        <v>1384</v>
      </c>
      <c r="C65" s="2562"/>
      <c r="D65" s="168"/>
      <c r="E65" s="170"/>
      <c r="F65" s="1806"/>
      <c r="G65" s="1806"/>
      <c r="H65" s="1808"/>
      <c r="I65" s="127"/>
      <c r="J65" s="3637"/>
      <c r="K65" s="1330" t="s">
        <v>1385</v>
      </c>
      <c r="L65" s="1330">
        <f ca="1">IF(M49&gt;1000,M49*0.1%,IF(AND(M49&gt;500,M49&lt;=1000),M49*0.5%,IF(AND(M49&gt;50,M49&lt;=500),M49*1%,IF(AND(M49&gt;1,M49&lt;=50),M49*1.5%))))</f>
        <v>4.0179999999999998</v>
      </c>
      <c r="M65" s="300">
        <f t="shared" ca="1" si="1"/>
        <v>4</v>
      </c>
      <c r="N65" s="2540" t="s">
        <v>1383</v>
      </c>
      <c r="Z65" s="1750"/>
      <c r="AI65" s="1751"/>
    </row>
    <row r="66" spans="1:35" ht="14.25" customHeight="1">
      <c r="A66" s="171" t="s">
        <v>327</v>
      </c>
      <c r="B66" s="172" t="s">
        <v>1386</v>
      </c>
      <c r="C66" s="2563"/>
      <c r="D66" s="172" t="s">
        <v>26</v>
      </c>
      <c r="E66" s="1336" t="s">
        <v>671</v>
      </c>
      <c r="F66" s="1806"/>
      <c r="G66" s="1806"/>
      <c r="H66" s="1808"/>
      <c r="I66" s="127"/>
      <c r="J66" s="3637"/>
      <c r="K66" s="1330" t="s">
        <v>1387</v>
      </c>
      <c r="L66" s="1330">
        <f ca="1">M49*0.5%</f>
        <v>20.09</v>
      </c>
      <c r="M66" s="300">
        <f ca="1">IF(L66&gt;0.5,0.5,ROUND(L66,0))</f>
        <v>0.5</v>
      </c>
      <c r="N66" s="2540" t="s">
        <v>1388</v>
      </c>
      <c r="Z66" s="1750"/>
      <c r="AI66" s="1751"/>
    </row>
    <row r="67" spans="1:35" ht="14.25" customHeight="1">
      <c r="A67" s="171" t="s">
        <v>328</v>
      </c>
      <c r="B67" s="172" t="s">
        <v>1389</v>
      </c>
      <c r="C67" s="2564">
        <f ca="1">C63-C66</f>
        <v>3827</v>
      </c>
      <c r="D67" s="168" t="s">
        <v>26</v>
      </c>
      <c r="E67" s="170"/>
      <c r="F67" s="1806"/>
      <c r="G67" s="1806"/>
      <c r="H67" s="1808"/>
      <c r="I67" s="127"/>
      <c r="J67" s="3637"/>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539"/>
      <c r="Z67" s="1750"/>
      <c r="AI67" s="1751"/>
    </row>
    <row r="68" spans="1:35" ht="14.25" customHeight="1" thickBot="1">
      <c r="A68" s="174" t="s">
        <v>329</v>
      </c>
      <c r="B68" s="175" t="s">
        <v>1391</v>
      </c>
      <c r="C68" s="2565">
        <f ca="1">IF(C67&lt;=0,0,ROUND(C67*D68,0))</f>
        <v>210</v>
      </c>
      <c r="D68" s="2566">
        <f>'数据-取费表'!B41</f>
        <v>5.5000000000000007E-2</v>
      </c>
      <c r="E68" s="176"/>
      <c r="F68" s="1806"/>
      <c r="G68" s="1806"/>
      <c r="H68" s="1808"/>
      <c r="I68" s="127"/>
      <c r="J68" s="3637"/>
      <c r="K68" s="1330" t="s">
        <v>1392</v>
      </c>
      <c r="L68" s="1330">
        <f ca="1">IF(M49&gt;10000,M49*0.5%,IF(AND(M49&gt;5000,M49&lt;=10000),M49*1%,IF(AND(M49&gt;1000,M49&lt;=5000),M49*2%,IF(AND(M49&gt;200,M49&lt;=1000),M49*3%,M49*5%))))</f>
        <v>80.36</v>
      </c>
      <c r="M68" s="300">
        <f ca="1">ROUND(L68,1)</f>
        <v>80.400000000000006</v>
      </c>
      <c r="N68" s="2539"/>
      <c r="Z68" s="1750"/>
      <c r="AI68" s="1751"/>
    </row>
    <row r="69" spans="1:35" s="1770" customFormat="1" ht="16.5" customHeight="1">
      <c r="A69" s="1809"/>
      <c r="B69" s="1810"/>
      <c r="C69" s="1811"/>
      <c r="D69" s="1812"/>
      <c r="E69" s="1813"/>
      <c r="F69" s="1576"/>
      <c r="G69" s="1576"/>
      <c r="H69" s="1575"/>
      <c r="I69" s="1745"/>
      <c r="J69" s="3637"/>
      <c r="K69" s="1330" t="s">
        <v>1393</v>
      </c>
      <c r="L69" s="1330"/>
      <c r="M69" s="300">
        <f ca="1">ROUND(SUM(M63:M68),0)</f>
        <v>148</v>
      </c>
      <c r="N69" s="2541">
        <f ca="1">M69/M49</f>
        <v>3.6834245893479341E-2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7" t="s">
        <v>1377</v>
      </c>
      <c r="F71" s="178"/>
      <c r="G71" s="178"/>
      <c r="H71" s="179"/>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4">
        <f ca="1">ROUND(D45/(1+'数据-取费表'!C42),0)</f>
        <v>3827</v>
      </c>
      <c r="D72" s="168" t="s">
        <v>26</v>
      </c>
      <c r="E72" s="2329"/>
      <c r="F72" s="2328"/>
      <c r="G72" s="2328"/>
      <c r="H72" s="180"/>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4">
        <f ca="1">C74+C78</f>
        <v>19</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7"/>
      <c r="D75" s="168" t="s">
        <v>26</v>
      </c>
      <c r="E75" s="182" t="s">
        <v>1399</v>
      </c>
      <c r="F75" s="2568"/>
      <c r="G75" s="182" t="s">
        <v>1400</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0">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1">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2">
        <f ca="1">ROUND(D45*D78/(1+'数据-取费表'!C42),0)</f>
        <v>19</v>
      </c>
      <c r="D78" s="2573">
        <f>'数据-取费表'!B43</f>
        <v>5.000000000000001E-3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4">
        <f ca="1">C72-C73</f>
        <v>3808</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4">
        <f ca="1">IF(C79&lt;=0,0,C79/C73)</f>
        <v>200.42105263157896</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5">
        <f ca="1">ROUND(IF(C79&lt;=0,0,IF(C80&gt;=200%,C79*60%-C73*35%,IF(C80&gt;=100%,C79*50%-C73*15%,IF(C80&gt;=50%,C79*40%-C73*5%,IF(C80&lt;50%,C79*30%,0))))),0)</f>
        <v>2278</v>
      </c>
      <c r="D81" s="2576"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4">
        <f ca="1">ROUND(D45/(1+'数据-取费表'!C42),0)</f>
        <v>3827</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4">
        <f ca="1">IF(H88="仅含出让金",C87+C90+C91+C92+C93+C94,C87+C91+C92+C93+C94)</f>
        <v>19</v>
      </c>
      <c r="D86" s="2577"/>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78"/>
      <c r="D88" s="2573"/>
      <c r="E88" s="191" t="s">
        <v>1413</v>
      </c>
      <c r="F88" s="2325"/>
      <c r="G88" s="192" t="s">
        <v>1414</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2">
        <f>ROUND(C88*D89,0)</f>
        <v>0</v>
      </c>
      <c r="D89" s="2573">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78"/>
      <c r="D90" s="2573"/>
      <c r="E90" s="191" t="str">
        <f>IF(H88="-","土地取得成本中已包含该笔费用"," ")</f>
        <v xml:space="preserve"> </v>
      </c>
      <c r="F90" s="2325"/>
      <c r="G90" s="3639" t="s">
        <v>2129</v>
      </c>
      <c r="H90" s="3640"/>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2">
        <f>IF(H91="——",成本法!C33,I91)</f>
        <v>0</v>
      </c>
      <c r="D91" s="2573"/>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2">
        <f>ROUND((C87+C90+C91)*D92,0)</f>
        <v>0</v>
      </c>
      <c r="D92" s="2579"/>
      <c r="E92" s="3557" t="s">
        <v>1422</v>
      </c>
      <c r="F92" s="3558"/>
      <c r="G92" s="3558"/>
      <c r="H92" s="3567"/>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2">
        <f ca="1">ROUND(D45*D93/(1+'数据-取费表'!C42),0)</f>
        <v>19</v>
      </c>
      <c r="D93" s="2573">
        <f>'数据-取费表'!B43</f>
        <v>5.000000000000001E-3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78">
        <f>ROUND((C87+C90+C91)*D94,0)</f>
        <v>0</v>
      </c>
      <c r="D94" s="2573">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4">
        <f ca="1">ROUND(C85-C86,0)</f>
        <v>3808</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4">
        <f ca="1">IF(C95&lt;=0,0,C95/C86)</f>
        <v>200.42105263157896</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5">
        <f ca="1">ROUND(IF(C95&lt;=0,0,IF(C96&gt;=200%,C95*60%-C86*35%,IF(C96&gt;=100%,C95*50%-C86*15%,IF(C96&gt;=50%,C95*40%-C86*5%,IF(C96&lt;50%,C95*30%,0))))),0)</f>
        <v>2278</v>
      </c>
      <c r="D97" s="2576"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1" t="s">
        <v>1428</v>
      </c>
      <c r="B100" s="3542"/>
      <c r="C100" s="3542"/>
      <c r="D100" s="3559"/>
      <c r="E100" s="3542" t="s">
        <v>1429</v>
      </c>
      <c r="F100" s="3542"/>
      <c r="G100" s="3542"/>
      <c r="H100" s="3559"/>
      <c r="I100" s="127"/>
    </row>
    <row r="101" spans="1:35" ht="18.75" customHeight="1">
      <c r="A101" s="3620" t="s">
        <v>1430</v>
      </c>
      <c r="B101" s="3621"/>
      <c r="C101" s="2581" t="str">
        <f>C4</f>
        <v>成本法</v>
      </c>
      <c r="D101" s="2582" t="str">
        <f>D4</f>
        <v>收益法</v>
      </c>
      <c r="E101" s="3634" t="s">
        <v>1431</v>
      </c>
      <c r="F101" s="3591"/>
      <c r="G101" s="1825" t="s">
        <v>1432</v>
      </c>
      <c r="H101" s="2591">
        <f ca="1">H118</f>
        <v>4018</v>
      </c>
      <c r="I101" s="127"/>
    </row>
    <row r="102" spans="1:35" ht="18.75" customHeight="1">
      <c r="A102" s="3593" t="s">
        <v>1433</v>
      </c>
      <c r="B102" s="2580" t="s">
        <v>1432</v>
      </c>
      <c r="C102" s="2581">
        <f ca="1">IF(D32="楼面单价",ROUND(C19,0),C19)</f>
        <v>3623</v>
      </c>
      <c r="D102" s="2582">
        <f ca="1">IF(D32="楼面单价",ROUND(D19,0),D19)</f>
        <v>4413</v>
      </c>
      <c r="E102" s="3634"/>
      <c r="F102" s="3591"/>
      <c r="G102" s="1825" t="s">
        <v>1434</v>
      </c>
      <c r="H102" s="2551">
        <f ca="1">I118</f>
        <v>6729</v>
      </c>
      <c r="I102" s="127"/>
    </row>
    <row r="103" spans="1:35" ht="42.75" customHeight="1">
      <c r="A103" s="3593"/>
      <c r="B103" s="2580" t="s">
        <v>1434</v>
      </c>
      <c r="C103" s="2583">
        <f ca="1">C20</f>
        <v>6068</v>
      </c>
      <c r="D103" s="2584">
        <f ca="1">D20</f>
        <v>7391</v>
      </c>
      <c r="E103" s="3628" t="s">
        <v>1435</v>
      </c>
      <c r="F103" s="3629"/>
      <c r="G103" s="1826" t="s">
        <v>1436</v>
      </c>
      <c r="H103" s="2591">
        <f>IF(D36="正常操作",H104+H105+H106,H105+H106)</f>
        <v>0</v>
      </c>
      <c r="I103" s="127"/>
    </row>
    <row r="104" spans="1:35" ht="18.75" customHeight="1">
      <c r="A104" s="3593" t="s">
        <v>1437</v>
      </c>
      <c r="B104" s="2585" t="s">
        <v>1432</v>
      </c>
      <c r="C104" s="2586">
        <f ca="1">H118</f>
        <v>4018</v>
      </c>
      <c r="D104" s="2587"/>
      <c r="E104" s="1672" t="s">
        <v>1438</v>
      </c>
      <c r="F104" s="1664"/>
      <c r="G104" s="1826" t="s">
        <v>1436</v>
      </c>
      <c r="H104" s="2592">
        <f>IF(D36="同一抵押权人同一抵押物续贷",C36&amp;"（续贷，未扣减，详见特别提示）",C36)</f>
        <v>0</v>
      </c>
      <c r="I104" s="127"/>
    </row>
    <row r="105" spans="1:35" ht="18.75" customHeight="1" thickBot="1">
      <c r="A105" s="3594"/>
      <c r="B105" s="2588" t="s">
        <v>1434</v>
      </c>
      <c r="C105" s="2589">
        <f ca="1">I118</f>
        <v>6729</v>
      </c>
      <c r="D105" s="2590"/>
      <c r="E105" s="1672" t="s">
        <v>1439</v>
      </c>
      <c r="F105" s="1664"/>
      <c r="G105" s="1826" t="s">
        <v>1436</v>
      </c>
      <c r="H105" s="2593">
        <f>C37</f>
        <v>0</v>
      </c>
      <c r="I105" s="127"/>
    </row>
    <row r="106" spans="1:35" ht="18.75" customHeight="1">
      <c r="A106" s="1745" t="s">
        <v>1440</v>
      </c>
      <c r="B106" s="1745"/>
      <c r="C106" s="1745"/>
      <c r="D106" s="1745"/>
      <c r="E106" s="1827" t="s">
        <v>1441</v>
      </c>
      <c r="F106" s="1664"/>
      <c r="G106" s="1826" t="s">
        <v>1436</v>
      </c>
      <c r="H106" s="2593">
        <f>C38</f>
        <v>0</v>
      </c>
      <c r="I106" s="127"/>
    </row>
    <row r="107" spans="1:35" ht="18.75" customHeight="1">
      <c r="A107" s="127"/>
      <c r="B107" s="127"/>
      <c r="C107" s="127"/>
      <c r="D107" s="127"/>
      <c r="E107" s="3590" t="str">
        <f>IF(项目基本情况!E8="已注销","——","3.房地产抵押价值")</f>
        <v>3.房地产抵押价值</v>
      </c>
      <c r="F107" s="3591"/>
      <c r="G107" s="1825" t="s">
        <v>1432</v>
      </c>
      <c r="H107" s="2591">
        <f ca="1">IF(E107="——","——",H101-H103)</f>
        <v>4018</v>
      </c>
      <c r="I107" s="127"/>
    </row>
    <row r="108" spans="1:35" ht="18.75" customHeight="1">
      <c r="A108" s="127"/>
      <c r="B108" s="127"/>
      <c r="C108" s="127"/>
      <c r="D108" s="127"/>
      <c r="E108" s="3590"/>
      <c r="F108" s="3591"/>
      <c r="G108" s="1825" t="s">
        <v>1434</v>
      </c>
      <c r="H108" s="2551">
        <f ca="1">IF(H107=H101,H102,ROUND(H107*10000/'数据-汇总表'!E3,0))</f>
        <v>6729</v>
      </c>
      <c r="I108" s="127"/>
    </row>
    <row r="109" spans="1:35" ht="18.75" customHeight="1">
      <c r="A109" s="127"/>
      <c r="B109" s="127"/>
      <c r="C109" s="127"/>
      <c r="D109" s="127"/>
      <c r="E109" s="3590" t="str">
        <f>IF(项目基本情况!E8="已注销及未注销","4.抵押担保权已注销时的房地产抵押价值",IF(项目基本情况!E8="已注销","3.抵押担保权已注销时的房地产抵押价值","——"))</f>
        <v>——</v>
      </c>
      <c r="F109" s="3591"/>
      <c r="G109" s="1825" t="s">
        <v>1432</v>
      </c>
      <c r="H109" s="2594" t="str">
        <f>IF(E109="——","——",H101-H105-H106)</f>
        <v>——</v>
      </c>
      <c r="I109" s="127"/>
    </row>
    <row r="110" spans="1:35" ht="18.75" customHeight="1">
      <c r="A110" s="127"/>
      <c r="B110" s="127"/>
      <c r="C110" s="127"/>
      <c r="D110" s="127"/>
      <c r="E110" s="3590"/>
      <c r="F110" s="3591"/>
      <c r="G110" s="1825" t="s">
        <v>1434</v>
      </c>
      <c r="H110" s="2551" t="str">
        <f>IF(H109="——","——",ROUND(H109*10000/'数据-汇总表'!E3,0))</f>
        <v>——</v>
      </c>
      <c r="I110" s="127"/>
    </row>
    <row r="111" spans="1:35" ht="18.75" customHeight="1">
      <c r="A111" s="127"/>
      <c r="B111" s="127"/>
      <c r="C111" s="127"/>
      <c r="D111" s="127"/>
      <c r="E111" s="3622" t="str">
        <f>IF(项目基本情况!E9="抵押净值",IF(OR(项目基本情况!E8="已注销",项目基本情况!E8="房地产抵押价值"),"4.抵押净值","5.抵押净值"),"——")</f>
        <v>——</v>
      </c>
      <c r="F111" s="3592"/>
      <c r="G111" s="1825" t="s">
        <v>1432</v>
      </c>
      <c r="H111" s="2591" t="str">
        <f>IF(E111="——","——",N59)</f>
        <v>——</v>
      </c>
      <c r="I111" s="127"/>
    </row>
    <row r="112" spans="1:35" ht="18.75" customHeight="1" thickBot="1">
      <c r="A112" s="127"/>
      <c r="B112" s="127"/>
      <c r="C112" s="127"/>
      <c r="D112" s="127"/>
      <c r="E112" s="3623"/>
      <c r="F112" s="3624"/>
      <c r="G112" s="1828" t="s">
        <v>1434</v>
      </c>
      <c r="H112" s="2595" t="str">
        <f>IF(E111="——","——",N61)</f>
        <v>——</v>
      </c>
      <c r="I112" s="127"/>
    </row>
    <row r="113" spans="1:27" ht="18.75" customHeight="1">
      <c r="A113" s="127"/>
      <c r="B113" s="127"/>
      <c r="C113" s="127"/>
      <c r="D113" s="127"/>
      <c r="E113" s="3595" t="s">
        <v>1440</v>
      </c>
      <c r="F113" s="3595"/>
      <c r="G113" s="3595"/>
      <c r="H113" s="3595"/>
      <c r="I113" s="127"/>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6" t="str">
        <f>项目基本情况!S2</f>
        <v>北京市延庆区康庄镇西桑园南区5号院1号楼01等房地产</v>
      </c>
      <c r="B118" s="2327">
        <f>M18</f>
        <v>5970.96</v>
      </c>
      <c r="C118" s="2327">
        <f>M19</f>
        <v>7248.99</v>
      </c>
      <c r="D118" s="2327">
        <f ca="1">ROUND(IF(D32="总价",C34,E118*B118/10000),0)</f>
        <v>683</v>
      </c>
      <c r="E118" s="2327">
        <f ca="1">ROUND(IF(C33="自定义",IF(D32="楼面单价",C34,D118*10000/B118),I118-G118),0)</f>
        <v>1144</v>
      </c>
      <c r="F118" s="2327">
        <f ca="1">ROUND(IF(D32="总价",C35,G118*B118/10000),0)</f>
        <v>3335</v>
      </c>
      <c r="G118" s="2327">
        <f ca="1">ROUND(IF(D32="楼面单价",C35,F118*10000/B118),0)</f>
        <v>5585</v>
      </c>
      <c r="H118" s="2327">
        <f ca="1">ROUND(IF(D32="总价",C32,I118*B118/10000),0)</f>
        <v>4018</v>
      </c>
      <c r="I118" s="2327">
        <f ca="1">ROUND(IF(D32="楼面单价",C32,H118*10000/B118),0)</f>
        <v>6729</v>
      </c>
    </row>
    <row r="119" spans="1:27" ht="18.75" customHeight="1">
      <c r="A119" s="3561" t="s">
        <v>1452</v>
      </c>
      <c r="B119" s="3561"/>
      <c r="C119" s="3561"/>
      <c r="D119" s="3601" t="str">
        <f ca="1">NUMBERSTRING(INT(D118*10000),2)&amp;"元整"</f>
        <v>陆佰捌拾叁万元整</v>
      </c>
      <c r="E119" s="3603"/>
      <c r="F119" s="3601" t="str">
        <f ca="1">NUMBERSTRING(INT(F118*10000),2)&amp;"元整"</f>
        <v>叁仟叁佰叁拾伍万元整</v>
      </c>
      <c r="G119" s="3603"/>
      <c r="H119" s="3601" t="str">
        <f ca="1">NUMBERSTRING(INT(H118*10000),2)&amp;"元整"</f>
        <v>肆仟零壹拾捌万元整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房地产抵押价值</v>
      </c>
      <c r="B122" s="3592"/>
      <c r="C122" s="3592"/>
      <c r="D122" s="3625">
        <f ca="1">H107</f>
        <v>4018</v>
      </c>
      <c r="E122" s="3626"/>
      <c r="F122" s="3626"/>
      <c r="G122" s="3626"/>
      <c r="H122" s="3626"/>
      <c r="I122" s="3627"/>
      <c r="AA122" s="723"/>
    </row>
    <row r="123" spans="1:27" ht="18.75" customHeight="1">
      <c r="A123" s="3561" t="s">
        <v>1452</v>
      </c>
      <c r="B123" s="3561"/>
      <c r="C123" s="3561"/>
      <c r="D123" s="3601" t="str">
        <f ca="1">NUMBERSTRING(INT(D122*10000),2)&amp;"元整"</f>
        <v>肆仟零壹拾捌万元整</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7248.99</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391</v>
      </c>
      <c r="C2" s="1997" t="s">
        <v>1935</v>
      </c>
      <c r="D2" s="1998" t="s">
        <v>1936</v>
      </c>
      <c r="E2" s="3418"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Ⅹ-延4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1.5418000000000001</v>
      </c>
      <c r="T2" s="3357">
        <f t="shared" ref="T2:T16" si="0">ROUND($C$5*$C$22*$C$23*$C$24*S2*$C$28,0)</f>
        <v>833</v>
      </c>
      <c r="U2" s="1211"/>
      <c r="V2" s="3357">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539</v>
      </c>
      <c r="C3" s="1997" t="s">
        <v>1941</v>
      </c>
      <c r="D3" s="1998" t="s">
        <v>1942</v>
      </c>
      <c r="E3" s="3416" t="s">
        <v>2480</v>
      </c>
      <c r="F3" s="2002" t="s">
        <v>3401</v>
      </c>
      <c r="G3" s="750">
        <f>IF(F3="宗地容积率",'数据-汇总表'!I4,IF(F3="估价对象容积率",'数据-汇总表'!I6,'数据-汇总表'!I7))</f>
        <v>1</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1.1883999999999999</v>
      </c>
      <c r="T3" s="3357">
        <f t="shared" si="0"/>
        <v>642</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648"/>
      <c r="B4" s="3649"/>
      <c r="C4" s="3649"/>
      <c r="D4" s="3650"/>
      <c r="E4" s="3650"/>
      <c r="F4" s="3650"/>
      <c r="G4" s="3650"/>
      <c r="H4" s="3650"/>
      <c r="I4" s="3650"/>
      <c r="J4" s="365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0.96940000000000004</v>
      </c>
      <c r="T4" s="3357">
        <f t="shared" si="0"/>
        <v>524</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640</v>
      </c>
      <c r="D5" s="1337">
        <f>ROUND(C6*C17+C20,0)</f>
        <v>640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0.82299999999999995</v>
      </c>
      <c r="T5" s="3357">
        <f t="shared" si="0"/>
        <v>445</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600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0.74980000000000002</v>
      </c>
      <c r="T6" s="3357">
        <f t="shared" si="0"/>
        <v>405</v>
      </c>
      <c r="U6" s="1211"/>
      <c r="V6" s="3357">
        <f t="shared" si="1"/>
        <v>0</v>
      </c>
      <c r="W6" s="1214"/>
      <c r="X6" s="1214"/>
      <c r="Y6" s="1214"/>
      <c r="Z6" s="1214"/>
      <c r="AA6" s="1214"/>
      <c r="AB6" s="1214"/>
      <c r="AC6" s="2009"/>
      <c r="AD6" s="2010"/>
      <c r="AE6" s="2010"/>
      <c r="AF6" s="2010"/>
      <c r="AG6" s="2010"/>
      <c r="AH6" s="2010"/>
      <c r="AI6" s="2010"/>
      <c r="AJ6" s="2011"/>
    </row>
    <row r="7" spans="1:36" ht="24.75" thickBot="1">
      <c r="A7" s="3300"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1955</v>
      </c>
      <c r="X7" s="1212" t="str">
        <f>G2</f>
        <v>十级</v>
      </c>
      <c r="Y7" s="1212" t="s">
        <v>1956</v>
      </c>
      <c r="Z7" s="1213">
        <f>G3</f>
        <v>1</v>
      </c>
      <c r="AA7" s="1214"/>
      <c r="AB7" s="1214"/>
      <c r="AC7" s="1215"/>
      <c r="AD7" s="1216"/>
      <c r="AE7" s="1216"/>
      <c r="AF7" s="1216"/>
      <c r="AG7" s="1216"/>
      <c r="AH7" s="1216"/>
      <c r="AI7" s="1216"/>
      <c r="AJ7" s="1217"/>
    </row>
    <row r="8" spans="1:36" ht="25.5">
      <c r="A8" s="3295"/>
      <c r="B8" s="168" t="s">
        <v>1957</v>
      </c>
      <c r="C8" s="2024" t="s">
        <v>3402</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645" t="s">
        <v>1960</v>
      </c>
      <c r="X8" s="364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647"/>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600</v>
      </c>
      <c r="N10" s="864">
        <f>SUMPRODUCT((因素修正幅度!B327:B357=I2)*(因素修正幅度!C3:G3=E2)*(因素修正幅度!C327:G357))</f>
        <v>0.15</v>
      </c>
      <c r="O10" s="1117"/>
      <c r="P10" s="1117"/>
      <c r="Q10" s="1117"/>
      <c r="R10" s="1210">
        <v>9</v>
      </c>
      <c r="S10" s="1211"/>
      <c r="T10" s="3357">
        <f t="shared" si="0"/>
        <v>0</v>
      </c>
      <c r="U10" s="1211"/>
      <c r="V10" s="3357">
        <f t="shared" si="1"/>
        <v>0</v>
      </c>
      <c r="W10" s="364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3247</v>
      </c>
      <c r="B13" s="2032" t="s">
        <v>1982</v>
      </c>
      <c r="C13" s="753">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3248</v>
      </c>
      <c r="G14" s="3308" t="s">
        <v>3248</v>
      </c>
      <c r="H14" s="3308" t="s">
        <v>3248</v>
      </c>
      <c r="I14" s="3308" t="s">
        <v>3248</v>
      </c>
      <c r="J14" s="3308" t="s">
        <v>3248</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3249</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3253</v>
      </c>
      <c r="E18" s="3325"/>
      <c r="F18" s="3320" t="s">
        <v>3256</v>
      </c>
      <c r="G18" s="3324">
        <f>ROUND(1-(1/(POWER(1+G24,E18))),4)</f>
        <v>0</v>
      </c>
      <c r="H18" s="3320" t="s">
        <v>3258</v>
      </c>
      <c r="I18" s="3324">
        <f>ROUND(1-(1/(POWER(1+G24,J24))),4)</f>
        <v>0.91279999999999994</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3254</v>
      </c>
      <c r="E19" s="3334"/>
      <c r="F19" s="3335" t="s">
        <v>3257</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652" t="s">
        <v>3259</v>
      </c>
      <c r="B20" s="165" t="s">
        <v>1994</v>
      </c>
      <c r="C20" s="3321">
        <f>ROUND(IF(F21="与级别开发程度一致",0,(G21-E21)/C21),0)</f>
        <v>40</v>
      </c>
      <c r="D20" s="3337" t="s">
        <v>1998</v>
      </c>
      <c r="E20" s="3338"/>
      <c r="F20" s="3658" t="s">
        <v>1995</v>
      </c>
      <c r="G20" s="3659"/>
      <c r="H20" s="3322" t="s">
        <v>3387</v>
      </c>
      <c r="I20" s="3322" t="s">
        <v>3388</v>
      </c>
      <c r="J20" s="3323" t="s">
        <v>3389</v>
      </c>
      <c r="K20" s="2045" t="s">
        <v>3390</v>
      </c>
      <c r="L20" s="2045" t="s">
        <v>3391</v>
      </c>
      <c r="M20" s="2045" t="s">
        <v>3392</v>
      </c>
      <c r="N20" s="2045" t="s">
        <v>3406</v>
      </c>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653"/>
      <c r="B21" s="2162" t="s">
        <v>1997</v>
      </c>
      <c r="C21" s="2163">
        <f>IF(E3="M4科研用地",SUMPRODUCT((修正!A2:A7=E3)*(修正!B1:M1=G2)*(修正!B2:M7)),SUMPRODUCT((修正!A2:A7=E2)*(修正!B1:M1=G2)*(修正!B2:M7)))</f>
        <v>1</v>
      </c>
      <c r="D21" s="185" t="str">
        <f>IF(OR(G2="八级",G2="九级",G2="十级",G2="十一级",G2="十二级"),"五通一平","七通一平")</f>
        <v>五通一平</v>
      </c>
      <c r="E21" s="2153">
        <f>SUMPRODUCT((修正!B1:M1=G2)*(修正!B17:M17))</f>
        <v>185</v>
      </c>
      <c r="F21" s="2154" t="s">
        <v>3407</v>
      </c>
      <c r="G21" s="2155">
        <f>SUM(H21:O21)</f>
        <v>225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40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2" t="s">
        <v>2002</v>
      </c>
      <c r="E23" s="759">
        <v>44197</v>
      </c>
      <c r="F23" s="2052" t="s">
        <v>2003</v>
      </c>
      <c r="G23" s="760">
        <f>'数据-取费表'!B2</f>
        <v>44985</v>
      </c>
      <c r="H23" s="3339" t="s">
        <v>3261</v>
      </c>
      <c r="I23" s="3340" t="str">
        <f>IF(H23="季度增幅（自定义）",SUMIF(N25:N28,E2,O25:O28),"")</f>
        <v/>
      </c>
      <c r="J23" s="3442" t="s">
        <v>3260</v>
      </c>
      <c r="K23" s="1123"/>
      <c r="L23" s="2053" t="s">
        <v>2004</v>
      </c>
      <c r="M23" s="1326">
        <f>ROUND(SUMIF(地价!B2:G2,E2,地价!B16:G16),0)</f>
        <v>318</v>
      </c>
      <c r="N23" s="2054" t="s">
        <v>2005</v>
      </c>
      <c r="O23" s="761">
        <f>ROUNDDOWN(DATEDIF(E23,G23,"M")/3,0)</f>
        <v>8</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0.83030000000000004</v>
      </c>
      <c r="D24" s="2058" t="s">
        <v>2007</v>
      </c>
      <c r="E24" s="1333">
        <f>存贷款利率!E22/100</f>
        <v>4.3499999999999997E-2</v>
      </c>
      <c r="F24" s="2058" t="s">
        <v>1999</v>
      </c>
      <c r="G24" s="766">
        <f>SUMIF(M30:Q30,E2,M33:Q33)</f>
        <v>0.05</v>
      </c>
      <c r="H24" s="2058" t="s">
        <v>2008</v>
      </c>
      <c r="I24" s="767">
        <f>SUMIF('数据-取费表'!C6:C15,E2,'数据-取费表'!F6:F15)/COUNTIF('数据-取费表'!C6:C15,E2)</f>
        <v>29.07</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3340</v>
      </c>
      <c r="C25" s="769">
        <f>IF(B25="容积率修正",IF(G3&lt;10,D26,J26),C27)</f>
        <v>1</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1" t="s">
        <v>3262</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3263</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0.96779999999999999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391</v>
      </c>
      <c r="D30" s="2081"/>
      <c r="E30" s="2044"/>
      <c r="F30" s="2082"/>
      <c r="G30" s="2044"/>
      <c r="H30" s="2044"/>
      <c r="I30" s="2044"/>
      <c r="J30" s="2083"/>
      <c r="K30" s="1117"/>
      <c r="L30" s="3347" t="s">
        <v>1936</v>
      </c>
      <c r="M30" s="3348" t="s">
        <v>1990</v>
      </c>
      <c r="N30" s="3348" t="s">
        <v>1991</v>
      </c>
      <c r="O30" s="3348" t="s">
        <v>1992</v>
      </c>
      <c r="P30" s="3348" t="s">
        <v>1993</v>
      </c>
      <c r="Q30" s="3351"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540</v>
      </c>
      <c r="D33" s="2096">
        <f>'数据-汇总表'!D3</f>
        <v>7248.99</v>
      </c>
      <c r="E33" s="771">
        <f>ROUND(C33*D33/10000,0)</f>
        <v>391</v>
      </c>
      <c r="F33" s="3342" t="s">
        <v>3265</v>
      </c>
      <c r="G33" s="2097"/>
      <c r="H33" s="2097"/>
      <c r="I33" s="2097"/>
      <c r="J33" s="2098"/>
      <c r="K33" s="1117"/>
      <c r="L33" s="3345" t="s">
        <v>3268</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81</v>
      </c>
      <c r="D34" s="2101"/>
      <c r="E34" s="771">
        <f>ROUND(IF(B25="楼层修正",SUM(V2:V16)*M40,C34*D34/10000),0)</f>
        <v>0</v>
      </c>
      <c r="F34" s="2102" t="s">
        <v>2032</v>
      </c>
      <c r="G34" s="2103"/>
      <c r="H34" s="2103"/>
      <c r="I34" s="2103"/>
      <c r="J34" s="2104"/>
      <c r="K34" s="1117"/>
      <c r="L34" s="3345" t="s">
        <v>3269</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56"/>
      <c r="B37" s="2111" t="s">
        <v>2036</v>
      </c>
      <c r="C37" s="173">
        <f>ROUND(D5*C22*C23*C24*C28*F37,0)</f>
        <v>270</v>
      </c>
      <c r="D37" s="2096"/>
      <c r="E37" s="169">
        <f>ROUND(C37*D37/10000,0)</f>
        <v>0</v>
      </c>
      <c r="F37" s="169">
        <f>SUMIF(修正!A57:A68,G2,修正!B57:B68)</f>
        <v>0.5</v>
      </c>
      <c r="G37" s="169">
        <f>ROUND(IF(E2="工业",C37*$M$42,C37*$M$41),0)</f>
        <v>41</v>
      </c>
      <c r="H37" s="169">
        <f>D37</f>
        <v>0</v>
      </c>
      <c r="I37" s="169">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7"/>
      <c r="B38" s="2039" t="s">
        <v>2037</v>
      </c>
      <c r="C38" s="173">
        <f>ROUND(D5*C22*C23*C24*C28*F38,0)</f>
        <v>108</v>
      </c>
      <c r="D38" s="2096"/>
      <c r="E38" s="169">
        <f t="shared" ref="E38:E42" si="4">ROUND(C38*D38/10000,0)</f>
        <v>0</v>
      </c>
      <c r="F38" s="169">
        <f>SUMIF(修正!A57:A68,G2,修正!C57:C68)</f>
        <v>0.2</v>
      </c>
      <c r="G38" s="169">
        <f>ROUND(IF(E2="工业",C38*$M$42,C38*$M$41),0)</f>
        <v>16</v>
      </c>
      <c r="H38" s="169">
        <f t="shared" ref="H38:H42" si="5">D38</f>
        <v>0</v>
      </c>
      <c r="I38" s="169">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657"/>
      <c r="B39" s="2039" t="s">
        <v>3264</v>
      </c>
      <c r="C39" s="173">
        <f>ROUND(D5*C22*C23*C24*C28*F39,0)</f>
        <v>108</v>
      </c>
      <c r="D39" s="2096"/>
      <c r="E39" s="169">
        <f t="shared" si="4"/>
        <v>0</v>
      </c>
      <c r="F39" s="169">
        <f>SUMIF(修正!A57:A68,G2,修正!D57:D68)</f>
        <v>0.2</v>
      </c>
      <c r="G39" s="169">
        <f>ROUND(IF(E2="工业",C39*$M$42,C39*$M$41),0)</f>
        <v>16</v>
      </c>
      <c r="H39" s="169">
        <f t="shared" si="5"/>
        <v>0</v>
      </c>
      <c r="I39" s="169">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108</v>
      </c>
      <c r="D40" s="2096"/>
      <c r="E40" s="169">
        <f t="shared" si="4"/>
        <v>0</v>
      </c>
      <c r="F40" s="173">
        <f>SUMIF(修正!A57:A68,G2,修正!E57:E68)</f>
        <v>0.2</v>
      </c>
      <c r="G40" s="169">
        <f>ROUND(IF(E2="工业",C40*$M$42,C40*$M$41),0)</f>
        <v>16</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0</v>
      </c>
      <c r="D41" s="2096"/>
      <c r="E41" s="169">
        <f t="shared" si="4"/>
        <v>0</v>
      </c>
      <c r="F41" s="173">
        <f>SUMIF(修正!A57:A68,G2,修正!F57:F68)</f>
        <v>0.2</v>
      </c>
      <c r="G41" s="169">
        <f>ROUND(IF(E2="工业",C41*$M$42,C41*$M$41),0)</f>
        <v>0</v>
      </c>
      <c r="H41" s="169">
        <f t="shared" si="5"/>
        <v>0</v>
      </c>
      <c r="I41" s="169">
        <f t="shared" si="6"/>
        <v>0</v>
      </c>
      <c r="J41" s="2112"/>
      <c r="L41" s="3356"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0</v>
      </c>
      <c r="D42" s="2101"/>
      <c r="E42" s="185">
        <f t="shared" si="4"/>
        <v>0</v>
      </c>
      <c r="F42" s="765">
        <f>SUMIF(修正!A57:A68,G2,修正!G57:G68)</f>
        <v>0.1</v>
      </c>
      <c r="G42" s="185">
        <f>ROUND(IF(E2="工业",C42*$M$42,C42*$M$41),0)</f>
        <v>0</v>
      </c>
      <c r="H42" s="185">
        <f t="shared" si="5"/>
        <v>0</v>
      </c>
      <c r="I42" s="185">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v>
      </c>
      <c r="D44" s="169" t="s">
        <v>1999</v>
      </c>
      <c r="E44" s="2151">
        <f>G24</f>
        <v>0.05</v>
      </c>
      <c r="F44" s="169" t="s">
        <v>2008</v>
      </c>
      <c r="G44" s="181"/>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5" t="s">
        <v>3274</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5" t="s">
        <v>3274</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5" t="s">
        <v>3274</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0.96779999999999999</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t="s">
        <v>3403</v>
      </c>
      <c r="D83" s="1063">
        <f t="shared" ref="D83:D90" si="22">SUMIF($J$82:$N$82,C83,J83:N83)</f>
        <v>-1.95E-2</v>
      </c>
      <c r="E83" s="742">
        <f>ROUND(SUM(D83:D90),4)</f>
        <v>-3.2199999999999999E-2</v>
      </c>
      <c r="F83" s="1812">
        <f>IF(E2="工业",SUMIF(L1:L12,G2,N1:N12),"——")</f>
        <v>0.15</v>
      </c>
      <c r="G83" s="1061">
        <v>1.95E-2</v>
      </c>
      <c r="H83" s="1064">
        <f t="shared" ref="H83:H90" si="23">IFERROR(ROUNDDOWN($F$83*I83/2,4),"——")</f>
        <v>1.95E-2</v>
      </c>
      <c r="I83" s="3363">
        <v>0.26</v>
      </c>
      <c r="J83" s="1062">
        <f t="shared" ref="J83:J90" si="24">K83+$G83</f>
        <v>3.9E-2</v>
      </c>
      <c r="K83" s="1062">
        <f t="shared" ref="K83:K90" si="25">$L83+$G83</f>
        <v>1.95E-2</v>
      </c>
      <c r="L83" s="1062">
        <v>0</v>
      </c>
      <c r="M83" s="1062">
        <f t="shared" ref="M83:N90" si="26">L83-$G83</f>
        <v>-1.95E-2</v>
      </c>
      <c r="N83" s="1062">
        <f t="shared" si="26"/>
        <v>-3.9E-2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3403</v>
      </c>
      <c r="D84" s="1063">
        <f t="shared" si="22"/>
        <v>-2.2499999999999999E-2</v>
      </c>
      <c r="E84" s="745"/>
      <c r="F84" s="1812"/>
      <c r="G84" s="1061">
        <v>2.2499999999999999E-2</v>
      </c>
      <c r="H84" s="1064">
        <f t="shared" si="23"/>
        <v>2.2499999999999999E-2</v>
      </c>
      <c r="I84" s="3363">
        <v>0.3</v>
      </c>
      <c r="J84" s="1062">
        <f t="shared" si="24"/>
        <v>4.4999999999999998E-2</v>
      </c>
      <c r="K84" s="1062">
        <f t="shared" si="25"/>
        <v>2.2499999999999999E-2</v>
      </c>
      <c r="L84" s="1062">
        <v>0</v>
      </c>
      <c r="M84" s="1062">
        <f t="shared" si="26"/>
        <v>-2.2499999999999999E-2</v>
      </c>
      <c r="N84" s="1062">
        <f t="shared" si="26"/>
        <v>-4.4999999999999998E-2</v>
      </c>
      <c r="Z84" s="1996"/>
      <c r="AA84" s="2051"/>
      <c r="AG84" s="1119"/>
      <c r="AK84" s="2051"/>
    </row>
    <row r="85" spans="1:37" ht="36">
      <c r="A85" s="3365" t="s">
        <v>3275</v>
      </c>
      <c r="B85" s="2132">
        <f>估价对象房地状况!G17</f>
        <v>0</v>
      </c>
      <c r="C85" s="2042" t="s">
        <v>3404</v>
      </c>
      <c r="D85" s="1063">
        <f t="shared" si="22"/>
        <v>0</v>
      </c>
      <c r="E85" s="745"/>
      <c r="F85" s="1812"/>
      <c r="G85" s="1061">
        <v>7.4999999999999997E-3</v>
      </c>
      <c r="H85" s="1064">
        <f t="shared" si="23"/>
        <v>7.4999999999999997E-3</v>
      </c>
      <c r="I85" s="3363">
        <v>0.1</v>
      </c>
      <c r="J85" s="1062">
        <f t="shared" si="24"/>
        <v>1.4999999999999999E-2</v>
      </c>
      <c r="K85" s="1062">
        <f t="shared" si="25"/>
        <v>7.4999999999999997E-3</v>
      </c>
      <c r="L85" s="1062">
        <v>0</v>
      </c>
      <c r="M85" s="1062">
        <f t="shared" si="26"/>
        <v>-7.4999999999999997E-3</v>
      </c>
      <c r="N85" s="1062">
        <f t="shared" si="26"/>
        <v>-1.4999999999999999E-2</v>
      </c>
      <c r="Z85" s="1996"/>
      <c r="AA85" s="2051"/>
      <c r="AG85" s="1119"/>
      <c r="AK85" s="2051"/>
    </row>
    <row r="86" spans="1:37" ht="14.25">
      <c r="A86" s="2128" t="s">
        <v>2067</v>
      </c>
      <c r="B86" s="2132">
        <f>估价对象房地状况!G22</f>
        <v>0</v>
      </c>
      <c r="C86" s="2042" t="s">
        <v>3403</v>
      </c>
      <c r="D86" s="1063">
        <f t="shared" si="22"/>
        <v>-3.7000000000000002E-3</v>
      </c>
      <c r="E86" s="745"/>
      <c r="F86" s="1812"/>
      <c r="G86" s="1061">
        <v>3.7000000000000002E-3</v>
      </c>
      <c r="H86" s="1064">
        <f t="shared" si="23"/>
        <v>3.7000000000000002E-3</v>
      </c>
      <c r="I86" s="3363">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3404</v>
      </c>
      <c r="D87" s="1063">
        <f t="shared" si="22"/>
        <v>0</v>
      </c>
      <c r="E87" s="745"/>
      <c r="F87" s="1812"/>
      <c r="G87" s="1061">
        <v>4.4999999999999997E-3</v>
      </c>
      <c r="H87" s="1064">
        <f t="shared" si="23"/>
        <v>4.4999999999999997E-3</v>
      </c>
      <c r="I87" s="3363">
        <v>0.06</v>
      </c>
      <c r="J87" s="1062">
        <f t="shared" si="24"/>
        <v>8.9999999999999993E-3</v>
      </c>
      <c r="K87" s="1062">
        <f t="shared" si="25"/>
        <v>4.4999999999999997E-3</v>
      </c>
      <c r="L87" s="1062">
        <v>0</v>
      </c>
      <c r="M87" s="1062">
        <f t="shared" si="26"/>
        <v>-4.4999999999999997E-3</v>
      </c>
      <c r="N87" s="1062">
        <f t="shared" si="26"/>
        <v>-8.9999999999999993E-3</v>
      </c>
    </row>
    <row r="88" spans="1:37" ht="25.5">
      <c r="A88" s="2128" t="s">
        <v>2060</v>
      </c>
      <c r="B88" s="1324" t="str">
        <f>估价对象房地状况!G20</f>
        <v>估价对象所在区域基础设施水平</v>
      </c>
      <c r="C88" s="2042" t="s">
        <v>3405</v>
      </c>
      <c r="D88" s="1063">
        <f t="shared" si="22"/>
        <v>8.9999999999999993E-3</v>
      </c>
      <c r="E88" s="745"/>
      <c r="F88" s="1812"/>
      <c r="G88" s="1061">
        <v>8.9999999999999993E-3</v>
      </c>
      <c r="H88" s="1064">
        <f t="shared" si="23"/>
        <v>8.9999999999999993E-3</v>
      </c>
      <c r="I88" s="3363">
        <v>0.12</v>
      </c>
      <c r="J88" s="1062">
        <f t="shared" si="24"/>
        <v>1.7999999999999999E-2</v>
      </c>
      <c r="K88" s="1062">
        <f t="shared" si="25"/>
        <v>8.9999999999999993E-3</v>
      </c>
      <c r="L88" s="1062">
        <v>0</v>
      </c>
      <c r="M88" s="1062">
        <f t="shared" si="26"/>
        <v>-8.9999999999999993E-3</v>
      </c>
      <c r="N88" s="1062">
        <f t="shared" si="26"/>
        <v>-1.7999999999999999E-2</v>
      </c>
    </row>
    <row r="89" spans="1:37" ht="24">
      <c r="A89" s="2128" t="s">
        <v>2057</v>
      </c>
      <c r="B89" s="2134" t="s">
        <v>2071</v>
      </c>
      <c r="C89" s="2042" t="s">
        <v>3405</v>
      </c>
      <c r="D89" s="1063">
        <f t="shared" si="22"/>
        <v>4.4999999999999997E-3</v>
      </c>
      <c r="E89" s="745"/>
      <c r="F89" s="1812"/>
      <c r="G89" s="1061">
        <v>4.4999999999999997E-3</v>
      </c>
      <c r="H89" s="1064">
        <f t="shared" si="23"/>
        <v>4.4999999999999997E-3</v>
      </c>
      <c r="I89" s="3363">
        <v>0.06</v>
      </c>
      <c r="J89" s="1062">
        <f t="shared" si="24"/>
        <v>8.9999999999999993E-3</v>
      </c>
      <c r="K89" s="1062">
        <f t="shared" si="25"/>
        <v>4.4999999999999997E-3</v>
      </c>
      <c r="L89" s="1062">
        <v>0</v>
      </c>
      <c r="M89" s="1062">
        <f t="shared" si="26"/>
        <v>-4.4999999999999997E-3</v>
      </c>
      <c r="N89" s="1062">
        <f t="shared" si="26"/>
        <v>-8.9999999999999993E-3</v>
      </c>
    </row>
    <row r="90" spans="1:37" ht="39"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f t="shared" si="23"/>
        <v>3.7000000000000002E-3</v>
      </c>
      <c r="I90" s="3364">
        <v>0.05</v>
      </c>
      <c r="J90" s="1062">
        <f t="shared" si="24"/>
        <v>7.4000000000000003E-3</v>
      </c>
      <c r="K90" s="1062">
        <f t="shared" si="25"/>
        <v>3.7000000000000002E-3</v>
      </c>
      <c r="L90" s="1062">
        <v>0</v>
      </c>
      <c r="M90" s="1062">
        <f t="shared" si="26"/>
        <v>-3.7000000000000002E-3</v>
      </c>
      <c r="N90" s="1062">
        <f t="shared" si="26"/>
        <v>-7.4000000000000003E-3</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54" t="s">
        <v>3299</v>
      </c>
      <c r="B103" s="3654"/>
      <c r="C103" s="3654"/>
      <c r="D103" s="3654"/>
      <c r="E103" s="3654"/>
      <c r="F103" s="3654"/>
      <c r="G103" s="3654"/>
      <c r="H103" s="3654"/>
      <c r="I103" s="3654"/>
      <c r="J103" s="3654"/>
      <c r="K103" s="3386"/>
      <c r="L103" s="3386"/>
      <c r="M103" s="3386"/>
      <c r="N103" s="3386"/>
    </row>
    <row r="104" spans="1:14">
      <c r="A104" s="3655" t="s">
        <v>3300</v>
      </c>
      <c r="B104" s="3655" t="s">
        <v>3301</v>
      </c>
      <c r="C104" s="3387" t="s">
        <v>3302</v>
      </c>
      <c r="D104" s="3388"/>
      <c r="E104" s="3388"/>
      <c r="F104" s="3388"/>
      <c r="G104" s="3388"/>
      <c r="H104" s="3388"/>
      <c r="I104" s="3388"/>
      <c r="J104" s="3389"/>
      <c r="K104" s="3390"/>
      <c r="L104" s="3390"/>
      <c r="M104" s="3390"/>
      <c r="N104" s="3390"/>
    </row>
    <row r="105" spans="1:14">
      <c r="A105" s="3655"/>
      <c r="B105" s="3655"/>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41"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2"/>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44" t="s">
        <v>3316</v>
      </c>
      <c r="B113" s="3644"/>
      <c r="C113" s="3644"/>
      <c r="D113" s="3644"/>
      <c r="E113" s="3644"/>
      <c r="F113" s="3644"/>
      <c r="G113" s="3644"/>
      <c r="H113" s="3644"/>
      <c r="I113" s="3644"/>
      <c r="J113" s="364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1</v>
      </c>
      <c r="C116" s="3396" t="s">
        <v>3318</v>
      </c>
      <c r="D116" s="3397">
        <f>SUMPRODUCT((A118:A122=F116)*(B117:M117=H116)*B118:M122)</f>
        <v>0.57150000000000001</v>
      </c>
      <c r="E116" s="1998" t="s">
        <v>3319</v>
      </c>
      <c r="F116" s="3398" t="str">
        <f>E2</f>
        <v>工业</v>
      </c>
      <c r="G116" s="1998" t="s">
        <v>3320</v>
      </c>
      <c r="H116" s="3398" t="str">
        <f>G2</f>
        <v>十级</v>
      </c>
      <c r="I116" s="1998"/>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3334</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3335</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3336</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2613</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北京市延庆区康庄镇西桑园南区5号院1号楼01等房地产抵押价值预评估</v>
      </c>
      <c r="C37" s="3458"/>
      <c r="D37" s="3458"/>
      <c r="E37" s="3458"/>
      <c r="F37" s="3458"/>
      <c r="G37" s="3458"/>
      <c r="H37" s="3458"/>
      <c r="I37" s="3458"/>
    </row>
    <row r="38" spans="1:9">
      <c r="A38" s="842"/>
      <c r="B38" s="842"/>
    </row>
    <row r="39" spans="1:9">
      <c r="A39" s="840" t="s">
        <v>371</v>
      </c>
      <c r="B39" s="840" t="s">
        <v>373</v>
      </c>
    </row>
    <row r="40" spans="1:9">
      <c r="A40" s="840"/>
      <c r="B40" s="1472" t="str">
        <f>项目基本情况!B5</f>
        <v>中国银行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70" zoomScaleNormal="70" zoomScaleSheetLayoutView="70" workbookViewId="0">
      <selection activeCell="C51" sqref="C51: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3623</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6068</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493</v>
      </c>
      <c r="D5" s="209" t="s">
        <v>1469</v>
      </c>
      <c r="E5" s="210" t="s">
        <v>1470</v>
      </c>
      <c r="F5" s="210" t="s">
        <v>1471</v>
      </c>
      <c r="G5" s="211"/>
    </row>
    <row r="6" spans="1:9" s="212" customFormat="1" ht="13.5" customHeight="1">
      <c r="A6" s="776" t="s">
        <v>1472</v>
      </c>
      <c r="B6" s="213" t="s">
        <v>1473</v>
      </c>
      <c r="C6" s="214">
        <f>基准地价修正!E33</f>
        <v>391</v>
      </c>
      <c r="D6" s="215"/>
      <c r="E6" s="216"/>
      <c r="F6" s="216"/>
      <c r="G6" s="217"/>
    </row>
    <row r="7" spans="1:9" s="212" customFormat="1" ht="13.5" customHeight="1">
      <c r="A7" s="776" t="s">
        <v>1474</v>
      </c>
      <c r="B7" s="213" t="s">
        <v>1475</v>
      </c>
      <c r="C7" s="218">
        <f>ROUND(C6*F7,0)</f>
        <v>12</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90</v>
      </c>
      <c r="D8" s="220"/>
      <c r="E8" s="218"/>
      <c r="F8" s="219"/>
      <c r="G8" s="1854"/>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100</v>
      </c>
      <c r="F9" s="219"/>
      <c r="G9" s="1855"/>
      <c r="H9" s="1135"/>
      <c r="I9" s="1856" t="s">
        <v>1479</v>
      </c>
    </row>
    <row r="10" spans="1:9" s="212" customFormat="1" ht="13.5" customHeight="1">
      <c r="A10" s="777" t="s">
        <v>356</v>
      </c>
      <c r="B10" s="222" t="s">
        <v>1480</v>
      </c>
      <c r="C10" s="223">
        <f ca="1">ROUND(D10*E10/10000,0)</f>
        <v>90</v>
      </c>
      <c r="D10" s="843">
        <f ca="1">IF(B1="",'数据-汇总表'!E6,IF(INDIRECT("'数据-取费表'!c"&amp;$G$1)="住宅",INDIRECT("'数据-取费表'!s"&amp;$G$1),INDIRECT("'数据-取费表'!k"&amp;$G$1)+INDIRECT("'数据-取费表'!s"&amp;$G$1)))</f>
        <v>5970.96</v>
      </c>
      <c r="E10" s="223">
        <f>'数据-取费表'!B28</f>
        <v>150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5970.96</v>
      </c>
      <c r="E19" s="209">
        <f>'数据-取费表'!B31</f>
        <v>224.59757727400617</v>
      </c>
      <c r="F19" s="229"/>
      <c r="G19" s="1854" t="s">
        <v>3417</v>
      </c>
    </row>
    <row r="20" spans="1:7" s="212" customFormat="1" ht="13.5" customHeight="1">
      <c r="A20" s="253" t="s">
        <v>1493</v>
      </c>
      <c r="B20" s="208" t="s">
        <v>1494</v>
      </c>
      <c r="C20" s="230">
        <f>ROUND((C5+C19)*F20,0)</f>
        <v>15</v>
      </c>
      <c r="D20" s="230"/>
      <c r="E20" s="230"/>
      <c r="F20" s="231">
        <f>'数据-取费表'!B37</f>
        <v>0.03</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20</v>
      </c>
      <c r="D22" s="233">
        <f ca="1">C26</f>
        <v>4.0000000000000002E-4</v>
      </c>
      <c r="E22" s="234" t="s">
        <v>1498</v>
      </c>
      <c r="F22" s="235">
        <f ca="1">'数据-取费表'!B40</f>
        <v>4.1499999999999995E-2</v>
      </c>
      <c r="G22" s="232" t="str">
        <f>IF('数据-取费表'!B22&lt;=1,"单利计息","复利计息")</f>
        <v>单利计息</v>
      </c>
    </row>
    <row r="23" spans="1:7" s="212" customFormat="1" ht="13.5" customHeight="1">
      <c r="A23" s="778" t="s">
        <v>1502</v>
      </c>
      <c r="B23" s="213" t="s">
        <v>1503</v>
      </c>
      <c r="C23" s="1103">
        <f ca="1">ROUND(IF('数据-取费表'!B22&lt;=1,C5*F22*'数据-取费表'!B23,C5*(POWER((1+F22),'数据-取费表'!B23)-1)),0)</f>
        <v>20</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0</v>
      </c>
      <c r="D25" s="236"/>
      <c r="E25" s="239"/>
      <c r="F25" s="237"/>
      <c r="G25" s="240" t="s">
        <v>1510</v>
      </c>
    </row>
    <row r="26" spans="1:7" s="212" customFormat="1">
      <c r="A26" s="778" t="s">
        <v>350</v>
      </c>
      <c r="B26" s="213" t="s">
        <v>1511</v>
      </c>
      <c r="C26" s="236">
        <f ca="1">ROUND(IF('数据-取费表'!B22&lt;=1,F21*F22*'数据-取费表'!B23/2,F21*(POWER((1+F22),'数据-取费表'!B23/2)-1)),4)</f>
        <v>4.0000000000000002E-4</v>
      </c>
      <c r="D26" s="236"/>
      <c r="E26" s="239"/>
      <c r="F26" s="237"/>
      <c r="G26" s="241"/>
    </row>
    <row r="27" spans="1:7" s="212" customFormat="1" ht="24.75">
      <c r="A27" s="253" t="s">
        <v>1512</v>
      </c>
      <c r="B27" s="242" t="s">
        <v>1513</v>
      </c>
      <c r="C27" s="243">
        <f ca="1">C28</f>
        <v>41</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ROUND((C5+C19+C20)*F27*'数据-取费表'!B21/'数据-取费表'!B20,0)</f>
        <v>41</v>
      </c>
      <c r="D28" s="233"/>
      <c r="E28" s="234"/>
      <c r="F28" s="244"/>
      <c r="G28" s="245"/>
    </row>
    <row r="29" spans="1:7" s="212" customFormat="1" ht="13.5" customHeight="1">
      <c r="A29" s="778"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615</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2506</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2269</v>
      </c>
      <c r="D34" s="215"/>
      <c r="E34" s="218"/>
      <c r="F34" s="255">
        <f ca="1">IF('数据-取费表'!B24=0,1,IF(B1="",'数据-取费表'!N16,INDIRECT("'数据-取费表'!n"&amp;$G$1)))</f>
        <v>1</v>
      </c>
      <c r="G34" s="217" t="s">
        <v>1526</v>
      </c>
    </row>
    <row r="35" spans="1:7" ht="13.5" customHeight="1">
      <c r="A35" s="778" t="s">
        <v>351</v>
      </c>
      <c r="B35" s="213" t="s">
        <v>1527</v>
      </c>
      <c r="C35" s="218">
        <f ca="1">ROUND(C34*F35,0)</f>
        <v>113</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90</v>
      </c>
      <c r="D37" s="215">
        <f ca="1">D19</f>
        <v>5970.96</v>
      </c>
      <c r="E37" s="247">
        <f>'数据-取费表'!B35</f>
        <v>150</v>
      </c>
      <c r="F37" s="257"/>
      <c r="G37" s="259" t="s">
        <v>1532</v>
      </c>
    </row>
    <row r="38" spans="1:7" ht="13.5" customHeight="1">
      <c r="A38" s="778" t="s">
        <v>354</v>
      </c>
      <c r="B38" s="213" t="s">
        <v>1533</v>
      </c>
      <c r="C38" s="218">
        <f ca="1">ROUND(C34*F38,0)</f>
        <v>34</v>
      </c>
      <c r="D38" s="218"/>
      <c r="E38" s="218"/>
      <c r="F38" s="257">
        <f>'数据-取费表'!B36</f>
        <v>1.4999999999999999E-2</v>
      </c>
      <c r="G38" s="217" t="s">
        <v>1528</v>
      </c>
    </row>
    <row r="39" spans="1:7" s="212" customFormat="1" ht="13.5" customHeight="1">
      <c r="A39" s="253" t="s">
        <v>1534</v>
      </c>
      <c r="B39" s="208" t="s">
        <v>1535</v>
      </c>
      <c r="C39" s="230">
        <f ca="1">ROUND(C33*F20,0)</f>
        <v>75</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54</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ROUND(IF('数据-取费表'!B22&lt;=1,C33*F22*'数据-取费表'!B21/2,C33*(POWER((1+F22),'数据-取费表'!B21/2)-1)),0)</f>
        <v>52</v>
      </c>
      <c r="D42" s="236"/>
      <c r="E42" s="236"/>
      <c r="F42" s="237"/>
      <c r="G42" s="3660" t="s">
        <v>1544</v>
      </c>
    </row>
    <row r="43" spans="1:7" ht="13.5" customHeight="1">
      <c r="A43" s="778" t="s">
        <v>347</v>
      </c>
      <c r="B43" s="213" t="s">
        <v>1545</v>
      </c>
      <c r="C43" s="236">
        <f ca="1">ROUND(IF('数据-取费表'!B22&lt;=1,C39*F22*'数据-取费表'!B21/2,C39*(POWER((1+F22),'数据-取费表'!B21/2)-1)),0)</f>
        <v>2</v>
      </c>
      <c r="D43" s="236"/>
      <c r="E43" s="236"/>
      <c r="F43" s="237"/>
      <c r="G43" s="3661"/>
    </row>
    <row r="44" spans="1:7" ht="13.5" customHeight="1">
      <c r="A44" s="778" t="s">
        <v>348</v>
      </c>
      <c r="B44" s="213" t="s">
        <v>1546</v>
      </c>
      <c r="C44" s="236">
        <f ca="1">ROUND(IF('数据-取费表'!B22&lt;=1,C40*F22*'数据-取费表'!B21/2,C40*(POWER((1+F22),'数据-取费表'!B21/2)-1)),4)</f>
        <v>4.0000000000000002E-4</v>
      </c>
      <c r="D44" s="236"/>
      <c r="E44" s="236"/>
      <c r="F44" s="237"/>
      <c r="G44" s="3662"/>
    </row>
    <row r="45" spans="1:7" s="212" customFormat="1" ht="13.5" customHeight="1">
      <c r="A45" s="253" t="s">
        <v>1547</v>
      </c>
      <c r="B45" s="242" t="s">
        <v>1513</v>
      </c>
      <c r="C45" s="243">
        <f ca="1">C46</f>
        <v>206</v>
      </c>
      <c r="D45" s="233">
        <f ca="1">C47</f>
        <v>1.6000000000000001E-3</v>
      </c>
      <c r="E45" s="234" t="s">
        <v>1539</v>
      </c>
      <c r="F45" s="244">
        <f ca="1">F27</f>
        <v>0.08</v>
      </c>
      <c r="G45" s="245" t="s">
        <v>1548</v>
      </c>
    </row>
    <row r="46" spans="1:7" s="212" customFormat="1" ht="13.5" customHeight="1">
      <c r="A46" s="778" t="s">
        <v>346</v>
      </c>
      <c r="B46" s="246" t="s">
        <v>1549</v>
      </c>
      <c r="C46" s="247">
        <f ca="1">ROUND((C33+C39)*F27,0)</f>
        <v>206</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3069</v>
      </c>
      <c r="D49" s="230"/>
      <c r="E49" s="230"/>
      <c r="F49" s="262"/>
      <c r="G49" s="232" t="s">
        <v>1554</v>
      </c>
    </row>
    <row r="50" spans="1:7" s="256" customFormat="1" ht="24">
      <c r="A50" s="253" t="s">
        <v>1555</v>
      </c>
      <c r="B50" s="208" t="s">
        <v>1556</v>
      </c>
      <c r="C50" s="230"/>
      <c r="D50" s="230"/>
      <c r="E50" s="230"/>
      <c r="F50" s="262">
        <f>IF('数据-取费表'!B24=0,'数据-取费表'!N16,1)</f>
        <v>0.98</v>
      </c>
      <c r="G50" s="245" t="s">
        <v>1557</v>
      </c>
    </row>
    <row r="51" spans="1:7" ht="16.5" customHeight="1">
      <c r="A51" s="253" t="s">
        <v>1558</v>
      </c>
      <c r="B51" s="208" t="s">
        <v>1559</v>
      </c>
      <c r="C51" s="230">
        <f ca="1">ROUND(C49*F50,0)</f>
        <v>3008</v>
      </c>
      <c r="D51" s="230"/>
      <c r="E51" s="230"/>
      <c r="F51" s="262"/>
      <c r="G51" s="232" t="s">
        <v>1560</v>
      </c>
    </row>
    <row r="52" spans="1:7" s="206" customFormat="1" ht="16.5" thickBot="1">
      <c r="A52" s="263" t="s">
        <v>1561</v>
      </c>
      <c r="B52" s="264"/>
      <c r="C52" s="265">
        <f ca="1">C31+C51</f>
        <v>3623</v>
      </c>
      <c r="D52" s="264"/>
      <c r="E52" s="264"/>
      <c r="F52" s="264"/>
      <c r="G52" s="266"/>
    </row>
    <row r="55" spans="1:7" ht="15">
      <c r="B55" s="268" t="s">
        <v>1562</v>
      </c>
      <c r="C55" s="269"/>
    </row>
    <row r="56" spans="1:7">
      <c r="B56" s="271" t="s">
        <v>802</v>
      </c>
      <c r="C56" s="273">
        <f ca="1">1-C57</f>
        <v>0.17000000000000004</v>
      </c>
    </row>
    <row r="57" spans="1:7">
      <c r="B57" s="271" t="s">
        <v>803</v>
      </c>
      <c r="C57" s="272">
        <f ca="1">ROUND(C51/C52,3)</f>
        <v>0.83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0">
        <f ca="1">ROUND(IF(D2="——",C52/10000,C52/10000-E2),4)</f>
        <v>3287.2247000000002</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5505</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895644</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895644</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100</v>
      </c>
      <c r="F9" s="219"/>
      <c r="G9" s="224"/>
    </row>
    <row r="10" spans="1:8" s="212" customFormat="1" ht="13.5" customHeight="1">
      <c r="A10" s="777" t="s">
        <v>356</v>
      </c>
      <c r="B10" s="222" t="s">
        <v>1480</v>
      </c>
      <c r="C10" s="223">
        <f ca="1">ROUND(D10*E10,0)</f>
        <v>895644</v>
      </c>
      <c r="D10" s="843">
        <f ca="1">IF(B1="",'数据-汇总表'!E6,IF(INDIRECT("'数据-取费表'!c"&amp;$G$1)="住宅",INDIRECT("'数据-取费表'!s"&amp;$G$1),INDIRECT("'数据-取费表'!k"&amp;$G$1)+INDIRECT("'数据-取费表'!s"&amp;$G$1)))</f>
        <v>5970.96</v>
      </c>
      <c r="E10" s="223">
        <f>'数据-取费表'!B28</f>
        <v>150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1341063</v>
      </c>
      <c r="D19" s="847">
        <f ca="1">D9+D10</f>
        <v>5970.96</v>
      </c>
      <c r="E19" s="209">
        <f>'数据-取费表'!B31</f>
        <v>224.59757727400617</v>
      </c>
      <c r="F19" s="229"/>
      <c r="G19" s="1854"/>
    </row>
    <row r="20" spans="1:7" s="212" customFormat="1" ht="13.5" customHeight="1">
      <c r="A20" s="253" t="s">
        <v>1574</v>
      </c>
      <c r="B20" s="208" t="s">
        <v>1575</v>
      </c>
      <c r="C20" s="230">
        <f ca="1">ROUND((C5+C19)*F20,0)</f>
        <v>67101</v>
      </c>
      <c r="D20" s="230"/>
      <c r="E20" s="230"/>
      <c r="F20" s="231">
        <f>'数据-取费表'!B37</f>
        <v>0.03</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94215</v>
      </c>
      <c r="D22" s="233">
        <f ca="1">C26</f>
        <v>4.0000000000000002E-4</v>
      </c>
      <c r="E22" s="234" t="s">
        <v>1579</v>
      </c>
      <c r="F22" s="235">
        <f ca="1">'数据-取费表'!B40</f>
        <v>4.1499999999999995E-2</v>
      </c>
      <c r="G22" s="232" t="str">
        <f>IF('数据-取费表'!B22&lt;=1,"单利计息","复利计息")</f>
        <v>单利计息</v>
      </c>
    </row>
    <row r="23" spans="1:7" s="212" customFormat="1" ht="13.5" customHeight="1">
      <c r="A23" s="778" t="s">
        <v>1472</v>
      </c>
      <c r="B23" s="213" t="s">
        <v>1583</v>
      </c>
      <c r="C23" s="1126">
        <f ca="1">ROUND(IF('数据-取费表'!B22&lt;=1,C5*F22*'数据-取费表'!B22,C5*(POWER((1+F22),'数据-取费表'!B22)-1)),0)</f>
        <v>37169</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55654</v>
      </c>
      <c r="D24" s="236"/>
      <c r="E24" s="236"/>
      <c r="F24" s="237"/>
      <c r="G24" s="238" t="s">
        <v>1586</v>
      </c>
    </row>
    <row r="25" spans="1:7" s="212" customFormat="1" ht="24">
      <c r="A25" s="778" t="s">
        <v>1476</v>
      </c>
      <c r="B25" s="213" t="s">
        <v>1587</v>
      </c>
      <c r="C25" s="1126">
        <f ca="1">ROUND(IF('数据-取费表'!B22&lt;=1,C20*F22*'数据-取费表'!B22/2,C20*(POWER((1+F22),'数据-取费表'!B22/2)-1)),0)</f>
        <v>1392</v>
      </c>
      <c r="D25" s="236"/>
      <c r="E25" s="239"/>
      <c r="F25" s="237"/>
      <c r="G25" s="240" t="s">
        <v>1588</v>
      </c>
    </row>
    <row r="26" spans="1:7" s="212" customFormat="1">
      <c r="A26" s="778" t="s">
        <v>350</v>
      </c>
      <c r="B26" s="213" t="s">
        <v>1511</v>
      </c>
      <c r="C26" s="236">
        <f ca="1">ROUND(IF('数据-取费表'!B22&lt;=1,F21*F22*'数据-取费表'!B22/2,F21*(POWER((1+F22),'数据-取费表'!B22/2)-1)),4)</f>
        <v>4.0000000000000002E-4</v>
      </c>
      <c r="D26" s="236"/>
      <c r="E26" s="239"/>
      <c r="F26" s="237"/>
      <c r="G26" s="241"/>
    </row>
    <row r="27" spans="1:7" s="212" customFormat="1" ht="24.75">
      <c r="A27" s="253" t="s">
        <v>1512</v>
      </c>
      <c r="B27" s="242" t="s">
        <v>1513</v>
      </c>
      <c r="C27" s="243">
        <f ca="1">C28</f>
        <v>184305</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ROUND((C5+C19+C20)*F27,0)</f>
        <v>184305</v>
      </c>
      <c r="D28" s="233"/>
      <c r="E28" s="234"/>
      <c r="F28" s="244"/>
      <c r="G28" s="245"/>
    </row>
    <row r="29" spans="1:7" s="212" customFormat="1" ht="13.5" customHeight="1">
      <c r="A29" s="778"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2789896</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25060119</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22689648</v>
      </c>
      <c r="D34" s="215"/>
      <c r="E34" s="218"/>
      <c r="F34" s="255"/>
      <c r="G34" s="217"/>
    </row>
    <row r="35" spans="1:7" ht="13.5" customHeight="1">
      <c r="A35" s="778" t="s">
        <v>351</v>
      </c>
      <c r="B35" s="213" t="s">
        <v>1527</v>
      </c>
      <c r="C35" s="218">
        <f ca="1">ROUND(C34*F35,0)</f>
        <v>1134482</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895644</v>
      </c>
      <c r="D37" s="215">
        <f ca="1">D19</f>
        <v>5970.96</v>
      </c>
      <c r="E37" s="247">
        <f>'数据-取费表'!B35</f>
        <v>150</v>
      </c>
      <c r="F37" s="257"/>
      <c r="G37" s="259"/>
    </row>
    <row r="38" spans="1:7" ht="13.5" customHeight="1">
      <c r="A38" s="778" t="s">
        <v>354</v>
      </c>
      <c r="B38" s="213" t="s">
        <v>1533</v>
      </c>
      <c r="C38" s="218">
        <f ca="1">ROUND(C34*F38,0)</f>
        <v>340345</v>
      </c>
      <c r="D38" s="218"/>
      <c r="E38" s="218"/>
      <c r="F38" s="257">
        <f>'数据-取费表'!B36</f>
        <v>1.4999999999999999E-2</v>
      </c>
      <c r="G38" s="217" t="s">
        <v>1528</v>
      </c>
    </row>
    <row r="39" spans="1:7" s="212" customFormat="1" ht="13.5" customHeight="1">
      <c r="A39" s="253" t="s">
        <v>1534</v>
      </c>
      <c r="B39" s="208" t="s">
        <v>1535</v>
      </c>
      <c r="C39" s="230">
        <f ca="1">ROUND(C33*F20,0)</f>
        <v>751804</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535597</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ROUND(IF('数据-取费表'!B22&lt;=1,C33*F22*'数据-取费表'!B20/2,C33*(POWER((1+F22),'数据-取费表'!B20/2)-1)),0)</f>
        <v>519997</v>
      </c>
      <c r="D42" s="236"/>
      <c r="E42" s="236"/>
      <c r="F42" s="237"/>
      <c r="G42" s="3660" t="s">
        <v>1591</v>
      </c>
    </row>
    <row r="43" spans="1:7" ht="13.5" customHeight="1">
      <c r="A43" s="778" t="s">
        <v>347</v>
      </c>
      <c r="B43" s="213" t="s">
        <v>1545</v>
      </c>
      <c r="C43" s="236">
        <f ca="1">ROUND(IF('数据-取费表'!B22&lt;=1,C39*F22*'数据-取费表'!B20/2,C39*(POWER((1+F22),'数据-取费表'!B20/2)-1)),0)</f>
        <v>15600</v>
      </c>
      <c r="D43" s="236"/>
      <c r="E43" s="236"/>
      <c r="F43" s="237"/>
      <c r="G43" s="3661"/>
    </row>
    <row r="44" spans="1:7" ht="13.5" customHeight="1">
      <c r="A44" s="778" t="s">
        <v>348</v>
      </c>
      <c r="B44" s="213" t="s">
        <v>1546</v>
      </c>
      <c r="C44" s="236">
        <f ca="1">ROUND(IF('数据-取费表'!B22&lt;=1,C40*F22*'数据-取费表'!B20/2,C40*(POWER((1+F22),'数据-取费表'!B20/2)-1)),4)</f>
        <v>4.0000000000000002E-4</v>
      </c>
      <c r="D44" s="236"/>
      <c r="E44" s="236"/>
      <c r="F44" s="237"/>
      <c r="G44" s="3662"/>
    </row>
    <row r="45" spans="1:7" s="212" customFormat="1" ht="13.5" customHeight="1">
      <c r="A45" s="253" t="s">
        <v>1547</v>
      </c>
      <c r="B45" s="242" t="s">
        <v>1513</v>
      </c>
      <c r="C45" s="243">
        <f ca="1">C46</f>
        <v>2064954</v>
      </c>
      <c r="D45" s="233">
        <f ca="1">C47</f>
        <v>1.6000000000000001E-3</v>
      </c>
      <c r="E45" s="234" t="s">
        <v>1539</v>
      </c>
      <c r="F45" s="244">
        <f ca="1">F27</f>
        <v>0.08</v>
      </c>
      <c r="G45" s="245" t="s">
        <v>1548</v>
      </c>
    </row>
    <row r="46" spans="1:7" s="212" customFormat="1" ht="13.5" customHeight="1">
      <c r="A46" s="778" t="s">
        <v>346</v>
      </c>
      <c r="B46" s="246" t="s">
        <v>1549</v>
      </c>
      <c r="C46" s="247">
        <f ca="1">ROUND((C33+C39)*F27,0)</f>
        <v>2064954</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30696277</v>
      </c>
      <c r="D49" s="230"/>
      <c r="E49" s="230"/>
      <c r="F49" s="262"/>
      <c r="G49" s="232" t="s">
        <v>1554</v>
      </c>
    </row>
    <row r="50" spans="1:7" s="256" customFormat="1">
      <c r="A50" s="253" t="s">
        <v>1555</v>
      </c>
      <c r="B50" s="208" t="s">
        <v>1556</v>
      </c>
      <c r="C50" s="230"/>
      <c r="D50" s="230"/>
      <c r="E50" s="230"/>
      <c r="F50" s="262">
        <f>IF('数据-取费表'!B24=0,'数据-取费表'!N16,1)</f>
        <v>0.98</v>
      </c>
      <c r="G50" s="245"/>
    </row>
    <row r="51" spans="1:7" ht="16.5" customHeight="1">
      <c r="A51" s="253" t="s">
        <v>1558</v>
      </c>
      <c r="B51" s="208" t="s">
        <v>1593</v>
      </c>
      <c r="C51" s="230">
        <f ca="1">ROUND(C49*F50,0)</f>
        <v>30082351</v>
      </c>
      <c r="D51" s="230"/>
      <c r="E51" s="230"/>
      <c r="F51" s="262"/>
      <c r="G51" s="232" t="s">
        <v>1560</v>
      </c>
    </row>
    <row r="52" spans="1:7" s="206" customFormat="1" ht="16.5" thickBot="1">
      <c r="A52" s="263" t="s">
        <v>1561</v>
      </c>
      <c r="B52" s="264"/>
      <c r="C52" s="265">
        <f ca="1">C31+C51</f>
        <v>32872247</v>
      </c>
      <c r="D52" s="264"/>
      <c r="E52" s="264"/>
      <c r="F52" s="264"/>
      <c r="G52" s="266"/>
    </row>
    <row r="55" spans="1:7" ht="15">
      <c r="B55" s="268" t="s">
        <v>1562</v>
      </c>
      <c r="C55" s="269"/>
    </row>
    <row r="56" spans="1:7">
      <c r="B56" s="271" t="s">
        <v>802</v>
      </c>
      <c r="C56" s="273">
        <f ca="1">1-C57</f>
        <v>8.4999999999999964E-2</v>
      </c>
    </row>
    <row r="57" spans="1:7">
      <c r="B57" s="271" t="s">
        <v>803</v>
      </c>
      <c r="C57" s="272">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5970.96</v>
      </c>
      <c r="E14" s="21">
        <f>'数据-取费表'!B35</f>
        <v>150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5970.96</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100</v>
      </c>
      <c r="F19" s="802"/>
      <c r="G19" s="12"/>
      <c r="H19" s="1187"/>
      <c r="I19" s="807"/>
      <c r="J19" s="807"/>
      <c r="K19" s="808"/>
    </row>
    <row r="20" spans="1:33" s="801" customFormat="1" ht="13.5" customHeight="1">
      <c r="A20" s="798" t="s">
        <v>361</v>
      </c>
      <c r="B20" s="799" t="s">
        <v>1627</v>
      </c>
      <c r="C20" s="21">
        <f ca="1">ROUND(D20*E20/10000,0)</f>
        <v>90</v>
      </c>
      <c r="D20" s="844">
        <f ca="1">IF(C1="",'数据-汇总表'!E6,IF(INDIRECT("'数据-取费表'!c"&amp;$K$1)="住宅",INDIRECT("'数据-取费表'!s"&amp;$K$1),INDIRECT("'数据-取费表'!k"&amp;$K$1)+INDIRECT("'数据-取费表'!s"&amp;$K$1)))</f>
        <v>5970.96</v>
      </c>
      <c r="E20" s="21">
        <f>'数据-取费表'!B28</f>
        <v>150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4.1499999999999995E-2</v>
      </c>
      <c r="G25" s="129"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（1）-（3）项×年利率×建设期÷2</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0.08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3396</v>
      </c>
      <c r="D1" s="1360" t="s">
        <v>43</v>
      </c>
      <c r="E1" s="1361" t="s">
        <v>678</v>
      </c>
      <c r="F1" s="1060">
        <f ca="1">J53</f>
        <v>29.07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4413</v>
      </c>
      <c r="C2" s="1385" t="s">
        <v>805</v>
      </c>
      <c r="D2" s="1385"/>
      <c r="E2" s="1386"/>
      <c r="F2" s="1387"/>
      <c r="G2" s="2702"/>
      <c r="H2" s="2691"/>
      <c r="I2" s="2691"/>
      <c r="J2" s="2691"/>
      <c r="K2" s="2692"/>
      <c r="L2" s="2691"/>
      <c r="M2" s="2691"/>
    </row>
    <row r="3" spans="1:37" ht="18" customHeight="1" thickBot="1">
      <c r="A3" s="1388" t="s">
        <v>806</v>
      </c>
      <c r="B3" s="1389">
        <f ca="1">IF(ISERROR(B2*10000/F43),0,ROUND(B2*10000/F43,0))</f>
        <v>7391</v>
      </c>
      <c r="C3" s="1385" t="s">
        <v>807</v>
      </c>
      <c r="D3" s="1385"/>
      <c r="E3" s="1386"/>
      <c r="F3" s="1387"/>
      <c r="G3" s="2702"/>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314</v>
      </c>
      <c r="D5" s="1362" t="s">
        <v>693</v>
      </c>
      <c r="E5" s="1069"/>
      <c r="F5" s="1070"/>
      <c r="G5" s="1382"/>
      <c r="H5" s="297">
        <v>1</v>
      </c>
      <c r="I5" s="298" t="s">
        <v>692</v>
      </c>
      <c r="J5" s="1068">
        <f ca="1">J6+J10+J12</f>
        <v>0</v>
      </c>
      <c r="K5" s="1362" t="s">
        <v>693</v>
      </c>
      <c r="L5" s="1069"/>
      <c r="M5" s="1070"/>
    </row>
    <row r="6" spans="1:37" ht="18" customHeight="1">
      <c r="A6" s="1067" t="s">
        <v>398</v>
      </c>
      <c r="B6" s="3665" t="s">
        <v>694</v>
      </c>
      <c r="C6" s="1072">
        <f ca="1">ROUND(F6*F8*F7*(1-F9)/10000,0)</f>
        <v>314</v>
      </c>
      <c r="D6" s="153" t="s">
        <v>2109</v>
      </c>
      <c r="E6" s="300" t="s">
        <v>696</v>
      </c>
      <c r="F6" s="301">
        <f ca="1">INDIRECT("'数据-取费表'!u"&amp;$G$1)</f>
        <v>1.6</v>
      </c>
      <c r="G6" s="1382"/>
      <c r="H6" s="1067" t="s">
        <v>398</v>
      </c>
      <c r="I6" s="3665" t="s">
        <v>694</v>
      </c>
      <c r="J6" s="299">
        <f ca="1">ROUND(M6*M8*M7*(1-M9)/10000,0)</f>
        <v>0</v>
      </c>
      <c r="K6" s="153" t="s">
        <v>2108</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5970.96</v>
      </c>
      <c r="G7" s="1382"/>
      <c r="H7" s="302"/>
      <c r="I7" s="3666"/>
      <c r="J7" s="304"/>
      <c r="K7" s="305"/>
      <c r="L7" s="300" t="s">
        <v>697</v>
      </c>
      <c r="M7" s="301">
        <f ca="1">F7</f>
        <v>5970.96</v>
      </c>
    </row>
    <row r="8" spans="1:37" ht="18" customHeight="1">
      <c r="A8" s="302"/>
      <c r="B8" s="3666"/>
      <c r="C8" s="304"/>
      <c r="D8" s="305"/>
      <c r="E8" s="300" t="s">
        <v>698</v>
      </c>
      <c r="F8" s="301">
        <f ca="1">INDIRECT("'数据-取费表'!ai"&amp;$G$1)</f>
        <v>365</v>
      </c>
      <c r="G8" s="1382"/>
      <c r="H8" s="302"/>
      <c r="I8" s="3666"/>
      <c r="J8" s="304"/>
      <c r="K8" s="305"/>
      <c r="L8" s="300" t="s">
        <v>698</v>
      </c>
      <c r="M8" s="301">
        <f ca="1">INDIRECT("'数据-取费表'!ai"&amp;$G$1)</f>
        <v>365</v>
      </c>
    </row>
    <row r="9" spans="1:37" ht="18" customHeight="1">
      <c r="A9" s="302"/>
      <c r="B9" s="3667"/>
      <c r="C9" s="304"/>
      <c r="D9" s="305"/>
      <c r="E9" s="300" t="s">
        <v>699</v>
      </c>
      <c r="F9" s="310">
        <f ca="1">INDIRECT("'数据-取费表'!w"&amp;$G$1)</f>
        <v>0.1</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3408</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3008</v>
      </c>
      <c r="D13" s="1079" t="s">
        <v>705</v>
      </c>
      <c r="E13" s="1079" t="s">
        <v>706</v>
      </c>
      <c r="F13" s="1080">
        <f ca="1">INDIRECT("'数据-取费表'!y"&amp;$G$1)</f>
        <v>0.98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2269</v>
      </c>
      <c r="D14" s="1343" t="s">
        <v>708</v>
      </c>
      <c r="E14" s="1340"/>
      <c r="F14" s="317"/>
      <c r="G14" s="1382"/>
      <c r="H14" s="980" t="s">
        <v>398</v>
      </c>
      <c r="I14" s="300" t="s">
        <v>709</v>
      </c>
      <c r="J14" s="21">
        <f ca="1">C29</f>
        <v>3069</v>
      </c>
      <c r="K14" s="12"/>
      <c r="L14" s="805"/>
      <c r="M14" s="806"/>
    </row>
    <row r="15" spans="1:37" s="1395" customFormat="1" ht="18" customHeight="1" thickBot="1">
      <c r="A15" s="980" t="s">
        <v>399</v>
      </c>
      <c r="B15" s="300" t="s">
        <v>710</v>
      </c>
      <c r="C15" s="21">
        <f ca="1">ROUND(C14*F15,0)</f>
        <v>113</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16</v>
      </c>
      <c r="K16" s="1085" t="s">
        <v>715</v>
      </c>
      <c r="L16" s="1086"/>
      <c r="M16" s="1070"/>
    </row>
    <row r="17" spans="1:37" s="1395" customFormat="1" ht="18" customHeight="1">
      <c r="A17" s="980" t="s">
        <v>681</v>
      </c>
      <c r="B17" s="300" t="s">
        <v>716</v>
      </c>
      <c r="C17" s="21">
        <f ca="1">ROUND(F17*(F43+INDIRECT("'数据-取费表'!S"&amp;$G$1))/10000,0)</f>
        <v>90</v>
      </c>
      <c r="D17" s="300" t="s">
        <v>717</v>
      </c>
      <c r="E17" s="300" t="s">
        <v>718</v>
      </c>
      <c r="F17" s="23">
        <f>'数据-取费表'!B35</f>
        <v>150</v>
      </c>
      <c r="G17" s="1394"/>
      <c r="H17" s="980" t="s">
        <v>398</v>
      </c>
      <c r="I17" s="300" t="s">
        <v>719</v>
      </c>
      <c r="J17" s="2314">
        <f ca="1">ROUND(IF(AND(项目基本情况!B11="自然人",项目基本情况!B10="北京市"),J6*M17/(1+'数据-取费表'!C42),J18+J19+J20),2)</f>
        <v>1.0900000000000001</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2506</v>
      </c>
      <c r="D19" s="129" t="s">
        <v>726</v>
      </c>
      <c r="E19" s="1358"/>
      <c r="F19" s="23"/>
      <c r="G19" s="1382"/>
      <c r="H19" s="980" t="s">
        <v>399</v>
      </c>
      <c r="I19" s="300" t="s">
        <v>727</v>
      </c>
      <c r="J19" s="21">
        <f ca="1">IF(K19="按租金收入计税",ROUND(J6*M19/(1+'数据-取费表'!C42),2),ROUND(C29*M19*0.7,2))</f>
        <v>0</v>
      </c>
      <c r="K19" s="1368" t="s">
        <v>3341</v>
      </c>
      <c r="L19" s="300" t="s">
        <v>712</v>
      </c>
      <c r="M19" s="320">
        <f>IF(K19="按租金收入计税",'数据-取费表'!B51,'数据-取费表'!B50)</f>
        <v>0.12</v>
      </c>
    </row>
    <row r="20" spans="1:37" s="1395" customFormat="1" ht="18" customHeight="1">
      <c r="A20" s="980" t="s">
        <v>402</v>
      </c>
      <c r="B20" s="300" t="s">
        <v>728</v>
      </c>
      <c r="C20" s="21">
        <f ca="1">ROUND(C19*F20,0)</f>
        <v>75</v>
      </c>
      <c r="D20" s="321" t="s">
        <v>729</v>
      </c>
      <c r="E20" s="300" t="s">
        <v>712</v>
      </c>
      <c r="F20" s="320">
        <f>'数据-取费表'!B37</f>
        <v>0.03</v>
      </c>
      <c r="G20" s="1394"/>
      <c r="H20" s="980" t="s">
        <v>680</v>
      </c>
      <c r="I20" s="153" t="s">
        <v>730</v>
      </c>
      <c r="J20" s="22">
        <f ca="1">ROUND(M20*M21/10000,2)</f>
        <v>1.0900000000000001</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0.02</v>
      </c>
      <c r="G21" s="1394"/>
      <c r="H21" s="324"/>
      <c r="I21" s="309"/>
      <c r="J21" s="26"/>
      <c r="K21" s="325"/>
      <c r="L21" s="300" t="s">
        <v>736</v>
      </c>
      <c r="M21" s="301">
        <f ca="1">INDIRECT("'数据-取费表'!r"&amp;$G$1)</f>
        <v>7248.99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ROUND(J14*M22,2)</f>
        <v>15.35</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54</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-16</v>
      </c>
      <c r="K25" s="1093" t="s">
        <v>753</v>
      </c>
      <c r="L25" s="1094"/>
      <c r="M25" s="1095"/>
    </row>
    <row r="26" spans="1:37">
      <c r="A26" s="980" t="s">
        <v>397</v>
      </c>
      <c r="B26" s="300" t="s">
        <v>754</v>
      </c>
      <c r="C26" s="21">
        <f ca="1">ROUND((C19+C20)*F26,0)</f>
        <v>206</v>
      </c>
      <c r="D26" s="321" t="s">
        <v>755</v>
      </c>
      <c r="E26" s="311" t="s">
        <v>756</v>
      </c>
      <c r="F26" s="310">
        <f ca="1">INDIRECT("'数据-取费表'!q"&amp;$G$1)</f>
        <v>0.08</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1.6000000000000001E-3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3069</v>
      </c>
      <c r="D29" s="1090"/>
      <c r="E29" s="1088"/>
      <c r="F29" s="1091"/>
      <c r="G29" s="1394"/>
      <c r="H29" s="332" t="s">
        <v>396</v>
      </c>
      <c r="I29" s="333" t="s">
        <v>768</v>
      </c>
      <c r="J29" s="334">
        <f ca="1">ROUND(J26/(1+F40)^F41,0)</f>
        <v>0</v>
      </c>
      <c r="K29" s="335" t="s">
        <v>769</v>
      </c>
      <c r="L29" s="336"/>
      <c r="M29" s="337">
        <f ca="1">INDIRECT("'数据-取费表'!k"&amp;$G$1)</f>
        <v>5970.96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76</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ROUND(IF(AND(项目基本情况!B11="自然人",项目基本情况!B10="北京市"),C6*F31/(1+'数据-取费表'!C42),C32+C33+C34),2)</f>
        <v>53.43</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IF(项目基本情况!B11="自然人","——",ROUND(C6*F32/(1+'数据-取费表'!C42),2))</f>
        <v>16.45</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IF(项目基本情况!B11="自然人","——",IF(D33="按租金收入计税",ROUND(C6*F33/(1+'数据-取费表'!C42),2),IF(D33="按房产原值计税",ROUND(C29*F33*0.7,2),INDIRECT("'数据-取费表'!Aj"&amp;$G$1))))</f>
        <v>35.89</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IF(项目基本情况!B11="自然人","——",ROUND(F34*F35/10000,2))</f>
        <v>1.0900000000000001</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7248.99</v>
      </c>
      <c r="G35" s="1382"/>
      <c r="H35" s="2693"/>
      <c r="I35" s="1396"/>
      <c r="J35" s="1397"/>
      <c r="K35" s="2697"/>
      <c r="L35" s="2696"/>
      <c r="M35" s="2696"/>
    </row>
    <row r="36" spans="1:18" ht="18" customHeight="1">
      <c r="A36" s="1100" t="s">
        <v>402</v>
      </c>
      <c r="B36" s="300" t="s">
        <v>738</v>
      </c>
      <c r="C36" s="21">
        <f ca="1">ROUND(C29*F36,2)</f>
        <v>15.35</v>
      </c>
      <c r="D36" s="1342" t="s">
        <v>771</v>
      </c>
      <c r="E36" s="300" t="s">
        <v>712</v>
      </c>
      <c r="F36" s="326">
        <f ca="1">INDIRECT("'数据-取费表'!Ak"&amp;$G$1)</f>
        <v>5.0000000000000001E-3</v>
      </c>
      <c r="G36" s="1382"/>
      <c r="H36" s="2696"/>
      <c r="I36" s="1396"/>
      <c r="J36" s="1397"/>
      <c r="K36" s="2540"/>
      <c r="L36" s="2696"/>
      <c r="M36" s="2696"/>
    </row>
    <row r="37" spans="1:18" ht="18" customHeight="1">
      <c r="A37" s="980" t="s">
        <v>437</v>
      </c>
      <c r="B37" s="300" t="s">
        <v>742</v>
      </c>
      <c r="C37" s="21">
        <f ca="1">ROUND(C13*F37,2)</f>
        <v>4.51</v>
      </c>
      <c r="D37" s="1342" t="s">
        <v>743</v>
      </c>
      <c r="E37" s="300" t="s">
        <v>744</v>
      </c>
      <c r="F37" s="328">
        <f ca="1">INDIRECT("'数据-取费表'!Al"&amp;$G$1)</f>
        <v>1.5E-3</v>
      </c>
      <c r="G37" s="1382"/>
      <c r="H37" s="2696">
        <f ca="1">C39/C5</f>
        <v>0.7579617834394905</v>
      </c>
      <c r="I37" s="1396"/>
      <c r="J37" s="1397"/>
      <c r="K37" s="2540"/>
      <c r="L37" s="2696"/>
      <c r="M37" s="2696"/>
    </row>
    <row r="38" spans="1:18" ht="18" customHeight="1" thickBot="1">
      <c r="A38" s="1087" t="s">
        <v>684</v>
      </c>
      <c r="B38" s="1088" t="s">
        <v>728</v>
      </c>
      <c r="C38" s="1089">
        <f ca="1">ROUND(C5*F38,2)</f>
        <v>3.14</v>
      </c>
      <c r="D38" s="1090" t="s">
        <v>748</v>
      </c>
      <c r="E38" s="1088" t="s">
        <v>744</v>
      </c>
      <c r="F38" s="1084">
        <f ca="1">INDIRECT("'数据-取费表'!Am"&amp;$G$1)</f>
        <v>0.01</v>
      </c>
      <c r="G38" s="1382"/>
      <c r="H38" s="2696"/>
      <c r="I38" s="1396"/>
      <c r="J38" s="1397"/>
      <c r="K38" s="2700"/>
      <c r="L38" s="2696"/>
      <c r="M38" s="2696"/>
    </row>
    <row r="39" spans="1:18" ht="24.6" customHeight="1" thickTop="1">
      <c r="A39" s="1077" t="s">
        <v>394</v>
      </c>
      <c r="B39" s="1092" t="s">
        <v>772</v>
      </c>
      <c r="C39" s="308">
        <f ca="1">C5-C30</f>
        <v>238</v>
      </c>
      <c r="D39" s="1093" t="s">
        <v>773</v>
      </c>
      <c r="E39" s="1094"/>
      <c r="F39" s="1095"/>
      <c r="G39" s="1382"/>
      <c r="H39" s="2696"/>
      <c r="I39" s="1396"/>
      <c r="J39" s="1397"/>
      <c r="K39" s="2700"/>
      <c r="L39" s="2696"/>
      <c r="M39" s="2696"/>
    </row>
    <row r="40" spans="1:18" ht="18" customHeight="1">
      <c r="A40" s="297" t="s">
        <v>395</v>
      </c>
      <c r="B40" s="298" t="s">
        <v>774</v>
      </c>
      <c r="C40" s="299">
        <f ca="1">ROUND(C39*(1-((1+F42)/(1+F40))^F41)/(F40-F42),0)</f>
        <v>4250</v>
      </c>
      <c r="D40" s="322" t="s">
        <v>758</v>
      </c>
      <c r="E40" s="300" t="s">
        <v>759</v>
      </c>
      <c r="F40" s="310">
        <f ca="1">INDIRECT("'数据-取费表'!I"&amp;$G$1)</f>
        <v>5.5E-2</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29.07</v>
      </c>
      <c r="G41" s="1382"/>
      <c r="H41" s="1189"/>
      <c r="I41" s="1396"/>
      <c r="J41" s="1397"/>
      <c r="K41" s="2540"/>
      <c r="L41" s="1189"/>
      <c r="M41" s="1189"/>
    </row>
    <row r="42" spans="1:18" ht="18" customHeight="1">
      <c r="A42" s="306"/>
      <c r="B42" s="307"/>
      <c r="C42" s="308"/>
      <c r="D42" s="325"/>
      <c r="E42" s="300" t="s">
        <v>766</v>
      </c>
      <c r="F42" s="310">
        <f ca="1">INDIRECT("'数据-取费表'!v"&amp;$G$1)</f>
        <v>0.02</v>
      </c>
      <c r="G42" s="1382"/>
      <c r="H42" s="1189"/>
      <c r="I42" s="1396"/>
      <c r="J42" s="1397"/>
      <c r="K42" s="2540"/>
      <c r="L42" s="1189"/>
      <c r="M42" s="1189"/>
    </row>
    <row r="43" spans="1:18" ht="18" customHeight="1" thickBot="1">
      <c r="A43" s="332" t="s">
        <v>396</v>
      </c>
      <c r="B43" s="333" t="s">
        <v>776</v>
      </c>
      <c r="C43" s="334">
        <f ca="1">ROUND(C40*10000/F43,0)</f>
        <v>7118</v>
      </c>
      <c r="D43" s="335" t="s">
        <v>777</v>
      </c>
      <c r="E43" s="336" t="s">
        <v>778</v>
      </c>
      <c r="F43" s="337">
        <f ca="1">INDIRECT("'数据-取费表'!k"&amp;$G$1)</f>
        <v>5970.96</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f ca="1">C68-C40</f>
        <v>-4551</v>
      </c>
      <c r="D46" s="1404" t="str">
        <f>C2</f>
        <v>万元</v>
      </c>
      <c r="E46" s="1398"/>
      <c r="F46" s="1398"/>
      <c r="I46" s="1405" t="s">
        <v>810</v>
      </c>
      <c r="J46" s="1406"/>
      <c r="K46" s="1407"/>
      <c r="L46" s="1408">
        <f ca="1">IF(M47="住宅",0,IF(L48&gt;J51,L60,J60))</f>
        <v>163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3410</v>
      </c>
      <c r="K47" s="1414" t="s">
        <v>816</v>
      </c>
      <c r="L47" s="1415">
        <f ca="1">INDIRECT("'数据-取费表'!d"&amp;$G$1)</f>
        <v>50</v>
      </c>
      <c r="M47" s="1378" t="str">
        <f>IF(ISNUMBER(FIND("住宅",C1)),"住宅","非住宅")</f>
        <v>非住宅</v>
      </c>
      <c r="O47" s="1416" t="s">
        <v>403</v>
      </c>
      <c r="P47" s="1417" t="s">
        <v>817</v>
      </c>
      <c r="Q47" s="1418">
        <f ca="1">C40+J29</f>
        <v>4250</v>
      </c>
      <c r="R47" s="1418" t="s">
        <v>818</v>
      </c>
    </row>
    <row r="48" spans="1:18" s="1382" customFormat="1" ht="28.5" thickBot="1">
      <c r="A48" s="1108" t="s">
        <v>438</v>
      </c>
      <c r="B48" s="298" t="s">
        <v>692</v>
      </c>
      <c r="C48" s="1357">
        <f ca="1">C49+C53+C55</f>
        <v>0</v>
      </c>
      <c r="D48" s="1110"/>
      <c r="E48" s="1111"/>
      <c r="F48" s="960"/>
      <c r="G48" s="720"/>
      <c r="H48" s="721"/>
      <c r="I48" s="1419" t="s">
        <v>819</v>
      </c>
      <c r="J48" s="1420" t="s">
        <v>3411</v>
      </c>
      <c r="K48" s="1421" t="s">
        <v>820</v>
      </c>
      <c r="L48" s="1422">
        <f ca="1">INDIRECT("'数据-取费表'!f"&amp;$G$1)</f>
        <v>29.07</v>
      </c>
      <c r="O48" s="1416" t="s">
        <v>404</v>
      </c>
      <c r="P48" s="1417" t="s">
        <v>821</v>
      </c>
      <c r="Q48" s="1418">
        <f ca="1">J60</f>
        <v>163</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2022</v>
      </c>
      <c r="K49" s="1421" t="s">
        <v>824</v>
      </c>
      <c r="L49" s="1425"/>
      <c r="O49" s="1426" t="s">
        <v>405</v>
      </c>
      <c r="P49" s="1417" t="s">
        <v>825</v>
      </c>
      <c r="Q49" s="1418">
        <f ca="1">C29</f>
        <v>3069</v>
      </c>
      <c r="R49" s="1418" t="s">
        <v>818</v>
      </c>
    </row>
    <row r="50" spans="1:18" s="1382" customFormat="1" ht="13.5" thickBot="1">
      <c r="A50" s="974"/>
      <c r="B50" s="977"/>
      <c r="C50" s="1116"/>
      <c r="D50" s="951"/>
      <c r="E50" s="1054" t="s">
        <v>697</v>
      </c>
      <c r="F50" s="1055">
        <f ca="1">F7</f>
        <v>5970.96</v>
      </c>
      <c r="H50" s="721"/>
      <c r="I50" s="1419" t="s">
        <v>826</v>
      </c>
      <c r="J50" s="1427">
        <f>SUMPRODUCT((I63:I65=J47)*(J62:L62=J48)*(J63:L65))</f>
        <v>60</v>
      </c>
      <c r="K50" s="1421" t="s">
        <v>827</v>
      </c>
      <c r="L50" s="1425"/>
      <c r="M50" s="1428"/>
      <c r="O50" s="1426" t="s">
        <v>406</v>
      </c>
      <c r="P50" s="1417" t="s">
        <v>828</v>
      </c>
      <c r="Q50" s="1429">
        <f ca="1">J58</f>
        <v>0.499</v>
      </c>
      <c r="R50" s="1418"/>
    </row>
    <row r="51" spans="1:18" s="1382" customFormat="1" ht="13.5" thickBot="1">
      <c r="A51" s="975"/>
      <c r="B51" s="977"/>
      <c r="C51" s="978"/>
      <c r="D51" s="951"/>
      <c r="E51" s="979" t="s">
        <v>698</v>
      </c>
      <c r="F51" s="301">
        <f ca="1">F8</f>
        <v>365</v>
      </c>
      <c r="I51" s="1430" t="s">
        <v>829</v>
      </c>
      <c r="J51" s="1431">
        <f>IF(J49="",J50,J49+J50-YEAR('数据-取费表'!B2))</f>
        <v>59</v>
      </c>
      <c r="K51" s="1432" t="s">
        <v>830</v>
      </c>
      <c r="L51" s="1433">
        <f ca="1">ROUND(-PV(INDIRECT("'数据-取费表'!h"&amp;$G$1),J51,(C39-C13*C76),0),0)</f>
        <v>564</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29.07</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29.07</v>
      </c>
      <c r="K53" s="3663" t="s">
        <v>837</v>
      </c>
      <c r="L53" s="3664"/>
      <c r="O53" s="1416" t="s">
        <v>409</v>
      </c>
      <c r="P53" s="1417" t="s">
        <v>838</v>
      </c>
      <c r="Q53" s="1418">
        <f ca="1">Q47+Q48</f>
        <v>4413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0.499</v>
      </c>
      <c r="K55" s="1443" t="s">
        <v>841</v>
      </c>
      <c r="L55" s="1444"/>
      <c r="O55" s="1409" t="s">
        <v>811</v>
      </c>
      <c r="P55" s="1410" t="s">
        <v>812</v>
      </c>
      <c r="Q55" s="1411" t="s">
        <v>813</v>
      </c>
      <c r="R55" s="1411" t="s">
        <v>814</v>
      </c>
    </row>
    <row r="56" spans="1:18" s="1382" customFormat="1" ht="25.5" thickTop="1" thickBot="1">
      <c r="A56" s="955">
        <v>2</v>
      </c>
      <c r="B56" s="956" t="s">
        <v>704</v>
      </c>
      <c r="C56" s="230">
        <f ca="1">C13</f>
        <v>3008</v>
      </c>
      <c r="D56" s="1445"/>
      <c r="E56" s="1446"/>
      <c r="F56" s="1438"/>
      <c r="I56" s="1447" t="s">
        <v>842</v>
      </c>
      <c r="J56" s="1448" t="s">
        <v>3418</v>
      </c>
      <c r="K56" s="1419" t="s">
        <v>843</v>
      </c>
      <c r="L56" s="1422" t="str">
        <f ca="1">IF(L48&lt;J51,"——",L48-J53)</f>
        <v>——</v>
      </c>
      <c r="O56" s="1416" t="s">
        <v>403</v>
      </c>
      <c r="P56" s="1417" t="s">
        <v>817</v>
      </c>
      <c r="Q56" s="1418">
        <f ca="1">C40+J29</f>
        <v>4250</v>
      </c>
      <c r="R56" s="1418" t="s">
        <v>818</v>
      </c>
    </row>
    <row r="57" spans="1:18" s="1382" customFormat="1" ht="24.75" thickBot="1">
      <c r="A57" s="1449"/>
      <c r="B57" s="948" t="s">
        <v>767</v>
      </c>
      <c r="C57" s="236">
        <f ca="1">C29</f>
        <v>3069</v>
      </c>
      <c r="D57" s="1450"/>
      <c r="E57" s="1451"/>
      <c r="F57" s="1452"/>
      <c r="I57" s="1453" t="s">
        <v>844</v>
      </c>
      <c r="J57" s="1454">
        <f ca="1">IF(OR(M47="住宅",J51&lt;L48,J56="是"),"——",J51-L48)</f>
        <v>29.93</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21</v>
      </c>
      <c r="D58" s="958" t="s">
        <v>715</v>
      </c>
      <c r="E58" s="959"/>
      <c r="F58" s="960"/>
      <c r="I58" s="1453" t="s">
        <v>848</v>
      </c>
      <c r="J58" s="1455">
        <f ca="1">IF(J55&lt;0.4,0.4,J55)</f>
        <v>0.499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1531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163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1.0900000000000001</v>
      </c>
      <c r="D62" s="963" t="s">
        <v>786</v>
      </c>
      <c r="E62" s="948" t="s">
        <v>787</v>
      </c>
      <c r="F62" s="323">
        <f t="shared" si="0"/>
        <v>1.5</v>
      </c>
      <c r="I62" s="1460" t="s">
        <v>858</v>
      </c>
      <c r="J62" s="1461" t="s">
        <v>859</v>
      </c>
      <c r="K62" s="1461" t="s">
        <v>860</v>
      </c>
      <c r="L62" s="1461" t="s">
        <v>861</v>
      </c>
      <c r="M62" s="1462" t="s">
        <v>862</v>
      </c>
      <c r="O62" s="1416" t="s">
        <v>409</v>
      </c>
      <c r="P62" s="1417" t="s">
        <v>863</v>
      </c>
      <c r="Q62" s="1418">
        <f ca="1">Q56+Q57</f>
        <v>4250</v>
      </c>
      <c r="R62" s="1418" t="s">
        <v>410</v>
      </c>
    </row>
    <row r="63" spans="1:18" s="1382" customFormat="1" ht="13.5" thickBot="1">
      <c r="A63" s="324"/>
      <c r="B63" s="954"/>
      <c r="C63" s="26"/>
      <c r="D63" s="964"/>
      <c r="E63" s="948" t="s">
        <v>788</v>
      </c>
      <c r="F63" s="301">
        <f t="shared" ca="1" si="0"/>
        <v>7248.99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15.35</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4.51</v>
      </c>
      <c r="D65" s="962" t="s">
        <v>743</v>
      </c>
      <c r="E65" s="948" t="s">
        <v>744</v>
      </c>
      <c r="F65" s="328">
        <f t="shared" ca="1" si="0"/>
        <v>1.5E-3</v>
      </c>
      <c r="I65" s="1460" t="s">
        <v>867</v>
      </c>
      <c r="J65" s="1461">
        <v>40</v>
      </c>
      <c r="K65" s="1461">
        <v>30</v>
      </c>
      <c r="L65" s="1461">
        <v>50</v>
      </c>
      <c r="M65" s="1463">
        <v>0.02</v>
      </c>
      <c r="O65" s="1416" t="s">
        <v>403</v>
      </c>
      <c r="P65" s="1417" t="s">
        <v>868</v>
      </c>
      <c r="Q65" s="1418">
        <f ca="1">C40+J29</f>
        <v>4250</v>
      </c>
      <c r="R65" s="1418" t="s">
        <v>818</v>
      </c>
    </row>
    <row r="66" spans="1:18" s="1382" customFormat="1" ht="16.5" thickBot="1">
      <c r="A66" s="980" t="s">
        <v>793</v>
      </c>
      <c r="B66" s="948" t="s">
        <v>728</v>
      </c>
      <c r="C66" s="21">
        <f ca="1">ROUND(C48*F66,2)</f>
        <v>0</v>
      </c>
      <c r="D66" s="962" t="s">
        <v>794</v>
      </c>
      <c r="E66" s="948" t="s">
        <v>712</v>
      </c>
      <c r="F66" s="310">
        <f t="shared" ca="1" si="0"/>
        <v>0.01</v>
      </c>
      <c r="O66" s="1416" t="s">
        <v>404</v>
      </c>
      <c r="P66" s="1417" t="s">
        <v>846</v>
      </c>
      <c r="Q66" s="1418">
        <f ca="1">L60</f>
        <v>0</v>
      </c>
      <c r="R66" s="1418" t="s">
        <v>869</v>
      </c>
    </row>
    <row r="67" spans="1:18" s="1382" customFormat="1" ht="16.5" thickBot="1">
      <c r="A67" s="955" t="s">
        <v>394</v>
      </c>
      <c r="B67" s="965" t="s">
        <v>752</v>
      </c>
      <c r="C67" s="314">
        <f ca="1">C48-C58</f>
        <v>-21</v>
      </c>
      <c r="D67" s="961" t="s">
        <v>753</v>
      </c>
      <c r="E67" s="966"/>
      <c r="F67" s="967"/>
      <c r="O67" s="1426" t="s">
        <v>405</v>
      </c>
      <c r="P67" s="1417" t="s">
        <v>850</v>
      </c>
      <c r="Q67" s="1464">
        <f ca="1">L51</f>
        <v>564</v>
      </c>
      <c r="R67" s="1418" t="s">
        <v>870</v>
      </c>
    </row>
    <row r="68" spans="1:18" s="1382" customFormat="1" ht="16.5" thickBot="1">
      <c r="A68" s="945" t="s">
        <v>395</v>
      </c>
      <c r="B68" s="946" t="s">
        <v>774</v>
      </c>
      <c r="C68" s="299">
        <f ca="1">ROUND(C67*(1-((1+F70)/(1+F68))^F69)/(F68-F70),0)</f>
        <v>-301</v>
      </c>
      <c r="D68" s="963" t="s">
        <v>758</v>
      </c>
      <c r="E68" s="948" t="s">
        <v>759</v>
      </c>
      <c r="F68" s="310">
        <f ca="1">F40</f>
        <v>5.5E-2</v>
      </c>
      <c r="O68" s="1426" t="s">
        <v>406</v>
      </c>
      <c r="P68" s="1465" t="s">
        <v>871</v>
      </c>
      <c r="Q68" s="1418">
        <f ca="1">ROUND(Q69-Q70*Q71,0)</f>
        <v>27</v>
      </c>
      <c r="R68" s="1418" t="s">
        <v>414</v>
      </c>
    </row>
    <row r="69" spans="1:18" s="1382" customFormat="1" ht="13.5" thickBot="1">
      <c r="A69" s="949"/>
      <c r="B69" s="950"/>
      <c r="C69" s="304"/>
      <c r="D69" s="968" t="s">
        <v>762</v>
      </c>
      <c r="E69" s="948" t="s">
        <v>763</v>
      </c>
      <c r="F69" s="331">
        <f ca="1">F41</f>
        <v>29.07</v>
      </c>
      <c r="O69" s="1426" t="s">
        <v>411</v>
      </c>
      <c r="P69" s="1465" t="s">
        <v>872</v>
      </c>
      <c r="Q69" s="1418">
        <f ca="1">C39</f>
        <v>238</v>
      </c>
      <c r="R69" s="1418" t="s">
        <v>818</v>
      </c>
    </row>
    <row r="70" spans="1:18" s="1382" customFormat="1" ht="13.5" thickBot="1">
      <c r="A70" s="952"/>
      <c r="B70" s="953"/>
      <c r="C70" s="308"/>
      <c r="D70" s="964"/>
      <c r="E70" s="948" t="s">
        <v>766</v>
      </c>
      <c r="F70" s="1052"/>
      <c r="O70" s="1426" t="s">
        <v>412</v>
      </c>
      <c r="P70" s="1465" t="s">
        <v>873</v>
      </c>
      <c r="Q70" s="1418">
        <f ca="1">C13</f>
        <v>3008</v>
      </c>
      <c r="R70" s="1418" t="s">
        <v>818</v>
      </c>
    </row>
    <row r="71" spans="1:18" s="1382" customFormat="1" ht="13.5" thickBot="1">
      <c r="A71" s="969" t="s">
        <v>396</v>
      </c>
      <c r="B71" s="970" t="s">
        <v>776</v>
      </c>
      <c r="C71" s="334">
        <f ca="1">ROUND(C68*10000/F71,0)</f>
        <v>-504</v>
      </c>
      <c r="D71" s="971" t="s">
        <v>777</v>
      </c>
      <c r="E71" s="972" t="s">
        <v>778</v>
      </c>
      <c r="F71" s="337">
        <f ca="1">F43</f>
        <v>5970.96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211</v>
      </c>
      <c r="D75" s="1382"/>
      <c r="E75" s="1382"/>
      <c r="F75" s="1382"/>
      <c r="K75" s="1400"/>
      <c r="L75" s="1382"/>
      <c r="O75" s="1416" t="s">
        <v>409</v>
      </c>
      <c r="P75" s="1417" t="s">
        <v>838</v>
      </c>
      <c r="Q75" s="1418">
        <f ca="1">Q65+Q66</f>
        <v>4250</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0.11299999999999999</v>
      </c>
    </row>
    <row r="80" spans="1:18">
      <c r="B80" s="338" t="s">
        <v>800</v>
      </c>
      <c r="C80" s="272">
        <f ca="1">ROUND(C75/C39,3)</f>
        <v>0.88700000000000001</v>
      </c>
    </row>
    <row r="81" spans="2:3">
      <c r="B81" s="268" t="s">
        <v>801</v>
      </c>
      <c r="C81" s="236"/>
    </row>
    <row r="82" spans="2:3">
      <c r="B82" s="271" t="s">
        <v>802</v>
      </c>
      <c r="C82" s="273">
        <f ca="1">1-C83</f>
        <v>0.29200000000000004</v>
      </c>
    </row>
    <row r="83" spans="2:3">
      <c r="B83" s="271" t="s">
        <v>803</v>
      </c>
      <c r="C83" s="272">
        <f ca="1">ROUND(C13/C40,3)</f>
        <v>0.70799999999999996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65" t="s">
        <v>694</v>
      </c>
      <c r="C6" s="1072">
        <f ca="1">ROUND(F6*F8*F7*(1-F9),0)</f>
        <v>0</v>
      </c>
      <c r="D6" s="153" t="s">
        <v>2106</v>
      </c>
      <c r="E6" s="300" t="s">
        <v>696</v>
      </c>
      <c r="F6" s="301">
        <f ca="1">INDIRECT("'数据-取费表'!u"&amp;$G$1)</f>
        <v>0</v>
      </c>
      <c r="G6" s="1382"/>
      <c r="H6" s="1067" t="s">
        <v>398</v>
      </c>
      <c r="I6" s="3665" t="s">
        <v>694</v>
      </c>
      <c r="J6" s="299">
        <f ca="1">ROUND(M6*M8*M7*(1-M9),0)</f>
        <v>0</v>
      </c>
      <c r="K6" s="1374" t="s">
        <v>2107</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0</v>
      </c>
      <c r="G7" s="1382"/>
      <c r="H7" s="302"/>
      <c r="I7" s="3666"/>
      <c r="J7" s="304"/>
      <c r="K7" s="305"/>
      <c r="L7" s="300" t="s">
        <v>697</v>
      </c>
      <c r="M7" s="301">
        <f ca="1">F7</f>
        <v>0</v>
      </c>
    </row>
    <row r="8" spans="1:37" ht="18" customHeight="1">
      <c r="A8" s="302"/>
      <c r="B8" s="3666"/>
      <c r="C8" s="304"/>
      <c r="D8" s="305"/>
      <c r="E8" s="300" t="s">
        <v>698</v>
      </c>
      <c r="F8" s="301">
        <f ca="1">INDIRECT("'数据-取费表'!ai"&amp;$G$1)</f>
        <v>0</v>
      </c>
      <c r="G8" s="1382"/>
      <c r="H8" s="302"/>
      <c r="I8" s="3666"/>
      <c r="J8" s="304"/>
      <c r="K8" s="305"/>
      <c r="L8" s="300" t="s">
        <v>698</v>
      </c>
      <c r="M8" s="301">
        <f ca="1">INDIRECT("'数据-取费表'!ai"&amp;$G$1)</f>
        <v>0</v>
      </c>
    </row>
    <row r="9" spans="1:37" ht="18" customHeight="1">
      <c r="A9" s="302"/>
      <c r="B9" s="3667"/>
      <c r="C9" s="304"/>
      <c r="D9" s="305"/>
      <c r="E9" s="300" t="s">
        <v>699</v>
      </c>
      <c r="F9" s="310">
        <f ca="1">INDIRECT("'数据-取费表'!w"&amp;$G$1)</f>
        <v>0</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150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3341</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IF(项目基本情况!B11="自然人","——",ROUND(F34*F35,0))</f>
        <v>0</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0</v>
      </c>
      <c r="G35" s="1382"/>
      <c r="H35" s="2693"/>
      <c r="I35" s="1396"/>
      <c r="J35" s="1397"/>
      <c r="K35" s="2697"/>
      <c r="L35" s="2696"/>
      <c r="M35" s="2696"/>
    </row>
    <row r="36" spans="1:18" ht="18" customHeight="1">
      <c r="A36" s="1100" t="s">
        <v>402</v>
      </c>
      <c r="B36" s="300" t="s">
        <v>738</v>
      </c>
      <c r="C36" s="21">
        <f ca="1">ROUND(C29*F36,0)</f>
        <v>0</v>
      </c>
      <c r="D36" s="1342" t="s">
        <v>771</v>
      </c>
      <c r="E36" s="300" t="s">
        <v>712</v>
      </c>
      <c r="F36" s="326">
        <f ca="1">INDIRECT("'数据-取费表'!Ak"&amp;$G$1)</f>
        <v>0</v>
      </c>
      <c r="G36" s="1382"/>
      <c r="H36" s="2696"/>
      <c r="I36" s="1396"/>
      <c r="J36" s="1397"/>
      <c r="K36" s="2540"/>
      <c r="L36" s="2696"/>
      <c r="M36" s="2696"/>
    </row>
    <row r="37" spans="1:18" ht="18" customHeight="1">
      <c r="A37" s="980" t="s">
        <v>437</v>
      </c>
      <c r="B37" s="300" t="s">
        <v>742</v>
      </c>
      <c r="C37" s="21">
        <f ca="1">ROUND(C13*F37,0)</f>
        <v>0</v>
      </c>
      <c r="D37" s="1342" t="s">
        <v>743</v>
      </c>
      <c r="E37" s="300" t="s">
        <v>744</v>
      </c>
      <c r="F37" s="328">
        <f ca="1">INDIRECT("'数据-取费表'!Al"&amp;$G$1)</f>
        <v>0</v>
      </c>
      <c r="G37" s="1382"/>
      <c r="H37" s="2696"/>
      <c r="I37" s="1396"/>
      <c r="J37" s="1397"/>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2"/>
      <c r="H38" s="2696"/>
      <c r="I38" s="1396"/>
      <c r="J38" s="1397"/>
      <c r="K38" s="2700"/>
      <c r="L38" s="2696"/>
      <c r="M38" s="2696"/>
    </row>
    <row r="39" spans="1:18" ht="24.6" customHeight="1" thickTop="1">
      <c r="A39" s="1077" t="s">
        <v>394</v>
      </c>
      <c r="B39" s="1092" t="s">
        <v>772</v>
      </c>
      <c r="C39" s="308">
        <f ca="1">C5-C30</f>
        <v>0</v>
      </c>
      <c r="D39" s="1093" t="s">
        <v>773</v>
      </c>
      <c r="E39" s="1094"/>
      <c r="F39" s="1095"/>
      <c r="G39" s="1382"/>
      <c r="H39" s="2696"/>
      <c r="I39" s="1396"/>
      <c r="J39" s="1397"/>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0"/>
      <c r="L41" s="1189"/>
      <c r="M41" s="1189"/>
    </row>
    <row r="42" spans="1:18" ht="18" customHeight="1">
      <c r="A42" s="306"/>
      <c r="B42" s="307"/>
      <c r="C42" s="308"/>
      <c r="D42" s="325"/>
      <c r="E42" s="300" t="s">
        <v>766</v>
      </c>
      <c r="F42" s="310">
        <f ca="1">INDIRECT("'数据-取费表'!v"&amp;$G$1)</f>
        <v>0</v>
      </c>
      <c r="G42" s="1382"/>
      <c r="H42" s="1189"/>
      <c r="I42" s="1396"/>
      <c r="J42" s="1397"/>
      <c r="K42" s="2540"/>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3357</v>
      </c>
      <c r="B45" s="1398"/>
      <c r="C45" s="1470" t="e">
        <f ca="1">ROUND((C68-C40)/10000,4)</f>
        <v>#DIV/0!</v>
      </c>
      <c r="D45" s="3428"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63" t="s">
        <v>837</v>
      </c>
      <c r="L53" s="3664"/>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3364</v>
      </c>
      <c r="E2" s="3440"/>
      <c r="F2" s="2842"/>
      <c r="G2" s="2843"/>
      <c r="H2" s="2844"/>
      <c r="I2" s="2845"/>
      <c r="J2" s="3674" t="s">
        <v>2318</v>
      </c>
      <c r="K2" s="3675"/>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76" t="s">
        <v>2328</v>
      </c>
      <c r="K3" s="3677"/>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76" t="s">
        <v>2330</v>
      </c>
      <c r="K4" s="3677"/>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82" t="s">
        <v>2334</v>
      </c>
      <c r="B6" s="3683"/>
      <c r="C6" s="3684"/>
      <c r="D6" s="2866"/>
      <c r="E6" s="2867"/>
      <c r="F6" s="2868"/>
      <c r="G6" s="2869"/>
      <c r="H6" s="2844"/>
      <c r="I6" s="2845"/>
      <c r="J6" s="3668">
        <v>1</v>
      </c>
      <c r="K6" s="3669"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68"/>
      <c r="K7" s="3670"/>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85" t="s">
        <v>2348</v>
      </c>
      <c r="C8" s="3686"/>
      <c r="D8" s="2885" t="s">
        <v>2349</v>
      </c>
      <c r="E8" s="2886" t="s">
        <v>2350</v>
      </c>
      <c r="F8" s="2887" t="s">
        <v>2351</v>
      </c>
      <c r="G8" s="2888"/>
      <c r="H8" s="2844"/>
      <c r="I8" s="2845"/>
      <c r="J8" s="3668"/>
      <c r="K8" s="3670"/>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85" t="s">
        <v>2354</v>
      </c>
      <c r="C9" s="3686"/>
      <c r="D9" s="2885">
        <f>ROUND(D6*E9,0)</f>
        <v>0</v>
      </c>
      <c r="E9" s="2889"/>
      <c r="F9" s="2890" t="s">
        <v>2355</v>
      </c>
      <c r="G9" s="2869"/>
      <c r="H9" s="2844"/>
      <c r="I9" s="2845"/>
      <c r="J9" s="3668"/>
      <c r="K9" s="3670"/>
      <c r="L9" s="2879" t="s">
        <v>2356</v>
      </c>
      <c r="M9" s="2880"/>
      <c r="N9" s="2856"/>
      <c r="O9" s="2881"/>
      <c r="P9" s="2881"/>
      <c r="Q9" s="2882">
        <v>365</v>
      </c>
      <c r="R9" s="2883">
        <f t="shared" si="0"/>
        <v>0</v>
      </c>
      <c r="S9" s="2837"/>
      <c r="T9" s="2837"/>
      <c r="U9" s="2837"/>
      <c r="V9" s="2845"/>
    </row>
    <row r="10" spans="1:22" s="2849" customFormat="1" ht="13.15" customHeight="1">
      <c r="A10" s="2884">
        <v>2</v>
      </c>
      <c r="B10" s="3685" t="s">
        <v>2357</v>
      </c>
      <c r="C10" s="3686"/>
      <c r="D10" s="2885">
        <f>ROUND(D6*E10,0)</f>
        <v>0</v>
      </c>
      <c r="E10" s="2889"/>
      <c r="F10" s="2890" t="s">
        <v>2358</v>
      </c>
      <c r="G10" s="2869"/>
      <c r="H10" s="2844"/>
      <c r="I10" s="2845"/>
      <c r="J10" s="3668"/>
      <c r="K10" s="3670"/>
      <c r="L10" s="2879" t="s">
        <v>2359</v>
      </c>
      <c r="M10" s="2880"/>
      <c r="N10" s="2856"/>
      <c r="O10" s="2881"/>
      <c r="P10" s="2881"/>
      <c r="Q10" s="2882">
        <v>365</v>
      </c>
      <c r="R10" s="2883">
        <f t="shared" si="0"/>
        <v>0</v>
      </c>
      <c r="S10" s="2837"/>
      <c r="T10" s="2837"/>
      <c r="U10" s="2837"/>
      <c r="V10" s="2845"/>
    </row>
    <row r="11" spans="1:22" s="2849" customFormat="1" ht="13.15" customHeight="1">
      <c r="A11" s="2884">
        <v>3</v>
      </c>
      <c r="B11" s="3685" t="s">
        <v>2360</v>
      </c>
      <c r="C11" s="3686"/>
      <c r="D11" s="2885">
        <f>D12+D14+D15+D16</f>
        <v>0</v>
      </c>
      <c r="E11" s="2891" t="e">
        <f>D11/D6</f>
        <v>#DIV/0!</v>
      </c>
      <c r="F11" s="2887"/>
      <c r="G11" s="2888"/>
      <c r="H11" s="2844"/>
      <c r="I11" s="2845"/>
      <c r="J11" s="3668"/>
      <c r="K11" s="3670"/>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78" t="s">
        <v>2363</v>
      </c>
      <c r="C12" s="3679"/>
      <c r="D12" s="2893">
        <f>ROUND(D13*1.2%*(1-30%),0)</f>
        <v>0</v>
      </c>
      <c r="E12" s="2894">
        <v>1.2E-2</v>
      </c>
      <c r="F12" s="2887" t="s">
        <v>2364</v>
      </c>
      <c r="G12" s="2888"/>
      <c r="H12" s="2844"/>
      <c r="I12" s="2845"/>
      <c r="J12" s="3668"/>
      <c r="K12" s="3670"/>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68"/>
      <c r="K13" s="3670"/>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78" t="s">
        <v>2369</v>
      </c>
      <c r="C14" s="3679"/>
      <c r="D14" s="2893">
        <f>ROUND(E14*B5/10000,0)</f>
        <v>0</v>
      </c>
      <c r="E14" s="2882"/>
      <c r="F14" s="2887" t="s">
        <v>2370</v>
      </c>
      <c r="G14" s="2888"/>
      <c r="H14" s="2844"/>
      <c r="I14" s="2845"/>
      <c r="J14" s="3668"/>
      <c r="K14" s="3671"/>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78" t="s">
        <v>2373</v>
      </c>
      <c r="C15" s="3679"/>
      <c r="D15" s="2893">
        <f>ROUND(D6*E15,0)</f>
        <v>0</v>
      </c>
      <c r="E15" s="2894">
        <v>5.5E-2</v>
      </c>
      <c r="F15" s="2887" t="s">
        <v>2374</v>
      </c>
      <c r="G15" s="2869"/>
      <c r="H15" s="2844"/>
      <c r="I15" s="2845"/>
      <c r="J15" s="3668">
        <v>2</v>
      </c>
      <c r="K15" s="3669"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78" t="s">
        <v>2382</v>
      </c>
      <c r="C16" s="3679"/>
      <c r="D16" s="2904">
        <f>D6*E16</f>
        <v>0</v>
      </c>
      <c r="E16" s="2905"/>
      <c r="F16" s="2890" t="s">
        <v>2383</v>
      </c>
      <c r="G16" s="2869"/>
      <c r="H16" s="2844"/>
      <c r="I16" s="2845"/>
      <c r="J16" s="3668"/>
      <c r="K16" s="3670"/>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80" t="s">
        <v>2385</v>
      </c>
      <c r="C17" s="3681"/>
      <c r="D17" s="2907">
        <f>ROUND(D6*E17,0)</f>
        <v>0</v>
      </c>
      <c r="E17" s="2908"/>
      <c r="F17" s="2909" t="s">
        <v>2386</v>
      </c>
      <c r="G17" s="2869"/>
      <c r="H17" s="2844"/>
      <c r="I17" s="2845"/>
      <c r="J17" s="3668"/>
      <c r="K17" s="3670"/>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68"/>
      <c r="K18" s="3670"/>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68"/>
      <c r="K19" s="3671"/>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8">
        <v>3</v>
      </c>
      <c r="K20" s="3669"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68"/>
      <c r="K21" s="3670"/>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68"/>
      <c r="K22" s="3670"/>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68"/>
      <c r="K23" s="3670"/>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68"/>
      <c r="K24" s="3671"/>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72">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7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74" t="s">
        <v>2318</v>
      </c>
      <c r="K32" s="3675"/>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76" t="s">
        <v>2328</v>
      </c>
      <c r="K33" s="3677"/>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76" t="s">
        <v>2330</v>
      </c>
      <c r="K34" s="367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68">
        <v>1</v>
      </c>
      <c r="K36" s="3669"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68"/>
      <c r="K37" s="3670"/>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8"/>
      <c r="K38" s="3670"/>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68"/>
      <c r="K39" s="3670"/>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68"/>
      <c r="K40" s="3671"/>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2">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7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4413</v>
      </c>
      <c r="C2" s="1870" t="s">
        <v>1651</v>
      </c>
      <c r="D2" s="1871" t="s">
        <v>1652</v>
      </c>
      <c r="E2" s="2603">
        <f>SUM(E6:E13)</f>
        <v>5970.96</v>
      </c>
      <c r="F2" s="2703"/>
      <c r="G2" s="1487"/>
      <c r="H2" s="1487"/>
      <c r="I2" s="1487"/>
      <c r="J2" s="1487"/>
      <c r="K2" s="1487"/>
      <c r="L2" s="1487"/>
      <c r="M2" s="1487"/>
      <c r="N2" s="1487"/>
      <c r="O2" s="1487"/>
      <c r="P2" s="1487"/>
      <c r="Q2" s="1487"/>
      <c r="R2" s="1487"/>
      <c r="S2" s="1487"/>
    </row>
    <row r="3" spans="1:22" ht="15.75">
      <c r="A3" s="1868" t="s">
        <v>686</v>
      </c>
      <c r="B3" s="2597">
        <f ca="1">ROUND(B2*10000/E2,0)</f>
        <v>7391</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1653</v>
      </c>
      <c r="B5" s="3687" t="s">
        <v>1654</v>
      </c>
      <c r="C5" s="3688"/>
      <c r="D5" s="2704"/>
      <c r="E5" s="1872" t="s">
        <v>1655</v>
      </c>
      <c r="F5" s="1873" t="s">
        <v>1656</v>
      </c>
      <c r="G5" s="1487"/>
      <c r="H5" s="1487"/>
      <c r="I5" s="1487"/>
      <c r="J5" s="1487"/>
      <c r="K5" s="1487"/>
      <c r="L5" s="1487"/>
      <c r="M5" s="1487"/>
      <c r="N5" s="1487"/>
      <c r="O5" s="1487"/>
      <c r="P5" s="1487"/>
      <c r="Q5" s="1487"/>
      <c r="R5" s="1487"/>
      <c r="S5" s="1487"/>
    </row>
    <row r="6" spans="1:22">
      <c r="A6" s="2600" t="str">
        <f>'数据-取费表'!AN6</f>
        <v>收益法</v>
      </c>
      <c r="B6" s="2598">
        <f ca="1">IF(F6="是",'数据-取费表'!AO6,0)</f>
        <v>4413</v>
      </c>
      <c r="C6" s="1870" t="s">
        <v>1651</v>
      </c>
      <c r="D6" s="2705"/>
      <c r="E6" s="2602">
        <f>IF(OR(A6=0,F6="否"),0,'数据-取费表'!K6+'数据-取费表'!S6)</f>
        <v>5970.96</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5"/>
      <c r="E7" s="2602">
        <f>IF(OR(A7=0,F7="否"),0,'数据-取费表'!K7+'数据-取费表'!S7)</f>
        <v>0</v>
      </c>
      <c r="F7" s="1874" t="s">
        <v>1657</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5"/>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5"/>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5"/>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5"/>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5"/>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6"/>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5970.96</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3" t="s">
        <v>1666</v>
      </c>
      <c r="B4" s="354"/>
      <c r="C4" s="3707" t="s">
        <v>1667</v>
      </c>
      <c r="D4" s="3708"/>
      <c r="E4" s="3709" t="s">
        <v>1668</v>
      </c>
      <c r="F4" s="3710"/>
      <c r="G4" s="3707" t="s">
        <v>1669</v>
      </c>
      <c r="H4" s="3708"/>
      <c r="I4" s="3707" t="s">
        <v>1670</v>
      </c>
      <c r="J4" s="3708"/>
      <c r="K4" s="1887" t="s">
        <v>1671</v>
      </c>
      <c r="L4" s="2711"/>
      <c r="M4" s="2712"/>
      <c r="N4" s="2712"/>
      <c r="O4" s="2712"/>
      <c r="P4" s="3711" t="s">
        <v>1672</v>
      </c>
      <c r="Q4" s="3712"/>
      <c r="R4" s="3717" t="s">
        <v>1668</v>
      </c>
      <c r="S4" s="3718"/>
      <c r="T4" s="3717" t="s">
        <v>1669</v>
      </c>
      <c r="U4" s="3718"/>
      <c r="V4" s="3723" t="s">
        <v>1670</v>
      </c>
      <c r="W4" s="3723"/>
      <c r="X4" s="1353"/>
      <c r="Y4" s="3717" t="s">
        <v>1672</v>
      </c>
      <c r="Z4" s="3718"/>
      <c r="AA4" s="3704" t="s">
        <v>1668</v>
      </c>
      <c r="AB4" s="3704" t="s">
        <v>1669</v>
      </c>
      <c r="AC4" s="3704" t="s">
        <v>1670</v>
      </c>
    </row>
    <row r="5" spans="1:29" ht="15">
      <c r="A5" s="356"/>
      <c r="B5" s="357"/>
      <c r="C5" s="3726" t="s">
        <v>1673</v>
      </c>
      <c r="D5" s="3727"/>
      <c r="E5" s="3733" t="s">
        <v>1674</v>
      </c>
      <c r="F5" s="3734"/>
      <c r="G5" s="3726" t="s">
        <v>1675</v>
      </c>
      <c r="H5" s="3727"/>
      <c r="I5" s="3726" t="s">
        <v>1676</v>
      </c>
      <c r="J5" s="3727"/>
      <c r="K5" s="1888"/>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1888"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1889"/>
      <c r="L7" s="2713"/>
      <c r="M7" s="2714"/>
      <c r="N7" s="2714"/>
      <c r="O7" s="2714"/>
      <c r="P7" s="3728" t="s">
        <v>1680</v>
      </c>
      <c r="Q7" s="3730"/>
      <c r="R7" s="699" t="s">
        <v>20</v>
      </c>
      <c r="S7" s="700">
        <f t="shared" ref="S7:S15" si="0">F7</f>
        <v>0</v>
      </c>
      <c r="T7" s="699" t="s">
        <v>20</v>
      </c>
      <c r="U7" s="700">
        <f t="shared" ref="U7:U15" si="1">H7</f>
        <v>0</v>
      </c>
      <c r="V7" s="699" t="s">
        <v>20</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3"/>
      <c r="M8" s="2714"/>
      <c r="N8" s="2714"/>
      <c r="O8" s="2714"/>
      <c r="P8" s="3728" t="s">
        <v>1683</v>
      </c>
      <c r="Q8" s="3729"/>
      <c r="R8" s="699" t="s">
        <v>20</v>
      </c>
      <c r="S8" s="700">
        <f t="shared" si="0"/>
        <v>100</v>
      </c>
      <c r="T8" s="699" t="s">
        <v>20</v>
      </c>
      <c r="U8" s="700">
        <f t="shared" si="1"/>
        <v>100</v>
      </c>
      <c r="V8" s="699" t="s">
        <v>20</v>
      </c>
      <c r="W8" s="700">
        <f t="shared" si="2"/>
        <v>100</v>
      </c>
      <c r="X8" s="701"/>
      <c r="Y8" s="3728" t="s">
        <v>1683</v>
      </c>
      <c r="Z8" s="3729"/>
      <c r="AA8" s="702">
        <f t="shared" ref="AA8:AA19" si="3">D8/F8</f>
        <v>1</v>
      </c>
      <c r="AB8" s="702">
        <f t="shared" ref="AB8:AB19" si="4">D8/H8</f>
        <v>1</v>
      </c>
      <c r="AC8" s="702">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9"/>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03"/>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3"/>
      <c r="M12" s="2714"/>
      <c r="N12" s="2714"/>
      <c r="O12" s="2714"/>
      <c r="P12" s="3703"/>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8"/>
      <c r="M13" s="2712"/>
      <c r="N13" s="2712"/>
      <c r="O13" s="2712"/>
      <c r="P13" s="3703"/>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8"/>
      <c r="M14" s="2712"/>
      <c r="N14" s="2712"/>
      <c r="O14" s="2712"/>
      <c r="P14" s="3703"/>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01" t="s">
        <v>1691</v>
      </c>
      <c r="Q15" s="1350" t="str">
        <f t="shared" si="6"/>
        <v>居住社区成熟度</v>
      </c>
      <c r="R15" s="703" t="s">
        <v>18</v>
      </c>
      <c r="S15" s="704">
        <f t="shared" si="0"/>
        <v>100</v>
      </c>
      <c r="T15" s="703" t="s">
        <v>18</v>
      </c>
      <c r="U15" s="704">
        <f t="shared" si="1"/>
        <v>100</v>
      </c>
      <c r="V15" s="703" t="s">
        <v>18</v>
      </c>
      <c r="W15" s="704">
        <f t="shared" si="2"/>
        <v>100</v>
      </c>
      <c r="X15" s="1353"/>
      <c r="Y15" s="3694"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8"/>
      <c r="M16" s="2712"/>
      <c r="N16" s="2712"/>
      <c r="O16" s="2712"/>
      <c r="P16" s="3702"/>
      <c r="Q16" s="1350"/>
      <c r="R16" s="703"/>
      <c r="S16" s="704"/>
      <c r="T16" s="703"/>
      <c r="U16" s="704"/>
      <c r="V16" s="703"/>
      <c r="W16" s="704"/>
      <c r="X16" s="1353"/>
      <c r="Y16" s="3695"/>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02"/>
      <c r="Q17" s="1350" t="str">
        <f>B17</f>
        <v>交通便捷度</v>
      </c>
      <c r="R17" s="703" t="s">
        <v>18</v>
      </c>
      <c r="S17" s="704">
        <f>F17</f>
        <v>100</v>
      </c>
      <c r="T17" s="703" t="s">
        <v>18</v>
      </c>
      <c r="U17" s="704">
        <f>H17</f>
        <v>100</v>
      </c>
      <c r="V17" s="703" t="s">
        <v>18</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8"/>
      <c r="M18" s="2712"/>
      <c r="N18" s="2712"/>
      <c r="O18" s="2712"/>
      <c r="P18" s="3702"/>
      <c r="Q18" s="1350"/>
      <c r="R18" s="703"/>
      <c r="S18" s="704"/>
      <c r="T18" s="703"/>
      <c r="U18" s="704"/>
      <c r="V18" s="703"/>
      <c r="W18" s="704"/>
      <c r="X18" s="1353"/>
      <c r="Y18" s="3695"/>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02"/>
      <c r="Q19" s="1350" t="str">
        <f>B19</f>
        <v>公共配套设施</v>
      </c>
      <c r="R19" s="703" t="s">
        <v>18</v>
      </c>
      <c r="S19" s="704">
        <f>F19</f>
        <v>100</v>
      </c>
      <c r="T19" s="703" t="s">
        <v>18</v>
      </c>
      <c r="U19" s="704">
        <f>H19</f>
        <v>100</v>
      </c>
      <c r="V19" s="703" t="s">
        <v>18</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8"/>
      <c r="M20" s="2712"/>
      <c r="N20" s="2712"/>
      <c r="O20" s="2712"/>
      <c r="P20" s="3702"/>
      <c r="Q20" s="1350"/>
      <c r="R20" s="703"/>
      <c r="S20" s="704"/>
      <c r="T20" s="703"/>
      <c r="U20" s="704"/>
      <c r="V20" s="703"/>
      <c r="W20" s="704"/>
      <c r="X20" s="1353"/>
      <c r="Y20" s="3695"/>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8"/>
      <c r="M22" s="2712"/>
      <c r="N22" s="2712"/>
      <c r="O22" s="2712"/>
      <c r="P22" s="3702"/>
      <c r="Q22" s="1350"/>
      <c r="R22" s="703"/>
      <c r="S22" s="704"/>
      <c r="T22" s="703"/>
      <c r="U22" s="704"/>
      <c r="V22" s="703"/>
      <c r="W22" s="704"/>
      <c r="X22" s="1353"/>
      <c r="Y22" s="3695"/>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02"/>
      <c r="Q23" s="1350" t="str">
        <f>B23</f>
        <v>自然及人文环境</v>
      </c>
      <c r="R23" s="703" t="s">
        <v>18</v>
      </c>
      <c r="S23" s="704">
        <f>F23</f>
        <v>100</v>
      </c>
      <c r="T23" s="703" t="s">
        <v>18</v>
      </c>
      <c r="U23" s="704">
        <f>H23</f>
        <v>100</v>
      </c>
      <c r="V23" s="703" t="s">
        <v>18</v>
      </c>
      <c r="W23" s="704">
        <f>J23</f>
        <v>100</v>
      </c>
      <c r="X23" s="1353"/>
      <c r="Y23" s="3695"/>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8"/>
      <c r="M24" s="2712"/>
      <c r="N24" s="2712"/>
      <c r="O24" s="2712"/>
      <c r="P24" s="3702"/>
      <c r="Q24" s="1350"/>
      <c r="R24" s="703"/>
      <c r="S24" s="704"/>
      <c r="T24" s="703"/>
      <c r="U24" s="704"/>
      <c r="V24" s="703"/>
      <c r="W24" s="704"/>
      <c r="X24" s="1353"/>
      <c r="Y24" s="3695"/>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8"/>
      <c r="M25" s="2712"/>
      <c r="N25" s="2712"/>
      <c r="O25" s="2712"/>
      <c r="P25" s="370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5"/>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8"/>
      <c r="M26" s="2712"/>
      <c r="N26" s="2712"/>
      <c r="O26" s="2712"/>
      <c r="P26" s="3702"/>
      <c r="Q26" s="1350" t="str">
        <f t="shared" si="11"/>
        <v>朝向</v>
      </c>
      <c r="R26" s="703" t="s">
        <v>18</v>
      </c>
      <c r="S26" s="704">
        <f t="shared" si="12"/>
        <v>100</v>
      </c>
      <c r="T26" s="703" t="s">
        <v>18</v>
      </c>
      <c r="U26" s="704">
        <f t="shared" si="13"/>
        <v>100</v>
      </c>
      <c r="V26" s="703" t="s">
        <v>18</v>
      </c>
      <c r="W26" s="704">
        <f t="shared" si="14"/>
        <v>100</v>
      </c>
      <c r="X26" s="1353"/>
      <c r="Y26" s="3695"/>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3"/>
      <c r="M27" s="2714"/>
      <c r="N27" s="2714"/>
      <c r="O27" s="2714"/>
      <c r="P27" s="3702"/>
      <c r="Q27" s="1341">
        <f t="shared" si="11"/>
        <v>111</v>
      </c>
      <c r="R27" s="699" t="s">
        <v>18</v>
      </c>
      <c r="S27" s="700">
        <f t="shared" si="12"/>
        <v>100</v>
      </c>
      <c r="T27" s="699" t="s">
        <v>18</v>
      </c>
      <c r="U27" s="700">
        <f t="shared" si="13"/>
        <v>100</v>
      </c>
      <c r="V27" s="699" t="s">
        <v>18</v>
      </c>
      <c r="W27" s="700">
        <f t="shared" si="14"/>
        <v>100</v>
      </c>
      <c r="X27" s="701"/>
      <c r="Y27" s="3695"/>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8"/>
      <c r="M28" s="2712"/>
      <c r="N28" s="2712"/>
      <c r="O28" s="2712"/>
      <c r="P28" s="3702"/>
      <c r="Q28" s="1350">
        <f t="shared" si="11"/>
        <v>111</v>
      </c>
      <c r="R28" s="703" t="s">
        <v>18</v>
      </c>
      <c r="S28" s="704">
        <f t="shared" si="12"/>
        <v>100</v>
      </c>
      <c r="T28" s="703" t="s">
        <v>18</v>
      </c>
      <c r="U28" s="704">
        <f t="shared" si="13"/>
        <v>100</v>
      </c>
      <c r="V28" s="703" t="s">
        <v>18</v>
      </c>
      <c r="W28" s="704">
        <f t="shared" si="14"/>
        <v>100</v>
      </c>
      <c r="X28" s="1353"/>
      <c r="Y28" s="3695"/>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8"/>
      <c r="M29" s="2712"/>
      <c r="N29" s="2712"/>
      <c r="O29" s="2712"/>
      <c r="P29" s="3702"/>
      <c r="Q29" s="1350">
        <f t="shared" si="11"/>
        <v>111</v>
      </c>
      <c r="R29" s="703" t="s">
        <v>18</v>
      </c>
      <c r="S29" s="704">
        <f t="shared" si="12"/>
        <v>100</v>
      </c>
      <c r="T29" s="703" t="s">
        <v>18</v>
      </c>
      <c r="U29" s="704">
        <f t="shared" si="13"/>
        <v>100</v>
      </c>
      <c r="V29" s="703" t="s">
        <v>18</v>
      </c>
      <c r="W29" s="704">
        <f t="shared" si="14"/>
        <v>100</v>
      </c>
      <c r="X29" s="1353"/>
      <c r="Y29" s="3695"/>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8"/>
      <c r="M30" s="2712"/>
      <c r="N30" s="2712"/>
      <c r="O30" s="2712"/>
      <c r="P30" s="3702"/>
      <c r="Q30" s="1350">
        <f t="shared" si="11"/>
        <v>111</v>
      </c>
      <c r="R30" s="703" t="s">
        <v>18</v>
      </c>
      <c r="S30" s="704">
        <f t="shared" si="12"/>
        <v>100</v>
      </c>
      <c r="T30" s="703" t="s">
        <v>18</v>
      </c>
      <c r="U30" s="704">
        <f t="shared" si="13"/>
        <v>100</v>
      </c>
      <c r="V30" s="703" t="s">
        <v>18</v>
      </c>
      <c r="W30" s="704">
        <f t="shared" si="14"/>
        <v>100</v>
      </c>
      <c r="X30" s="1353"/>
      <c r="Y30" s="3695"/>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8"/>
      <c r="M31" s="2712"/>
      <c r="N31" s="2712"/>
      <c r="O31" s="2712"/>
      <c r="P31" s="3702"/>
      <c r="Q31" s="1350">
        <f t="shared" si="11"/>
        <v>111</v>
      </c>
      <c r="R31" s="703" t="s">
        <v>18</v>
      </c>
      <c r="S31" s="704">
        <f t="shared" si="12"/>
        <v>100</v>
      </c>
      <c r="T31" s="703" t="s">
        <v>18</v>
      </c>
      <c r="U31" s="704">
        <f t="shared" si="13"/>
        <v>100</v>
      </c>
      <c r="V31" s="703" t="s">
        <v>18</v>
      </c>
      <c r="W31" s="704">
        <f t="shared" si="14"/>
        <v>100</v>
      </c>
      <c r="X31" s="1353"/>
      <c r="Y31" s="3695"/>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8"/>
      <c r="M32" s="2712"/>
      <c r="N32" s="2712"/>
      <c r="O32" s="2712"/>
      <c r="P32" s="3696" t="s">
        <v>1696</v>
      </c>
      <c r="Q32" s="1350" t="str">
        <f t="shared" si="11"/>
        <v>建筑类型</v>
      </c>
      <c r="R32" s="703" t="s">
        <v>18</v>
      </c>
      <c r="S32" s="704">
        <f t="shared" si="12"/>
        <v>100</v>
      </c>
      <c r="T32" s="703" t="s">
        <v>18</v>
      </c>
      <c r="U32" s="704">
        <f t="shared" si="13"/>
        <v>100</v>
      </c>
      <c r="V32" s="703" t="s">
        <v>18</v>
      </c>
      <c r="W32" s="704">
        <f t="shared" si="14"/>
        <v>100</v>
      </c>
      <c r="X32" s="1353"/>
      <c r="Y32" s="3699"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7"/>
      <c r="M33" s="2719"/>
      <c r="N33" s="2719"/>
      <c r="O33" s="2719"/>
      <c r="P33" s="3697"/>
      <c r="Q33" s="705" t="str">
        <f t="shared" si="11"/>
        <v>项目建筑规模</v>
      </c>
      <c r="R33" s="706" t="s">
        <v>18</v>
      </c>
      <c r="S33" s="707" t="e">
        <f t="shared" si="12"/>
        <v>#N/A</v>
      </c>
      <c r="T33" s="706" t="s">
        <v>18</v>
      </c>
      <c r="U33" s="707" t="e">
        <f t="shared" si="13"/>
        <v>#N/A</v>
      </c>
      <c r="V33" s="706" t="s">
        <v>18</v>
      </c>
      <c r="W33" s="707" t="e">
        <f t="shared" si="14"/>
        <v>#N/A</v>
      </c>
      <c r="X33" s="708"/>
      <c r="Y33" s="3699"/>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8"/>
      <c r="M34" s="2712"/>
      <c r="N34" s="2712"/>
      <c r="O34" s="2712"/>
      <c r="P34" s="3697"/>
      <c r="Q34" s="1350" t="str">
        <f t="shared" si="11"/>
        <v>建筑结构</v>
      </c>
      <c r="R34" s="703" t="s">
        <v>18</v>
      </c>
      <c r="S34" s="704">
        <f t="shared" si="12"/>
        <v>100</v>
      </c>
      <c r="T34" s="703" t="s">
        <v>18</v>
      </c>
      <c r="U34" s="704">
        <f t="shared" si="13"/>
        <v>100</v>
      </c>
      <c r="V34" s="703" t="s">
        <v>18</v>
      </c>
      <c r="W34" s="704">
        <f t="shared" si="14"/>
        <v>100</v>
      </c>
      <c r="X34" s="1353"/>
      <c r="Y34" s="3699"/>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8"/>
      <c r="M35" s="2712"/>
      <c r="N35" s="2712"/>
      <c r="O35" s="2712"/>
      <c r="P35" s="3697"/>
      <c r="Q35" s="1350" t="str">
        <f t="shared" si="11"/>
        <v>建筑品质</v>
      </c>
      <c r="R35" s="703" t="s">
        <v>18</v>
      </c>
      <c r="S35" s="704">
        <f t="shared" si="12"/>
        <v>100</v>
      </c>
      <c r="T35" s="703" t="s">
        <v>18</v>
      </c>
      <c r="U35" s="704">
        <f t="shared" si="13"/>
        <v>100</v>
      </c>
      <c r="V35" s="703" t="s">
        <v>18</v>
      </c>
      <c r="W35" s="704">
        <f t="shared" si="14"/>
        <v>100</v>
      </c>
      <c r="X35" s="1353"/>
      <c r="Y35" s="3699"/>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8"/>
      <c r="M36" s="2712"/>
      <c r="N36" s="2712"/>
      <c r="O36" s="2712"/>
      <c r="P36" s="3697"/>
      <c r="Q36" s="1350" t="str">
        <f t="shared" si="11"/>
        <v>公共部分装修</v>
      </c>
      <c r="R36" s="703" t="s">
        <v>18</v>
      </c>
      <c r="S36" s="704">
        <f t="shared" si="12"/>
        <v>100</v>
      </c>
      <c r="T36" s="703" t="s">
        <v>18</v>
      </c>
      <c r="U36" s="704">
        <f t="shared" si="13"/>
        <v>100</v>
      </c>
      <c r="V36" s="703" t="s">
        <v>18</v>
      </c>
      <c r="W36" s="704">
        <f t="shared" si="14"/>
        <v>100</v>
      </c>
      <c r="X36" s="1353"/>
      <c r="Y36" s="3699"/>
      <c r="Z36" s="1354" t="str">
        <f t="shared" si="18"/>
        <v>公共部分装修</v>
      </c>
      <c r="AA36" s="1351">
        <f t="shared" si="15"/>
        <v>1</v>
      </c>
      <c r="AB36" s="1351">
        <f t="shared" si="16"/>
        <v>1</v>
      </c>
      <c r="AC36" s="1351">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697"/>
      <c r="Q37" s="1341" t="str">
        <f t="shared" si="11"/>
        <v>成新度</v>
      </c>
      <c r="R37" s="699" t="s">
        <v>18</v>
      </c>
      <c r="S37" s="700" t="e">
        <f t="shared" si="12"/>
        <v>#N/A</v>
      </c>
      <c r="T37" s="699" t="s">
        <v>18</v>
      </c>
      <c r="U37" s="700" t="e">
        <f t="shared" si="13"/>
        <v>#N/A</v>
      </c>
      <c r="V37" s="699" t="s">
        <v>18</v>
      </c>
      <c r="W37" s="700" t="e">
        <f t="shared" si="14"/>
        <v>#N/A</v>
      </c>
      <c r="X37" s="701"/>
      <c r="Y37" s="3699"/>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8"/>
      <c r="M38" s="2712"/>
      <c r="N38" s="2712"/>
      <c r="O38" s="2712"/>
      <c r="P38" s="3697" t="s">
        <v>1696</v>
      </c>
      <c r="Q38" s="1350" t="str">
        <f t="shared" si="11"/>
        <v>物业管理</v>
      </c>
      <c r="R38" s="703" t="s">
        <v>18</v>
      </c>
      <c r="S38" s="704">
        <f t="shared" si="12"/>
        <v>100</v>
      </c>
      <c r="T38" s="703" t="s">
        <v>18</v>
      </c>
      <c r="U38" s="704">
        <f t="shared" si="13"/>
        <v>100</v>
      </c>
      <c r="V38" s="703" t="s">
        <v>18</v>
      </c>
      <c r="W38" s="704">
        <f t="shared" si="14"/>
        <v>100</v>
      </c>
      <c r="X38" s="1353"/>
      <c r="Y38" s="3699"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8"/>
      <c r="M39" s="2712"/>
      <c r="N39" s="2712"/>
      <c r="O39" s="2712"/>
      <c r="P39" s="3697"/>
      <c r="Q39" s="1350" t="str">
        <f t="shared" si="11"/>
        <v>市政基础设施</v>
      </c>
      <c r="R39" s="703" t="s">
        <v>18</v>
      </c>
      <c r="S39" s="704">
        <f t="shared" si="12"/>
        <v>100</v>
      </c>
      <c r="T39" s="703" t="s">
        <v>18</v>
      </c>
      <c r="U39" s="704">
        <f t="shared" si="13"/>
        <v>100</v>
      </c>
      <c r="V39" s="703" t="s">
        <v>18</v>
      </c>
      <c r="W39" s="704">
        <f t="shared" si="14"/>
        <v>100</v>
      </c>
      <c r="X39" s="1353"/>
      <c r="Y39" s="3699"/>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8"/>
      <c r="M40" s="2712"/>
      <c r="N40" s="2712"/>
      <c r="O40" s="2712"/>
      <c r="P40" s="3697"/>
      <c r="Q40" s="1350" t="str">
        <f t="shared" si="11"/>
        <v>房型</v>
      </c>
      <c r="R40" s="703" t="s">
        <v>18</v>
      </c>
      <c r="S40" s="704">
        <f t="shared" si="12"/>
        <v>100</v>
      </c>
      <c r="T40" s="703" t="s">
        <v>18</v>
      </c>
      <c r="U40" s="704">
        <f t="shared" si="13"/>
        <v>100</v>
      </c>
      <c r="V40" s="703" t="s">
        <v>18</v>
      </c>
      <c r="W40" s="704">
        <f t="shared" si="14"/>
        <v>100</v>
      </c>
      <c r="X40" s="1353"/>
      <c r="Y40" s="3699"/>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7"/>
      <c r="M41" s="2719"/>
      <c r="N41" s="2719"/>
      <c r="O41" s="2719"/>
      <c r="P41" s="3697"/>
      <c r="Q41" s="705" t="str">
        <f t="shared" si="11"/>
        <v>单套/主力户型建筑面积</v>
      </c>
      <c r="R41" s="706" t="s">
        <v>18</v>
      </c>
      <c r="S41" s="707">
        <f t="shared" si="12"/>
        <v>100</v>
      </c>
      <c r="T41" s="706" t="s">
        <v>18</v>
      </c>
      <c r="U41" s="707">
        <f t="shared" si="13"/>
        <v>100</v>
      </c>
      <c r="V41" s="706" t="s">
        <v>18</v>
      </c>
      <c r="W41" s="707">
        <f t="shared" si="14"/>
        <v>100</v>
      </c>
      <c r="X41" s="708"/>
      <c r="Y41" s="3699"/>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8"/>
      <c r="M42" s="2712"/>
      <c r="N42" s="2712"/>
      <c r="O42" s="2712"/>
      <c r="P42" s="3697"/>
      <c r="Q42" s="1350" t="str">
        <f t="shared" si="11"/>
        <v>内部装修</v>
      </c>
      <c r="R42" s="703" t="s">
        <v>18</v>
      </c>
      <c r="S42" s="704">
        <f t="shared" si="12"/>
        <v>100</v>
      </c>
      <c r="T42" s="703" t="s">
        <v>18</v>
      </c>
      <c r="U42" s="704">
        <f t="shared" si="13"/>
        <v>100</v>
      </c>
      <c r="V42" s="703" t="s">
        <v>18</v>
      </c>
      <c r="W42" s="704">
        <f t="shared" si="14"/>
        <v>100</v>
      </c>
      <c r="X42" s="1353"/>
      <c r="Y42" s="3699"/>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8"/>
      <c r="M43" s="2712"/>
      <c r="N43" s="2712"/>
      <c r="O43" s="2712"/>
      <c r="P43" s="3697"/>
      <c r="Q43" s="1350" t="str">
        <f t="shared" si="11"/>
        <v>内部装修维护情况</v>
      </c>
      <c r="R43" s="703" t="s">
        <v>18</v>
      </c>
      <c r="S43" s="704">
        <f t="shared" si="12"/>
        <v>100</v>
      </c>
      <c r="T43" s="703" t="s">
        <v>18</v>
      </c>
      <c r="U43" s="704">
        <f t="shared" si="13"/>
        <v>100</v>
      </c>
      <c r="V43" s="703" t="s">
        <v>18</v>
      </c>
      <c r="W43" s="704">
        <f t="shared" si="14"/>
        <v>100</v>
      </c>
      <c r="X43" s="1353"/>
      <c r="Y43" s="3699"/>
      <c r="Z43" s="1354" t="str">
        <f t="shared" si="18"/>
        <v>内部装修维护情况</v>
      </c>
      <c r="AA43" s="1351">
        <f t="shared" si="15"/>
        <v>1</v>
      </c>
      <c r="AB43" s="1351">
        <f t="shared" si="16"/>
        <v>1</v>
      </c>
      <c r="AC43" s="1351">
        <f t="shared" si="17"/>
        <v>1</v>
      </c>
    </row>
    <row r="44" spans="1:29" s="107"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3"/>
      <c r="M44" s="2714"/>
      <c r="N44" s="2714"/>
      <c r="O44" s="2714"/>
      <c r="P44" s="3697"/>
      <c r="Q44" s="1341">
        <f t="shared" si="11"/>
        <v>111</v>
      </c>
      <c r="R44" s="699" t="s">
        <v>18</v>
      </c>
      <c r="S44" s="700">
        <f t="shared" si="12"/>
        <v>100</v>
      </c>
      <c r="T44" s="699" t="s">
        <v>18</v>
      </c>
      <c r="U44" s="700">
        <f t="shared" si="13"/>
        <v>100</v>
      </c>
      <c r="V44" s="699" t="s">
        <v>18</v>
      </c>
      <c r="W44" s="700">
        <f t="shared" si="14"/>
        <v>100</v>
      </c>
      <c r="X44" s="701"/>
      <c r="Y44" s="3699"/>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8"/>
      <c r="M45" s="2712"/>
      <c r="N45" s="2712"/>
      <c r="O45" s="2712"/>
      <c r="P45" s="3697"/>
      <c r="Q45" s="1350">
        <f t="shared" si="11"/>
        <v>111</v>
      </c>
      <c r="R45" s="703" t="s">
        <v>18</v>
      </c>
      <c r="S45" s="704">
        <f t="shared" si="12"/>
        <v>100</v>
      </c>
      <c r="T45" s="703" t="s">
        <v>18</v>
      </c>
      <c r="U45" s="704">
        <f t="shared" si="13"/>
        <v>100</v>
      </c>
      <c r="V45" s="703" t="s">
        <v>18</v>
      </c>
      <c r="W45" s="704">
        <f t="shared" si="14"/>
        <v>100</v>
      </c>
      <c r="X45" s="1353"/>
      <c r="Y45" s="3699"/>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8"/>
      <c r="M46" s="2712"/>
      <c r="N46" s="2712"/>
      <c r="O46" s="2712"/>
      <c r="P46" s="3698"/>
      <c r="Q46" s="1350">
        <f t="shared" si="11"/>
        <v>111</v>
      </c>
      <c r="R46" s="703" t="s">
        <v>17</v>
      </c>
      <c r="S46" s="704">
        <f t="shared" si="12"/>
        <v>100</v>
      </c>
      <c r="T46" s="703" t="s">
        <v>17</v>
      </c>
      <c r="U46" s="704">
        <f t="shared" si="13"/>
        <v>100</v>
      </c>
      <c r="V46" s="703" t="s">
        <v>17</v>
      </c>
      <c r="W46" s="704">
        <f t="shared" si="14"/>
        <v>100</v>
      </c>
      <c r="X46" s="1353"/>
      <c r="Y46" s="3700"/>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0"/>
      <c r="M47" s="2721"/>
      <c r="N47" s="2712"/>
      <c r="O47" s="2721"/>
      <c r="P47" s="3692" t="str">
        <f>A47</f>
        <v>成交单价（元/平方米）</v>
      </c>
      <c r="Q47" s="3692"/>
      <c r="R47" s="3693">
        <f>E47</f>
        <v>0</v>
      </c>
      <c r="S47" s="3693"/>
      <c r="T47" s="3693">
        <f>G47</f>
        <v>0</v>
      </c>
      <c r="U47" s="3693"/>
      <c r="V47" s="3693">
        <f>I47</f>
        <v>0</v>
      </c>
      <c r="W47" s="3693"/>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0"/>
      <c r="M48" s="2721"/>
      <c r="N48" s="2721"/>
      <c r="O48" s="272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0"/>
      <c r="M49" s="2721"/>
      <c r="N49" s="2721"/>
      <c r="O49" s="272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5"/>
    </row>
    <row r="55" spans="1:29" s="449"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5970.96</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23"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23"/>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23"/>
      <c r="AC6" s="3706"/>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46" si="3">D8/F8</f>
        <v>1</v>
      </c>
      <c r="AB8" s="702">
        <f t="shared" ref="AB8:AB46" si="4">D8/H8</f>
        <v>1</v>
      </c>
      <c r="AC8" s="702">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0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0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0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0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01" t="s">
        <v>1691</v>
      </c>
      <c r="Q15" s="1350" t="str">
        <f t="shared" si="6"/>
        <v>商业繁华度</v>
      </c>
      <c r="R15" s="703" t="s">
        <v>14</v>
      </c>
      <c r="S15" s="704">
        <f t="shared" si="0"/>
        <v>100</v>
      </c>
      <c r="T15" s="703" t="s">
        <v>14</v>
      </c>
      <c r="U15" s="704">
        <f t="shared" si="1"/>
        <v>100</v>
      </c>
      <c r="V15" s="703" t="s">
        <v>14</v>
      </c>
      <c r="W15" s="704">
        <f t="shared" si="2"/>
        <v>100</v>
      </c>
      <c r="X15" s="1353"/>
      <c r="Y15" s="3694"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8"/>
      <c r="M16" s="2712"/>
      <c r="N16" s="2712"/>
      <c r="O16" s="2712"/>
      <c r="P16" s="3702"/>
      <c r="Q16" s="1350"/>
      <c r="R16" s="703"/>
      <c r="S16" s="704"/>
      <c r="T16" s="703"/>
      <c r="U16" s="704"/>
      <c r="V16" s="703"/>
      <c r="W16" s="704"/>
      <c r="X16" s="1353"/>
      <c r="Y16" s="3695"/>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02"/>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8"/>
      <c r="M18" s="2712"/>
      <c r="N18" s="2712"/>
      <c r="O18" s="2712"/>
      <c r="P18" s="3702"/>
      <c r="Q18" s="1350"/>
      <c r="R18" s="703"/>
      <c r="S18" s="704"/>
      <c r="T18" s="703"/>
      <c r="U18" s="704"/>
      <c r="V18" s="703"/>
      <c r="W18" s="704"/>
      <c r="X18" s="1353"/>
      <c r="Y18" s="3695"/>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02"/>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8"/>
      <c r="M20" s="2712"/>
      <c r="N20" s="2712"/>
      <c r="O20" s="2712"/>
      <c r="P20" s="3702"/>
      <c r="Q20" s="1350"/>
      <c r="R20" s="703"/>
      <c r="S20" s="704"/>
      <c r="T20" s="703"/>
      <c r="U20" s="704"/>
      <c r="V20" s="703"/>
      <c r="W20" s="704"/>
      <c r="X20" s="1353"/>
      <c r="Y20" s="3695"/>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8"/>
      <c r="M22" s="2712"/>
      <c r="N22" s="2712"/>
      <c r="O22" s="2712"/>
      <c r="P22" s="3702"/>
      <c r="Q22" s="1350"/>
      <c r="R22" s="703"/>
      <c r="S22" s="704"/>
      <c r="T22" s="703"/>
      <c r="U22" s="704"/>
      <c r="V22" s="703"/>
      <c r="W22" s="704"/>
      <c r="X22" s="1353"/>
      <c r="Y22" s="3695"/>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02"/>
      <c r="Q23" s="1350" t="str">
        <f>B23</f>
        <v>自然及人文环境</v>
      </c>
      <c r="R23" s="703" t="s">
        <v>14</v>
      </c>
      <c r="S23" s="704">
        <f>F23</f>
        <v>100</v>
      </c>
      <c r="T23" s="703" t="s">
        <v>14</v>
      </c>
      <c r="U23" s="704">
        <f>H23</f>
        <v>100</v>
      </c>
      <c r="V23" s="703" t="s">
        <v>14</v>
      </c>
      <c r="W23" s="704">
        <f>J23</f>
        <v>100</v>
      </c>
      <c r="X23" s="1353"/>
      <c r="Y23" s="3695"/>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8"/>
      <c r="M24" s="2712"/>
      <c r="N24" s="2712"/>
      <c r="O24" s="2712"/>
      <c r="P24" s="3702"/>
      <c r="Q24" s="1350"/>
      <c r="R24" s="703"/>
      <c r="S24" s="704"/>
      <c r="T24" s="703"/>
      <c r="U24" s="704"/>
      <c r="V24" s="703"/>
      <c r="W24" s="704"/>
      <c r="X24" s="1353"/>
      <c r="Y24" s="3695"/>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02"/>
      <c r="Q25" s="1350" t="str">
        <f t="shared" ref="Q25:Q46" si="11">B25</f>
        <v>临街状况</v>
      </c>
      <c r="R25" s="703" t="s">
        <v>14</v>
      </c>
      <c r="S25" s="704">
        <f>F25</f>
        <v>100</v>
      </c>
      <c r="T25" s="703" t="s">
        <v>14</v>
      </c>
      <c r="U25" s="704">
        <f>H25</f>
        <v>100</v>
      </c>
      <c r="V25" s="703" t="s">
        <v>14</v>
      </c>
      <c r="W25" s="704">
        <f>J25</f>
        <v>100</v>
      </c>
      <c r="X25" s="1353"/>
      <c r="Y25" s="3695"/>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02"/>
      <c r="Q26" s="1350" t="str">
        <f t="shared" si="11"/>
        <v>平面位置/可视性</v>
      </c>
      <c r="R26" s="703" t="s">
        <v>14</v>
      </c>
      <c r="S26" s="704">
        <f>F26</f>
        <v>100</v>
      </c>
      <c r="T26" s="703" t="s">
        <v>14</v>
      </c>
      <c r="U26" s="704">
        <f>H26</f>
        <v>100</v>
      </c>
      <c r="V26" s="703" t="s">
        <v>14</v>
      </c>
      <c r="W26" s="704">
        <f>J26</f>
        <v>100</v>
      </c>
      <c r="X26" s="1353"/>
      <c r="Y26" s="3695"/>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3"/>
      <c r="M27" s="2714"/>
      <c r="N27" s="2714"/>
      <c r="O27" s="2714"/>
      <c r="P27" s="3702"/>
      <c r="Q27" s="1341" t="str">
        <f t="shared" si="11"/>
        <v>人流量</v>
      </c>
      <c r="R27" s="699" t="s">
        <v>14</v>
      </c>
      <c r="S27" s="700">
        <f>F27</f>
        <v>100</v>
      </c>
      <c r="T27" s="699" t="s">
        <v>14</v>
      </c>
      <c r="U27" s="700">
        <f>H27</f>
        <v>100</v>
      </c>
      <c r="V27" s="699" t="s">
        <v>14</v>
      </c>
      <c r="W27" s="700">
        <f>J27</f>
        <v>100</v>
      </c>
      <c r="X27" s="701"/>
      <c r="Y27" s="3695"/>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0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5"/>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02"/>
      <c r="Q29" s="1350">
        <f t="shared" si="11"/>
        <v>111</v>
      </c>
      <c r="R29" s="703" t="s">
        <v>14</v>
      </c>
      <c r="S29" s="704">
        <f t="shared" si="12"/>
        <v>100</v>
      </c>
      <c r="T29" s="703" t="s">
        <v>14</v>
      </c>
      <c r="U29" s="704">
        <f t="shared" si="13"/>
        <v>100</v>
      </c>
      <c r="V29" s="703" t="s">
        <v>14</v>
      </c>
      <c r="W29" s="704">
        <f t="shared" si="14"/>
        <v>100</v>
      </c>
      <c r="X29" s="1353"/>
      <c r="Y29" s="3695"/>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02"/>
      <c r="Q30" s="1350">
        <f t="shared" si="11"/>
        <v>111</v>
      </c>
      <c r="R30" s="703" t="s">
        <v>14</v>
      </c>
      <c r="S30" s="704">
        <f t="shared" si="12"/>
        <v>100</v>
      </c>
      <c r="T30" s="703" t="s">
        <v>14</v>
      </c>
      <c r="U30" s="704">
        <f t="shared" si="13"/>
        <v>100</v>
      </c>
      <c r="V30" s="703" t="s">
        <v>14</v>
      </c>
      <c r="W30" s="704">
        <f t="shared" si="14"/>
        <v>100</v>
      </c>
      <c r="X30" s="1353"/>
      <c r="Y30" s="3695"/>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02"/>
      <c r="Q31" s="1350">
        <f t="shared" si="11"/>
        <v>111</v>
      </c>
      <c r="R31" s="703" t="s">
        <v>14</v>
      </c>
      <c r="S31" s="704">
        <f t="shared" si="12"/>
        <v>100</v>
      </c>
      <c r="T31" s="703" t="s">
        <v>14</v>
      </c>
      <c r="U31" s="704">
        <f t="shared" si="13"/>
        <v>100</v>
      </c>
      <c r="V31" s="703" t="s">
        <v>14</v>
      </c>
      <c r="W31" s="704">
        <f t="shared" si="14"/>
        <v>100</v>
      </c>
      <c r="X31" s="1353"/>
      <c r="Y31" s="3695"/>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8"/>
      <c r="M32" s="2712"/>
      <c r="N32" s="2712"/>
      <c r="O32" s="2712"/>
      <c r="P32" s="3696" t="s">
        <v>1696</v>
      </c>
      <c r="Q32" s="1350" t="str">
        <f t="shared" si="11"/>
        <v>商业类型</v>
      </c>
      <c r="R32" s="703" t="s">
        <v>14</v>
      </c>
      <c r="S32" s="704">
        <f t="shared" si="12"/>
        <v>100</v>
      </c>
      <c r="T32" s="703" t="s">
        <v>14</v>
      </c>
      <c r="U32" s="704">
        <f t="shared" si="13"/>
        <v>100</v>
      </c>
      <c r="V32" s="703" t="s">
        <v>14</v>
      </c>
      <c r="W32" s="704">
        <f t="shared" si="14"/>
        <v>100</v>
      </c>
      <c r="X32" s="1353"/>
      <c r="Y32" s="3699"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697"/>
      <c r="Q33" s="705" t="str">
        <f t="shared" si="11"/>
        <v>项目建筑规模</v>
      </c>
      <c r="R33" s="706" t="s">
        <v>14</v>
      </c>
      <c r="S33" s="707" t="e">
        <f t="shared" si="12"/>
        <v>#N/A</v>
      </c>
      <c r="T33" s="706" t="s">
        <v>14</v>
      </c>
      <c r="U33" s="707" t="e">
        <f t="shared" si="13"/>
        <v>#N/A</v>
      </c>
      <c r="V33" s="706" t="s">
        <v>14</v>
      </c>
      <c r="W33" s="707" t="e">
        <f t="shared" si="14"/>
        <v>#N/A</v>
      </c>
      <c r="X33" s="708"/>
      <c r="Y33" s="3699"/>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8"/>
      <c r="M34" s="2712"/>
      <c r="N34" s="2712"/>
      <c r="O34" s="2712"/>
      <c r="P34" s="3697"/>
      <c r="Q34" s="1350" t="str">
        <f t="shared" si="11"/>
        <v>建筑结构</v>
      </c>
      <c r="R34" s="703" t="s">
        <v>14</v>
      </c>
      <c r="S34" s="704">
        <f t="shared" si="12"/>
        <v>100</v>
      </c>
      <c r="T34" s="703" t="s">
        <v>14</v>
      </c>
      <c r="U34" s="704">
        <f t="shared" si="13"/>
        <v>100</v>
      </c>
      <c r="V34" s="703" t="s">
        <v>14</v>
      </c>
      <c r="W34" s="704">
        <f t="shared" si="14"/>
        <v>100</v>
      </c>
      <c r="X34" s="1353"/>
      <c r="Y34" s="3699"/>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8"/>
      <c r="M35" s="2712"/>
      <c r="N35" s="2712"/>
      <c r="O35" s="2712"/>
      <c r="P35" s="3697"/>
      <c r="Q35" s="1350" t="str">
        <f t="shared" si="11"/>
        <v>公共部分装修</v>
      </c>
      <c r="R35" s="703" t="s">
        <v>14</v>
      </c>
      <c r="S35" s="704">
        <f t="shared" si="12"/>
        <v>100</v>
      </c>
      <c r="T35" s="703" t="s">
        <v>14</v>
      </c>
      <c r="U35" s="704">
        <f t="shared" si="13"/>
        <v>100</v>
      </c>
      <c r="V35" s="703" t="s">
        <v>14</v>
      </c>
      <c r="W35" s="704">
        <f t="shared" si="14"/>
        <v>100</v>
      </c>
      <c r="X35" s="1353"/>
      <c r="Y35" s="3699"/>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697"/>
      <c r="Q36" s="1350" t="str">
        <f t="shared" si="11"/>
        <v>成新度</v>
      </c>
      <c r="R36" s="703" t="s">
        <v>14</v>
      </c>
      <c r="S36" s="704" t="e">
        <f t="shared" si="12"/>
        <v>#N/A</v>
      </c>
      <c r="T36" s="703" t="s">
        <v>14</v>
      </c>
      <c r="U36" s="704" t="e">
        <f t="shared" si="13"/>
        <v>#N/A</v>
      </c>
      <c r="V36" s="703" t="s">
        <v>14</v>
      </c>
      <c r="W36" s="704" t="e">
        <f t="shared" si="14"/>
        <v>#N/A</v>
      </c>
      <c r="X36" s="1353"/>
      <c r="Y36" s="3699"/>
      <c r="Z36" s="1354" t="str">
        <f t="shared" si="15"/>
        <v>成新度</v>
      </c>
      <c r="AA36" s="1351" t="e">
        <f t="shared" si="3"/>
        <v>#N/A</v>
      </c>
      <c r="AB36" s="1351" t="e">
        <f t="shared" si="4"/>
        <v>#N/A</v>
      </c>
      <c r="AC36" s="1351" t="e">
        <f t="shared" si="5"/>
        <v>#N/A</v>
      </c>
    </row>
    <row r="37" spans="1:29" s="107"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3"/>
      <c r="M37" s="2714"/>
      <c r="N37" s="2714"/>
      <c r="O37" s="2714"/>
      <c r="P37" s="3697"/>
      <c r="Q37" s="1341" t="str">
        <f t="shared" si="11"/>
        <v>市政基础设施</v>
      </c>
      <c r="R37" s="699" t="s">
        <v>14</v>
      </c>
      <c r="S37" s="700">
        <f t="shared" si="12"/>
        <v>100</v>
      </c>
      <c r="T37" s="699" t="s">
        <v>14</v>
      </c>
      <c r="U37" s="700">
        <f t="shared" si="13"/>
        <v>100</v>
      </c>
      <c r="V37" s="699" t="s">
        <v>14</v>
      </c>
      <c r="W37" s="700">
        <f t="shared" si="14"/>
        <v>100</v>
      </c>
      <c r="X37" s="701"/>
      <c r="Y37" s="3699"/>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8"/>
      <c r="M38" s="2712"/>
      <c r="N38" s="2712"/>
      <c r="O38" s="2712"/>
      <c r="P38" s="3697" t="s">
        <v>1696</v>
      </c>
      <c r="Q38" s="1350" t="str">
        <f t="shared" si="11"/>
        <v>业态</v>
      </c>
      <c r="R38" s="703" t="s">
        <v>14</v>
      </c>
      <c r="S38" s="704">
        <f t="shared" si="12"/>
        <v>100</v>
      </c>
      <c r="T38" s="703" t="s">
        <v>14</v>
      </c>
      <c r="U38" s="704">
        <f t="shared" si="13"/>
        <v>100</v>
      </c>
      <c r="V38" s="703" t="s">
        <v>14</v>
      </c>
      <c r="W38" s="704">
        <f t="shared" si="14"/>
        <v>100</v>
      </c>
      <c r="X38" s="1353"/>
      <c r="Y38" s="3699"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8"/>
      <c r="M39" s="2712"/>
      <c r="N39" s="2712"/>
      <c r="O39" s="2712"/>
      <c r="P39" s="3697"/>
      <c r="Q39" s="1350" t="str">
        <f t="shared" si="11"/>
        <v>层高</v>
      </c>
      <c r="R39" s="703" t="s">
        <v>14</v>
      </c>
      <c r="S39" s="704">
        <f t="shared" si="12"/>
        <v>100</v>
      </c>
      <c r="T39" s="703" t="s">
        <v>14</v>
      </c>
      <c r="U39" s="704">
        <f t="shared" si="13"/>
        <v>100</v>
      </c>
      <c r="V39" s="703" t="s">
        <v>14</v>
      </c>
      <c r="W39" s="704">
        <f t="shared" si="14"/>
        <v>100</v>
      </c>
      <c r="X39" s="1353"/>
      <c r="Y39" s="3699"/>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697"/>
      <c r="Q40" s="1350" t="str">
        <f t="shared" si="11"/>
        <v>单套建筑面积</v>
      </c>
      <c r="R40" s="703" t="s">
        <v>14</v>
      </c>
      <c r="S40" s="704">
        <f t="shared" si="12"/>
        <v>100</v>
      </c>
      <c r="T40" s="703" t="s">
        <v>14</v>
      </c>
      <c r="U40" s="704">
        <f t="shared" si="13"/>
        <v>100</v>
      </c>
      <c r="V40" s="703" t="s">
        <v>14</v>
      </c>
      <c r="W40" s="704">
        <f t="shared" si="14"/>
        <v>100</v>
      </c>
      <c r="X40" s="1353"/>
      <c r="Y40" s="3699"/>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697"/>
      <c r="Q41" s="705" t="str">
        <f t="shared" si="11"/>
        <v>进深比</v>
      </c>
      <c r="R41" s="706" t="s">
        <v>14</v>
      </c>
      <c r="S41" s="707">
        <f t="shared" si="12"/>
        <v>100</v>
      </c>
      <c r="T41" s="706" t="s">
        <v>14</v>
      </c>
      <c r="U41" s="707">
        <f t="shared" si="13"/>
        <v>100</v>
      </c>
      <c r="V41" s="706" t="s">
        <v>14</v>
      </c>
      <c r="W41" s="707">
        <f t="shared" si="14"/>
        <v>100</v>
      </c>
      <c r="X41" s="708"/>
      <c r="Y41" s="3699"/>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8"/>
      <c r="M42" s="2712"/>
      <c r="N42" s="2712"/>
      <c r="O42" s="2712"/>
      <c r="P42" s="3697"/>
      <c r="Q42" s="1350" t="str">
        <f t="shared" si="11"/>
        <v>内部装修</v>
      </c>
      <c r="R42" s="703" t="s">
        <v>14</v>
      </c>
      <c r="S42" s="704">
        <f t="shared" si="12"/>
        <v>100</v>
      </c>
      <c r="T42" s="703" t="s">
        <v>14</v>
      </c>
      <c r="U42" s="704">
        <f t="shared" si="13"/>
        <v>100</v>
      </c>
      <c r="V42" s="703" t="s">
        <v>14</v>
      </c>
      <c r="W42" s="704">
        <f t="shared" si="14"/>
        <v>100</v>
      </c>
      <c r="X42" s="1353"/>
      <c r="Y42" s="3699"/>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8"/>
      <c r="M43" s="2712"/>
      <c r="N43" s="2712"/>
      <c r="O43" s="2712"/>
      <c r="P43" s="3697"/>
      <c r="Q43" s="1350" t="str">
        <f t="shared" si="11"/>
        <v>内部装修维护情况</v>
      </c>
      <c r="R43" s="703" t="s">
        <v>14</v>
      </c>
      <c r="S43" s="704">
        <f t="shared" si="12"/>
        <v>100</v>
      </c>
      <c r="T43" s="703" t="s">
        <v>14</v>
      </c>
      <c r="U43" s="704">
        <f t="shared" si="13"/>
        <v>100</v>
      </c>
      <c r="V43" s="703" t="s">
        <v>14</v>
      </c>
      <c r="W43" s="704">
        <f t="shared" si="14"/>
        <v>100</v>
      </c>
      <c r="X43" s="1353"/>
      <c r="Y43" s="3699"/>
      <c r="Z43" s="1354" t="str">
        <f t="shared" si="15"/>
        <v>内部装修维护情况</v>
      </c>
      <c r="AA43" s="1351">
        <f t="shared" si="3"/>
        <v>1</v>
      </c>
      <c r="AB43" s="1351">
        <f t="shared" si="4"/>
        <v>1</v>
      </c>
      <c r="AC43" s="1351">
        <f t="shared" si="5"/>
        <v>1</v>
      </c>
    </row>
    <row r="44" spans="1:29" s="107"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697"/>
      <c r="Q44" s="1341">
        <f t="shared" si="11"/>
        <v>111</v>
      </c>
      <c r="R44" s="699" t="s">
        <v>14</v>
      </c>
      <c r="S44" s="700">
        <f t="shared" si="12"/>
        <v>100</v>
      </c>
      <c r="T44" s="699" t="s">
        <v>14</v>
      </c>
      <c r="U44" s="700">
        <f t="shared" si="13"/>
        <v>100</v>
      </c>
      <c r="V44" s="699" t="s">
        <v>14</v>
      </c>
      <c r="W44" s="700">
        <f t="shared" si="14"/>
        <v>100</v>
      </c>
      <c r="X44" s="701"/>
      <c r="Y44" s="3699"/>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697"/>
      <c r="Q45" s="1350">
        <f t="shared" si="11"/>
        <v>111</v>
      </c>
      <c r="R45" s="703" t="s">
        <v>14</v>
      </c>
      <c r="S45" s="704">
        <f t="shared" si="12"/>
        <v>100</v>
      </c>
      <c r="T45" s="703" t="s">
        <v>14</v>
      </c>
      <c r="U45" s="704">
        <f t="shared" si="13"/>
        <v>100</v>
      </c>
      <c r="V45" s="703" t="s">
        <v>14</v>
      </c>
      <c r="W45" s="704">
        <f t="shared" si="14"/>
        <v>100</v>
      </c>
      <c r="X45" s="1353"/>
      <c r="Y45" s="3699"/>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698"/>
      <c r="Q46" s="1350">
        <f t="shared" si="11"/>
        <v>111</v>
      </c>
      <c r="R46" s="703" t="s">
        <v>14</v>
      </c>
      <c r="S46" s="704">
        <f t="shared" si="12"/>
        <v>100</v>
      </c>
      <c r="T46" s="703" t="s">
        <v>14</v>
      </c>
      <c r="U46" s="704">
        <f t="shared" si="13"/>
        <v>100</v>
      </c>
      <c r="V46" s="703" t="s">
        <v>14</v>
      </c>
      <c r="W46" s="704">
        <f t="shared" si="14"/>
        <v>100</v>
      </c>
      <c r="X46" s="1353"/>
      <c r="Y46" s="3700"/>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0"/>
      <c r="M47" s="2721"/>
      <c r="N47" s="2712"/>
      <c r="O47" s="2721"/>
      <c r="P47" s="3692" t="str">
        <f>A47</f>
        <v>成交单价（元/平方米）</v>
      </c>
      <c r="Q47" s="3692"/>
      <c r="R47" s="3723">
        <f>E47</f>
        <v>0</v>
      </c>
      <c r="S47" s="3723"/>
      <c r="T47" s="3723">
        <f>G47</f>
        <v>0</v>
      </c>
      <c r="U47" s="3723"/>
      <c r="V47" s="3723">
        <f>I47</f>
        <v>0</v>
      </c>
      <c r="W47" s="3723"/>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0"/>
      <c r="M48" s="2721"/>
      <c r="N48" s="2712"/>
      <c r="O48" s="272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0"/>
      <c r="M49" s="2721"/>
      <c r="N49" s="2712"/>
      <c r="O49" s="2721"/>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5" customFormat="1" ht="15">
      <c r="A58" s="452" t="s">
        <v>1679</v>
      </c>
      <c r="B58" s="453"/>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6"/>
      <c r="Q58" s="2737"/>
      <c r="R58" s="2737"/>
      <c r="S58" s="2737"/>
      <c r="T58" s="2737"/>
      <c r="U58" s="2737"/>
      <c r="V58" s="2737"/>
      <c r="W58" s="2737"/>
      <c r="X58" s="2737"/>
      <c r="Y58" s="2737"/>
      <c r="Z58" s="2737"/>
      <c r="AA58" s="2737"/>
      <c r="AB58" s="2737"/>
      <c r="AC58" s="2737"/>
    </row>
    <row r="59" spans="1:29" s="107" customFormat="1" ht="15">
      <c r="A59" s="456"/>
      <c r="B59" s="457"/>
      <c r="C59" s="1181">
        <v>100</v>
      </c>
      <c r="D59" s="459"/>
      <c r="E59" s="459"/>
      <c r="F59" s="459"/>
      <c r="G59" s="459"/>
      <c r="H59" s="459"/>
      <c r="I59" s="459"/>
      <c r="J59" s="459"/>
      <c r="K59" s="459"/>
      <c r="L59" s="459"/>
      <c r="M59" s="460"/>
      <c r="N59" s="459"/>
      <c r="O59" s="460"/>
      <c r="P59" s="2738"/>
      <c r="Q59" s="2657"/>
      <c r="R59" s="2657"/>
      <c r="S59" s="2657"/>
      <c r="T59" s="2657"/>
      <c r="U59" s="2657"/>
      <c r="V59" s="2657"/>
      <c r="W59" s="2657"/>
      <c r="X59" s="2657"/>
      <c r="Y59" s="2657"/>
      <c r="Z59" s="2657"/>
      <c r="AA59" s="2657"/>
      <c r="AB59" s="2657"/>
      <c r="AC59" s="2657"/>
    </row>
    <row r="60" spans="1:29" s="107" customFormat="1" ht="15.75" thickBot="1">
      <c r="A60" s="462" t="s">
        <v>1716</v>
      </c>
      <c r="B60" s="463"/>
      <c r="C60" s="464"/>
      <c r="D60" s="465"/>
      <c r="E60" s="465"/>
      <c r="F60" s="465"/>
      <c r="G60" s="465"/>
      <c r="H60" s="465"/>
      <c r="I60" s="465"/>
      <c r="J60" s="465"/>
      <c r="K60" s="465"/>
      <c r="L60" s="465"/>
      <c r="M60" s="466"/>
      <c r="N60" s="465"/>
      <c r="O60" s="466"/>
      <c r="P60" s="2738"/>
      <c r="Q60" s="2735"/>
      <c r="R60" s="2657"/>
      <c r="S60" s="2657"/>
      <c r="T60" s="2657"/>
      <c r="U60" s="2657"/>
      <c r="V60" s="2657"/>
      <c r="W60" s="2657"/>
      <c r="X60" s="2657"/>
      <c r="Y60" s="2657"/>
      <c r="Z60" s="2657"/>
      <c r="AA60" s="2657"/>
      <c r="AB60" s="2657"/>
      <c r="AC60" s="2657"/>
    </row>
    <row r="61" spans="1:29" s="107" customFormat="1" ht="15">
      <c r="A61" s="468" t="s">
        <v>1681</v>
      </c>
      <c r="B61" s="457"/>
      <c r="C61" s="469" t="s">
        <v>1776</v>
      </c>
      <c r="D61" s="470"/>
      <c r="E61" s="470"/>
      <c r="F61" s="470"/>
      <c r="G61" s="470"/>
      <c r="H61" s="470"/>
      <c r="I61" s="470"/>
      <c r="J61" s="470"/>
      <c r="K61" s="470"/>
      <c r="L61" s="471"/>
      <c r="M61" s="472"/>
      <c r="N61" s="2748"/>
      <c r="O61" s="2748"/>
      <c r="P61" s="2739"/>
      <c r="Q61" s="2735"/>
      <c r="R61" s="2657"/>
      <c r="S61" s="2657"/>
      <c r="T61" s="2657"/>
      <c r="U61" s="2657"/>
      <c r="V61" s="2657"/>
      <c r="W61" s="2657"/>
      <c r="X61" s="2657"/>
      <c r="Y61" s="2657"/>
      <c r="Z61" s="2657"/>
      <c r="AA61" s="2657"/>
      <c r="AB61" s="2657"/>
      <c r="AC61" s="2657"/>
    </row>
    <row r="62" spans="1:29" s="107" customFormat="1" ht="15.75" thickBot="1">
      <c r="A62" s="468"/>
      <c r="B62" s="457"/>
      <c r="C62" s="458">
        <v>100</v>
      </c>
      <c r="D62" s="459"/>
      <c r="E62" s="459"/>
      <c r="F62" s="459"/>
      <c r="G62" s="459"/>
      <c r="H62" s="459"/>
      <c r="I62" s="459"/>
      <c r="J62" s="459"/>
      <c r="K62" s="459"/>
      <c r="L62" s="459"/>
      <c r="M62" s="461"/>
      <c r="N62" s="2748"/>
      <c r="O62" s="2748"/>
      <c r="P62" s="2738"/>
      <c r="Q62" s="2735"/>
      <c r="R62" s="2657"/>
      <c r="S62" s="2657"/>
      <c r="T62" s="2657"/>
      <c r="U62" s="2657"/>
      <c r="V62" s="2657"/>
      <c r="W62" s="2657"/>
      <c r="X62" s="2657"/>
      <c r="Y62" s="2657"/>
      <c r="Z62" s="2657"/>
      <c r="AA62" s="2657"/>
      <c r="AB62" s="2657"/>
      <c r="AC62" s="2657"/>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7"/>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7" customFormat="1" ht="15.75" thickTop="1">
      <c r="A86" s="526"/>
      <c r="B86" s="485" t="s">
        <v>1804</v>
      </c>
      <c r="C86" s="501"/>
      <c r="D86" s="501"/>
      <c r="E86" s="501"/>
      <c r="F86" s="501"/>
      <c r="G86" s="501"/>
      <c r="H86" s="501"/>
      <c r="I86" s="501"/>
      <c r="J86" s="501"/>
      <c r="K86" s="501"/>
      <c r="L86" s="527"/>
      <c r="M86" s="528"/>
      <c r="N86" s="2748"/>
      <c r="O86" s="2748"/>
      <c r="P86" s="2740"/>
      <c r="Q86" s="2735"/>
      <c r="R86" s="2657"/>
      <c r="S86" s="2657"/>
      <c r="T86" s="2657"/>
      <c r="U86" s="2657"/>
      <c r="V86" s="2657"/>
      <c r="W86" s="2657"/>
      <c r="X86" s="2657"/>
      <c r="Y86" s="2657"/>
      <c r="Z86" s="2657"/>
      <c r="AA86" s="2657"/>
      <c r="AB86" s="2657"/>
      <c r="AC86" s="2657"/>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6"/>
      <c r="B88" s="485" t="str">
        <f>B26</f>
        <v>平面位置/可视性</v>
      </c>
      <c r="C88" s="501"/>
      <c r="D88" s="501"/>
      <c r="E88" s="501"/>
      <c r="F88" s="1925"/>
      <c r="G88" s="501"/>
      <c r="H88" s="501"/>
      <c r="I88" s="501"/>
      <c r="J88" s="501"/>
      <c r="K88" s="501"/>
      <c r="L88" s="501"/>
      <c r="M88" s="528"/>
      <c r="N88" s="2748"/>
      <c r="O88" s="2748"/>
      <c r="P88" s="2740"/>
      <c r="Q88" s="2735"/>
      <c r="R88" s="2657"/>
      <c r="S88" s="2657"/>
      <c r="T88" s="2657"/>
      <c r="U88" s="2657"/>
      <c r="V88" s="2657"/>
      <c r="W88" s="2657"/>
      <c r="X88" s="2657"/>
      <c r="Y88" s="2657"/>
      <c r="Z88" s="2657"/>
      <c r="AA88" s="2657"/>
      <c r="AB88" s="2657"/>
      <c r="AC88" s="2657"/>
    </row>
    <row r="89" spans="1:29" s="107" customFormat="1" ht="15.75" thickBot="1">
      <c r="A89" s="526"/>
      <c r="B89" s="490"/>
      <c r="C89" s="507"/>
      <c r="D89" s="483"/>
      <c r="E89" s="483"/>
      <c r="F89" s="483"/>
      <c r="G89" s="483"/>
      <c r="H89" s="483"/>
      <c r="I89" s="483"/>
      <c r="J89" s="483"/>
      <c r="K89" s="483"/>
      <c r="L89" s="483"/>
      <c r="M89" s="483"/>
      <c r="N89" s="2750"/>
      <c r="O89" s="2750"/>
      <c r="P89" s="2740"/>
      <c r="Q89" s="2735"/>
      <c r="R89" s="2657"/>
      <c r="S89" s="2657"/>
      <c r="T89" s="2657"/>
      <c r="U89" s="2657"/>
      <c r="V89" s="2657"/>
      <c r="W89" s="2657"/>
      <c r="X89" s="2657"/>
      <c r="Y89" s="2657"/>
      <c r="Z89" s="2657"/>
      <c r="AA89" s="2657"/>
      <c r="AB89" s="2657"/>
      <c r="AC89" s="2657"/>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6"/>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5970.96</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41" t="s">
        <v>1775</v>
      </c>
      <c r="Q4" s="3742"/>
      <c r="R4" s="3745" t="s">
        <v>1771</v>
      </c>
      <c r="S4" s="3746"/>
      <c r="T4" s="3745" t="s">
        <v>1772</v>
      </c>
      <c r="U4" s="3746"/>
      <c r="V4" s="3747" t="s">
        <v>1773</v>
      </c>
      <c r="W4" s="3747"/>
      <c r="X4" s="1956"/>
      <c r="Y4" s="3745" t="s">
        <v>1775</v>
      </c>
      <c r="Z4" s="3746"/>
      <c r="AA4" s="3749" t="s">
        <v>1771</v>
      </c>
      <c r="AB4" s="3749" t="s">
        <v>1772</v>
      </c>
      <c r="AC4" s="3738" t="s">
        <v>1773</v>
      </c>
    </row>
    <row r="5" spans="1:29" ht="15">
      <c r="A5" s="356"/>
      <c r="B5" s="357"/>
      <c r="C5" s="3726" t="s">
        <v>1673</v>
      </c>
      <c r="D5" s="3727"/>
      <c r="E5" s="3733" t="s">
        <v>1674</v>
      </c>
      <c r="F5" s="3734"/>
      <c r="G5" s="3726" t="s">
        <v>1675</v>
      </c>
      <c r="H5" s="3727"/>
      <c r="I5" s="3726" t="s">
        <v>1676</v>
      </c>
      <c r="J5" s="3727"/>
      <c r="K5" s="557"/>
      <c r="L5" s="2711"/>
      <c r="M5" s="2712"/>
      <c r="N5" s="2712"/>
      <c r="O5" s="2712"/>
      <c r="P5" s="3743"/>
      <c r="Q5" s="3714"/>
      <c r="R5" s="3719"/>
      <c r="S5" s="3720"/>
      <c r="T5" s="3719"/>
      <c r="U5" s="3720"/>
      <c r="V5" s="3723"/>
      <c r="W5" s="3723"/>
      <c r="X5" s="1353"/>
      <c r="Y5" s="3719"/>
      <c r="Z5" s="3720"/>
      <c r="AA5" s="3705"/>
      <c r="AB5" s="3705"/>
      <c r="AC5" s="3739"/>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44"/>
      <c r="Q6" s="3716"/>
      <c r="R6" s="3719"/>
      <c r="S6" s="3720"/>
      <c r="T6" s="3721"/>
      <c r="U6" s="3722"/>
      <c r="V6" s="3723"/>
      <c r="W6" s="3723"/>
      <c r="X6" s="1353"/>
      <c r="Y6" s="3721"/>
      <c r="Z6" s="3722"/>
      <c r="AA6" s="3706"/>
      <c r="AB6" s="3706"/>
      <c r="AC6" s="3740"/>
    </row>
    <row r="7" spans="1:29" s="107" customFormat="1" ht="15.75" thickBot="1">
      <c r="A7" s="360" t="s">
        <v>1679</v>
      </c>
      <c r="B7" s="361"/>
      <c r="C7" s="362">
        <f>'数据-取费表'!B2</f>
        <v>44985</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4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48" t="s">
        <v>1683</v>
      </c>
      <c r="Q8" s="3729"/>
      <c r="R8" s="699" t="s">
        <v>14</v>
      </c>
      <c r="S8" s="700">
        <f t="shared" si="0"/>
        <v>100</v>
      </c>
      <c r="T8" s="699" t="s">
        <v>14</v>
      </c>
      <c r="U8" s="700">
        <f t="shared" si="1"/>
        <v>100</v>
      </c>
      <c r="V8" s="699" t="s">
        <v>14</v>
      </c>
      <c r="W8" s="700">
        <f t="shared" si="2"/>
        <v>100</v>
      </c>
      <c r="X8" s="701"/>
      <c r="Y8" s="3728" t="s">
        <v>1683</v>
      </c>
      <c r="Z8" s="3729"/>
      <c r="AA8" s="702">
        <f t="shared" ref="AA8:AA47" si="3">D8/F8</f>
        <v>1</v>
      </c>
      <c r="AB8" s="702">
        <f t="shared" ref="AB8:AB47" si="4">D8/H8</f>
        <v>1</v>
      </c>
      <c r="AC8" s="1957">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0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0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7"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3"/>
      <c r="M12" s="2714"/>
      <c r="N12" s="2714"/>
      <c r="O12" s="2714"/>
      <c r="P12" s="370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18"/>
      <c r="M13" s="2712"/>
      <c r="N13" s="2712"/>
      <c r="O13" s="2712"/>
      <c r="P13" s="370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8"/>
      <c r="M14" s="2712"/>
      <c r="N14" s="2712"/>
      <c r="O14" s="2712"/>
      <c r="P14" s="370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01" t="s">
        <v>1691</v>
      </c>
      <c r="Q15" s="1350" t="str">
        <f t="shared" si="6"/>
        <v>办公集聚程度</v>
      </c>
      <c r="R15" s="703" t="s">
        <v>14</v>
      </c>
      <c r="S15" s="704">
        <f t="shared" si="0"/>
        <v>100</v>
      </c>
      <c r="T15" s="703" t="s">
        <v>14</v>
      </c>
      <c r="U15" s="704">
        <f t="shared" si="1"/>
        <v>100</v>
      </c>
      <c r="V15" s="703" t="s">
        <v>14</v>
      </c>
      <c r="W15" s="704">
        <f t="shared" si="2"/>
        <v>100</v>
      </c>
      <c r="X15" s="1353"/>
      <c r="Y15" s="3694"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8"/>
      <c r="M16" s="2712"/>
      <c r="N16" s="2712"/>
      <c r="O16" s="2712"/>
      <c r="P16" s="3702"/>
      <c r="Q16" s="1350"/>
      <c r="R16" s="703"/>
      <c r="S16" s="704"/>
      <c r="T16" s="703"/>
      <c r="U16" s="704"/>
      <c r="V16" s="703"/>
      <c r="W16" s="704"/>
      <c r="X16" s="1353"/>
      <c r="Y16" s="3695"/>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02"/>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8"/>
      <c r="M18" s="2712"/>
      <c r="N18" s="2712"/>
      <c r="O18" s="2712"/>
      <c r="P18" s="3702"/>
      <c r="Q18" s="1350"/>
      <c r="R18" s="703"/>
      <c r="S18" s="704"/>
      <c r="T18" s="703"/>
      <c r="U18" s="704"/>
      <c r="V18" s="703"/>
      <c r="W18" s="704"/>
      <c r="X18" s="1353"/>
      <c r="Y18" s="3695"/>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02"/>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8"/>
      <c r="M20" s="2712"/>
      <c r="N20" s="2712"/>
      <c r="O20" s="2712"/>
      <c r="P20" s="3702"/>
      <c r="Q20" s="1350"/>
      <c r="R20" s="703"/>
      <c r="S20" s="704"/>
      <c r="T20" s="703"/>
      <c r="U20" s="704"/>
      <c r="V20" s="703"/>
      <c r="W20" s="704"/>
      <c r="X20" s="1353"/>
      <c r="Y20" s="3695"/>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02"/>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8"/>
      <c r="M22" s="2712"/>
      <c r="N22" s="2712"/>
      <c r="O22" s="2712"/>
      <c r="P22" s="3702"/>
      <c r="Q22" s="1350"/>
      <c r="R22" s="703"/>
      <c r="S22" s="704"/>
      <c r="T22" s="703"/>
      <c r="U22" s="704"/>
      <c r="V22" s="703"/>
      <c r="W22" s="704"/>
      <c r="X22" s="1353"/>
      <c r="Y22" s="3695"/>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02"/>
      <c r="Q23" s="1350" t="str">
        <f>B23</f>
        <v>环境质量</v>
      </c>
      <c r="R23" s="703" t="s">
        <v>14</v>
      </c>
      <c r="S23" s="704">
        <f>F23</f>
        <v>100</v>
      </c>
      <c r="T23" s="703" t="s">
        <v>14</v>
      </c>
      <c r="U23" s="704">
        <f>H23</f>
        <v>100</v>
      </c>
      <c r="V23" s="703" t="s">
        <v>14</v>
      </c>
      <c r="W23" s="704">
        <f>J23</f>
        <v>100</v>
      </c>
      <c r="X23" s="1353"/>
      <c r="Y23" s="3695"/>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8"/>
      <c r="M24" s="2712"/>
      <c r="N24" s="2712"/>
      <c r="O24" s="2712"/>
      <c r="P24" s="3702"/>
      <c r="Q24" s="1350"/>
      <c r="R24" s="703"/>
      <c r="S24" s="704"/>
      <c r="T24" s="703"/>
      <c r="U24" s="704"/>
      <c r="V24" s="703"/>
      <c r="W24" s="704"/>
      <c r="X24" s="1353"/>
      <c r="Y24" s="3695"/>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8"/>
      <c r="M25" s="2712"/>
      <c r="N25" s="2712"/>
      <c r="O25" s="2712"/>
      <c r="P25" s="3702"/>
      <c r="Q25" s="1350" t="str">
        <f>B25</f>
        <v>毗邻道路的类型与等级</v>
      </c>
      <c r="R25" s="703" t="s">
        <v>14</v>
      </c>
      <c r="S25" s="704">
        <f>F25</f>
        <v>100</v>
      </c>
      <c r="T25" s="703" t="s">
        <v>14</v>
      </c>
      <c r="U25" s="704">
        <f>H25</f>
        <v>100</v>
      </c>
      <c r="V25" s="703" t="s">
        <v>14</v>
      </c>
      <c r="W25" s="704">
        <f>J25</f>
        <v>100</v>
      </c>
      <c r="X25" s="1353"/>
      <c r="Y25" s="3695"/>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8"/>
      <c r="M26" s="2712"/>
      <c r="N26" s="2712"/>
      <c r="O26" s="2712"/>
      <c r="P26" s="3702"/>
      <c r="Q26" s="1350"/>
      <c r="R26" s="703"/>
      <c r="S26" s="704"/>
      <c r="T26" s="703"/>
      <c r="U26" s="704"/>
      <c r="V26" s="703"/>
      <c r="W26" s="704"/>
      <c r="X26" s="1353"/>
      <c r="Y26" s="3695"/>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02"/>
      <c r="Q27" s="1350" t="str">
        <f t="shared" ref="Q27:Q47" si="11">B27</f>
        <v>楼层</v>
      </c>
      <c r="R27" s="703" t="s">
        <v>14</v>
      </c>
      <c r="S27" s="704">
        <f>F27</f>
        <v>100</v>
      </c>
      <c r="T27" s="703" t="s">
        <v>14</v>
      </c>
      <c r="U27" s="704">
        <f>H27</f>
        <v>100</v>
      </c>
      <c r="V27" s="703" t="s">
        <v>14</v>
      </c>
      <c r="W27" s="704">
        <f>J27</f>
        <v>100</v>
      </c>
      <c r="X27" s="1353"/>
      <c r="Y27" s="3695"/>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3"/>
      <c r="M28" s="2714"/>
      <c r="N28" s="2714"/>
      <c r="O28" s="2714"/>
      <c r="P28" s="3702"/>
      <c r="Q28" s="1341" t="str">
        <f t="shared" si="11"/>
        <v>朝向</v>
      </c>
      <c r="R28" s="699" t="s">
        <v>14</v>
      </c>
      <c r="S28" s="700">
        <f>F28</f>
        <v>100</v>
      </c>
      <c r="T28" s="699" t="s">
        <v>14</v>
      </c>
      <c r="U28" s="700">
        <f>H28</f>
        <v>100</v>
      </c>
      <c r="V28" s="699" t="s">
        <v>14</v>
      </c>
      <c r="W28" s="700">
        <f>J28</f>
        <v>100</v>
      </c>
      <c r="X28" s="701"/>
      <c r="Y28" s="3695"/>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8"/>
      <c r="M29" s="2712"/>
      <c r="N29" s="2712"/>
      <c r="O29" s="2712"/>
      <c r="P29" s="3702"/>
      <c r="Q29" s="1350">
        <f t="shared" si="11"/>
        <v>111</v>
      </c>
      <c r="R29" s="703" t="s">
        <v>14</v>
      </c>
      <c r="S29" s="704">
        <f t="shared" ref="S29:S47" si="12">F29</f>
        <v>100</v>
      </c>
      <c r="T29" s="703" t="s">
        <v>14</v>
      </c>
      <c r="U29" s="704">
        <f t="shared" ref="U29:U47" si="13">H29</f>
        <v>100</v>
      </c>
      <c r="V29" s="703" t="s">
        <v>14</v>
      </c>
      <c r="W29" s="704">
        <f t="shared" ref="W29:W47" si="14">J29</f>
        <v>100</v>
      </c>
      <c r="X29" s="1353"/>
      <c r="Y29" s="3695"/>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8"/>
      <c r="M30" s="2712"/>
      <c r="N30" s="2712"/>
      <c r="O30" s="2712"/>
      <c r="P30" s="3702"/>
      <c r="Q30" s="1350">
        <f t="shared" si="11"/>
        <v>111</v>
      </c>
      <c r="R30" s="703" t="s">
        <v>14</v>
      </c>
      <c r="S30" s="704">
        <f t="shared" si="12"/>
        <v>100</v>
      </c>
      <c r="T30" s="703" t="s">
        <v>14</v>
      </c>
      <c r="U30" s="704">
        <f t="shared" si="13"/>
        <v>100</v>
      </c>
      <c r="V30" s="703" t="s">
        <v>14</v>
      </c>
      <c r="W30" s="704">
        <f t="shared" si="14"/>
        <v>100</v>
      </c>
      <c r="X30" s="1353"/>
      <c r="Y30" s="3695"/>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8"/>
      <c r="M31" s="2712"/>
      <c r="N31" s="2712"/>
      <c r="O31" s="2712"/>
      <c r="P31" s="3702"/>
      <c r="Q31" s="1350">
        <f t="shared" si="11"/>
        <v>111</v>
      </c>
      <c r="R31" s="703" t="s">
        <v>14</v>
      </c>
      <c r="S31" s="704">
        <f t="shared" si="12"/>
        <v>100</v>
      </c>
      <c r="T31" s="703" t="s">
        <v>14</v>
      </c>
      <c r="U31" s="704">
        <f t="shared" si="13"/>
        <v>100</v>
      </c>
      <c r="V31" s="703" t="s">
        <v>14</v>
      </c>
      <c r="W31" s="704">
        <f t="shared" si="14"/>
        <v>100</v>
      </c>
      <c r="X31" s="1353"/>
      <c r="Y31" s="3695"/>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8"/>
      <c r="M32" s="2712"/>
      <c r="N32" s="2712"/>
      <c r="O32" s="2712"/>
      <c r="P32" s="3702"/>
      <c r="Q32" s="1350">
        <f t="shared" si="11"/>
        <v>111</v>
      </c>
      <c r="R32" s="703" t="s">
        <v>14</v>
      </c>
      <c r="S32" s="704">
        <f t="shared" si="12"/>
        <v>100</v>
      </c>
      <c r="T32" s="703" t="s">
        <v>14</v>
      </c>
      <c r="U32" s="704">
        <f t="shared" si="13"/>
        <v>100</v>
      </c>
      <c r="V32" s="703" t="s">
        <v>14</v>
      </c>
      <c r="W32" s="704">
        <f t="shared" si="14"/>
        <v>100</v>
      </c>
      <c r="X32" s="1353"/>
      <c r="Y32" s="3695"/>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8"/>
      <c r="M33" s="2712"/>
      <c r="N33" s="2712"/>
      <c r="O33" s="2712"/>
      <c r="P33" s="3696" t="s">
        <v>1696</v>
      </c>
      <c r="Q33" s="1350" t="str">
        <f t="shared" si="11"/>
        <v>建筑类型</v>
      </c>
      <c r="R33" s="703" t="s">
        <v>14</v>
      </c>
      <c r="S33" s="704">
        <f t="shared" si="12"/>
        <v>100</v>
      </c>
      <c r="T33" s="703" t="s">
        <v>14</v>
      </c>
      <c r="U33" s="704">
        <f t="shared" si="13"/>
        <v>100</v>
      </c>
      <c r="V33" s="703" t="s">
        <v>14</v>
      </c>
      <c r="W33" s="704">
        <f t="shared" si="14"/>
        <v>100</v>
      </c>
      <c r="X33" s="1353"/>
      <c r="Y33" s="3699"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697"/>
      <c r="Q34" s="705" t="str">
        <f t="shared" si="11"/>
        <v>项目建筑规模</v>
      </c>
      <c r="R34" s="706" t="s">
        <v>14</v>
      </c>
      <c r="S34" s="707" t="e">
        <f t="shared" si="12"/>
        <v>#N/A</v>
      </c>
      <c r="T34" s="706" t="s">
        <v>14</v>
      </c>
      <c r="U34" s="707" t="e">
        <f t="shared" si="13"/>
        <v>#N/A</v>
      </c>
      <c r="V34" s="706" t="s">
        <v>14</v>
      </c>
      <c r="W34" s="707" t="e">
        <f t="shared" si="14"/>
        <v>#N/A</v>
      </c>
      <c r="X34" s="708"/>
      <c r="Y34" s="3699"/>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697"/>
      <c r="Q35" s="1350" t="str">
        <f t="shared" si="11"/>
        <v>建筑结构</v>
      </c>
      <c r="R35" s="703" t="s">
        <v>14</v>
      </c>
      <c r="S35" s="704">
        <f t="shared" si="12"/>
        <v>100</v>
      </c>
      <c r="T35" s="703" t="s">
        <v>14</v>
      </c>
      <c r="U35" s="704">
        <f t="shared" si="13"/>
        <v>100</v>
      </c>
      <c r="V35" s="703" t="s">
        <v>14</v>
      </c>
      <c r="W35" s="704">
        <f t="shared" si="14"/>
        <v>100</v>
      </c>
      <c r="X35" s="1353"/>
      <c r="Y35" s="3699"/>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697"/>
      <c r="Q36" s="1350" t="str">
        <f t="shared" si="11"/>
        <v>公共部分装修</v>
      </c>
      <c r="R36" s="703" t="s">
        <v>14</v>
      </c>
      <c r="S36" s="704">
        <f t="shared" si="12"/>
        <v>100</v>
      </c>
      <c r="T36" s="703" t="s">
        <v>14</v>
      </c>
      <c r="U36" s="704">
        <f t="shared" si="13"/>
        <v>100</v>
      </c>
      <c r="V36" s="703" t="s">
        <v>14</v>
      </c>
      <c r="W36" s="704">
        <f t="shared" si="14"/>
        <v>100</v>
      </c>
      <c r="X36" s="1353"/>
      <c r="Y36" s="3699"/>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697"/>
      <c r="Q37" s="1350" t="str">
        <f t="shared" si="11"/>
        <v>成新度</v>
      </c>
      <c r="R37" s="703" t="s">
        <v>14</v>
      </c>
      <c r="S37" s="704" t="e">
        <f t="shared" si="12"/>
        <v>#N/A</v>
      </c>
      <c r="T37" s="703" t="s">
        <v>14</v>
      </c>
      <c r="U37" s="704" t="e">
        <f t="shared" si="13"/>
        <v>#N/A</v>
      </c>
      <c r="V37" s="703" t="s">
        <v>14</v>
      </c>
      <c r="W37" s="704" t="e">
        <f t="shared" si="14"/>
        <v>#N/A</v>
      </c>
      <c r="X37" s="1353"/>
      <c r="Y37" s="3699"/>
      <c r="Z37" s="1354" t="str">
        <f t="shared" si="15"/>
        <v>成新度</v>
      </c>
      <c r="AA37" s="1351" t="e">
        <f t="shared" si="3"/>
        <v>#N/A</v>
      </c>
      <c r="AB37" s="1351" t="e">
        <f t="shared" si="4"/>
        <v>#N/A</v>
      </c>
      <c r="AC37" s="1960"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697"/>
      <c r="Q38" s="1341" t="str">
        <f t="shared" si="11"/>
        <v>写字楼等级</v>
      </c>
      <c r="R38" s="699" t="s">
        <v>14</v>
      </c>
      <c r="S38" s="700">
        <f t="shared" si="12"/>
        <v>100</v>
      </c>
      <c r="T38" s="699" t="s">
        <v>14</v>
      </c>
      <c r="U38" s="700">
        <f t="shared" si="13"/>
        <v>100</v>
      </c>
      <c r="V38" s="699" t="s">
        <v>14</v>
      </c>
      <c r="W38" s="700">
        <f t="shared" si="14"/>
        <v>100</v>
      </c>
      <c r="X38" s="701"/>
      <c r="Y38" s="3699"/>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697" t="s">
        <v>1696</v>
      </c>
      <c r="Q39" s="1350" t="str">
        <f t="shared" si="11"/>
        <v>物业管理</v>
      </c>
      <c r="R39" s="703" t="s">
        <v>14</v>
      </c>
      <c r="S39" s="704">
        <f t="shared" si="12"/>
        <v>100</v>
      </c>
      <c r="T39" s="703" t="s">
        <v>14</v>
      </c>
      <c r="U39" s="704">
        <f t="shared" si="13"/>
        <v>100</v>
      </c>
      <c r="V39" s="703" t="s">
        <v>14</v>
      </c>
      <c r="W39" s="704">
        <f t="shared" si="14"/>
        <v>100</v>
      </c>
      <c r="X39" s="1353"/>
      <c r="Y39" s="3699"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697"/>
      <c r="Q40" s="1350" t="str">
        <f t="shared" si="11"/>
        <v>市政基础设施</v>
      </c>
      <c r="R40" s="703" t="s">
        <v>14</v>
      </c>
      <c r="S40" s="704">
        <f t="shared" si="12"/>
        <v>100</v>
      </c>
      <c r="T40" s="703" t="s">
        <v>14</v>
      </c>
      <c r="U40" s="704">
        <f t="shared" si="13"/>
        <v>100</v>
      </c>
      <c r="V40" s="703" t="s">
        <v>14</v>
      </c>
      <c r="W40" s="704">
        <f t="shared" si="14"/>
        <v>100</v>
      </c>
      <c r="X40" s="1353"/>
      <c r="Y40" s="3699"/>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697"/>
      <c r="Q41" s="1350" t="str">
        <f t="shared" si="11"/>
        <v>层高</v>
      </c>
      <c r="R41" s="703" t="s">
        <v>14</v>
      </c>
      <c r="S41" s="704">
        <f t="shared" si="12"/>
        <v>100</v>
      </c>
      <c r="T41" s="703" t="s">
        <v>14</v>
      </c>
      <c r="U41" s="704">
        <f t="shared" si="13"/>
        <v>100</v>
      </c>
      <c r="V41" s="703" t="s">
        <v>14</v>
      </c>
      <c r="W41" s="704">
        <f t="shared" si="14"/>
        <v>100</v>
      </c>
      <c r="X41" s="1353"/>
      <c r="Y41" s="3699"/>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697"/>
      <c r="Q42" s="705" t="str">
        <f t="shared" si="11"/>
        <v>单套建筑面积</v>
      </c>
      <c r="R42" s="706" t="s">
        <v>14</v>
      </c>
      <c r="S42" s="707">
        <f t="shared" si="12"/>
        <v>100</v>
      </c>
      <c r="T42" s="706" t="s">
        <v>14</v>
      </c>
      <c r="U42" s="707">
        <f t="shared" si="13"/>
        <v>100</v>
      </c>
      <c r="V42" s="706" t="s">
        <v>14</v>
      </c>
      <c r="W42" s="707">
        <f t="shared" si="14"/>
        <v>100</v>
      </c>
      <c r="X42" s="708"/>
      <c r="Y42" s="3699"/>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697"/>
      <c r="Q43" s="1350" t="str">
        <f t="shared" si="11"/>
        <v>内部装修</v>
      </c>
      <c r="R43" s="703" t="s">
        <v>14</v>
      </c>
      <c r="S43" s="704">
        <f t="shared" si="12"/>
        <v>100</v>
      </c>
      <c r="T43" s="703" t="s">
        <v>14</v>
      </c>
      <c r="U43" s="704">
        <f t="shared" si="13"/>
        <v>100</v>
      </c>
      <c r="V43" s="703" t="s">
        <v>14</v>
      </c>
      <c r="W43" s="704">
        <f t="shared" si="14"/>
        <v>100</v>
      </c>
      <c r="X43" s="1353"/>
      <c r="Y43" s="3699"/>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8"/>
      <c r="M44" s="2712"/>
      <c r="N44" s="2712"/>
      <c r="O44" s="2712"/>
      <c r="P44" s="3697"/>
      <c r="Q44" s="1350" t="str">
        <f t="shared" si="11"/>
        <v>内部装修维护情况</v>
      </c>
      <c r="R44" s="703" t="s">
        <v>14</v>
      </c>
      <c r="S44" s="704">
        <f t="shared" si="12"/>
        <v>100</v>
      </c>
      <c r="T44" s="703" t="s">
        <v>14</v>
      </c>
      <c r="U44" s="704">
        <f t="shared" si="13"/>
        <v>100</v>
      </c>
      <c r="V44" s="703" t="s">
        <v>14</v>
      </c>
      <c r="W44" s="704">
        <f t="shared" si="14"/>
        <v>100</v>
      </c>
      <c r="X44" s="1353"/>
      <c r="Y44" s="3699"/>
      <c r="Z44" s="1354" t="str">
        <f t="shared" si="15"/>
        <v>内部装修维护情况</v>
      </c>
      <c r="AA44" s="1351">
        <f t="shared" si="3"/>
        <v>1</v>
      </c>
      <c r="AB44" s="1351">
        <f t="shared" si="4"/>
        <v>1</v>
      </c>
      <c r="AC44" s="1960">
        <f t="shared" si="5"/>
        <v>1</v>
      </c>
    </row>
    <row r="45" spans="1:29" s="107"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697"/>
      <c r="Q45" s="1341">
        <f t="shared" si="11"/>
        <v>111</v>
      </c>
      <c r="R45" s="699" t="s">
        <v>14</v>
      </c>
      <c r="S45" s="700">
        <f t="shared" si="12"/>
        <v>100</v>
      </c>
      <c r="T45" s="699" t="s">
        <v>14</v>
      </c>
      <c r="U45" s="700">
        <f t="shared" si="13"/>
        <v>100</v>
      </c>
      <c r="V45" s="699" t="s">
        <v>14</v>
      </c>
      <c r="W45" s="700">
        <f t="shared" si="14"/>
        <v>100</v>
      </c>
      <c r="X45" s="701"/>
      <c r="Y45" s="3699"/>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697"/>
      <c r="Q46" s="1350">
        <f t="shared" si="11"/>
        <v>111</v>
      </c>
      <c r="R46" s="703" t="s">
        <v>14</v>
      </c>
      <c r="S46" s="704">
        <f t="shared" si="12"/>
        <v>100</v>
      </c>
      <c r="T46" s="703" t="s">
        <v>14</v>
      </c>
      <c r="U46" s="704">
        <f t="shared" si="13"/>
        <v>100</v>
      </c>
      <c r="V46" s="703" t="s">
        <v>14</v>
      </c>
      <c r="W46" s="704">
        <f t="shared" si="14"/>
        <v>100</v>
      </c>
      <c r="X46" s="1353"/>
      <c r="Y46" s="3699"/>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698"/>
      <c r="Q47" s="1350">
        <f t="shared" si="11"/>
        <v>111</v>
      </c>
      <c r="R47" s="703" t="s">
        <v>14</v>
      </c>
      <c r="S47" s="704">
        <f t="shared" si="12"/>
        <v>100</v>
      </c>
      <c r="T47" s="703" t="s">
        <v>14</v>
      </c>
      <c r="U47" s="704">
        <f t="shared" si="13"/>
        <v>100</v>
      </c>
      <c r="V47" s="703" t="s">
        <v>14</v>
      </c>
      <c r="W47" s="704">
        <f t="shared" si="14"/>
        <v>100</v>
      </c>
      <c r="X47" s="1353"/>
      <c r="Y47" s="3700"/>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0"/>
      <c r="M48" s="2712"/>
      <c r="N48" s="2712"/>
      <c r="O48" s="2712"/>
      <c r="P48" s="3703" t="str">
        <f>A48</f>
        <v>成交单价（元/平方米）</v>
      </c>
      <c r="Q48" s="3692"/>
      <c r="R48" s="3693">
        <f>E48</f>
        <v>0</v>
      </c>
      <c r="S48" s="3693"/>
      <c r="T48" s="3693">
        <f>G48</f>
        <v>0</v>
      </c>
      <c r="U48" s="3693"/>
      <c r="V48" s="3693">
        <f>I48</f>
        <v>0</v>
      </c>
      <c r="W48" s="3693"/>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0"/>
      <c r="M49" s="2712"/>
      <c r="N49" s="2712"/>
      <c r="O49" s="2712"/>
      <c r="P49" s="3703"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0"/>
      <c r="M50" s="2712"/>
      <c r="N50" s="2712"/>
      <c r="O50" s="2712"/>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5"/>
      <c r="Q59" s="2737"/>
      <c r="R59" s="2737"/>
      <c r="S59" s="2737"/>
      <c r="T59" s="2737"/>
      <c r="U59" s="2737"/>
      <c r="V59" s="2737"/>
      <c r="W59" s="2737"/>
      <c r="X59" s="2737"/>
      <c r="Y59" s="2737"/>
      <c r="Z59" s="2737"/>
      <c r="AA59" s="2737"/>
      <c r="AB59" s="2737"/>
      <c r="AC59" s="2737"/>
    </row>
    <row r="60" spans="1:29" s="107" customFormat="1" ht="15">
      <c r="A60" s="456"/>
      <c r="B60" s="457"/>
      <c r="C60" s="1181">
        <v>100</v>
      </c>
      <c r="D60" s="459"/>
      <c r="E60" s="459"/>
      <c r="F60" s="459"/>
      <c r="G60" s="459"/>
      <c r="H60" s="459"/>
      <c r="I60" s="459"/>
      <c r="J60" s="459"/>
      <c r="K60" s="459"/>
      <c r="L60" s="459"/>
      <c r="M60" s="460"/>
      <c r="N60" s="459"/>
      <c r="O60" s="460"/>
      <c r="P60" s="2756"/>
      <c r="Q60" s="2657"/>
      <c r="R60" s="2657"/>
      <c r="S60" s="2657"/>
      <c r="T60" s="2657"/>
      <c r="U60" s="2657"/>
      <c r="V60" s="2657"/>
      <c r="W60" s="2657"/>
      <c r="X60" s="2657"/>
      <c r="Y60" s="2657"/>
      <c r="Z60" s="2657"/>
      <c r="AA60" s="2657"/>
      <c r="AB60" s="2657"/>
      <c r="AC60" s="2657"/>
    </row>
    <row r="61" spans="1:29" s="107" customFormat="1" ht="15.75" thickBot="1">
      <c r="A61" s="462" t="s">
        <v>1716</v>
      </c>
      <c r="B61" s="463"/>
      <c r="C61" s="464"/>
      <c r="D61" s="465"/>
      <c r="E61" s="465"/>
      <c r="F61" s="465"/>
      <c r="G61" s="465"/>
      <c r="H61" s="465"/>
      <c r="I61" s="465"/>
      <c r="J61" s="465"/>
      <c r="K61" s="465"/>
      <c r="L61" s="465"/>
      <c r="M61" s="466"/>
      <c r="N61" s="465"/>
      <c r="O61" s="466"/>
      <c r="P61" s="2756"/>
      <c r="Q61" s="2735"/>
      <c r="R61" s="2657"/>
      <c r="S61" s="2657"/>
      <c r="T61" s="2657"/>
      <c r="U61" s="2657"/>
      <c r="V61" s="2657"/>
      <c r="W61" s="2657"/>
      <c r="X61" s="2657"/>
      <c r="Y61" s="2657"/>
      <c r="Z61" s="2657"/>
      <c r="AA61" s="2657"/>
      <c r="AB61" s="2657"/>
      <c r="AC61" s="2657"/>
    </row>
    <row r="62" spans="1:29" s="107" customFormat="1" ht="15">
      <c r="A62" s="468" t="s">
        <v>1681</v>
      </c>
      <c r="B62" s="457"/>
      <c r="C62" s="469" t="s">
        <v>1776</v>
      </c>
      <c r="D62" s="470"/>
      <c r="E62" s="470"/>
      <c r="F62" s="470"/>
      <c r="G62" s="470"/>
      <c r="H62" s="470"/>
      <c r="I62" s="470"/>
      <c r="J62" s="470"/>
      <c r="K62" s="470"/>
      <c r="L62" s="471"/>
      <c r="M62" s="472"/>
      <c r="N62" s="2748"/>
      <c r="O62" s="2748"/>
      <c r="P62" s="2757"/>
      <c r="Q62" s="2735"/>
      <c r="R62" s="2657"/>
      <c r="S62" s="2657"/>
      <c r="T62" s="2657"/>
      <c r="U62" s="2657"/>
      <c r="V62" s="2657"/>
      <c r="W62" s="2657"/>
      <c r="X62" s="2657"/>
      <c r="Y62" s="2657"/>
      <c r="Z62" s="2657"/>
      <c r="AA62" s="2657"/>
      <c r="AB62" s="2657"/>
      <c r="AC62" s="2657"/>
    </row>
    <row r="63" spans="1:29" s="107" customFormat="1" ht="15.75" thickBot="1">
      <c r="A63" s="468"/>
      <c r="B63" s="457"/>
      <c r="C63" s="458">
        <v>100</v>
      </c>
      <c r="D63" s="459"/>
      <c r="E63" s="459"/>
      <c r="F63" s="459"/>
      <c r="G63" s="459"/>
      <c r="H63" s="459"/>
      <c r="I63" s="459"/>
      <c r="J63" s="459"/>
      <c r="K63" s="459"/>
      <c r="L63" s="459"/>
      <c r="M63" s="461"/>
      <c r="N63" s="2748"/>
      <c r="O63" s="2748"/>
      <c r="P63" s="2756"/>
      <c r="Q63" s="2735"/>
      <c r="R63" s="2657"/>
      <c r="S63" s="2657"/>
      <c r="T63" s="2657"/>
      <c r="U63" s="2657"/>
      <c r="V63" s="2657"/>
      <c r="W63" s="2657"/>
      <c r="X63" s="2657"/>
      <c r="Y63" s="2657"/>
      <c r="Z63" s="2657"/>
      <c r="AA63" s="2657"/>
      <c r="AB63" s="2657"/>
      <c r="AC63" s="2657"/>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7"/>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7" customFormat="1" ht="27.75" thickTop="1">
      <c r="A87" s="526"/>
      <c r="B87" s="485" t="s">
        <v>1823</v>
      </c>
      <c r="C87" s="501"/>
      <c r="D87" s="501"/>
      <c r="E87" s="501"/>
      <c r="F87" s="501"/>
      <c r="G87" s="501"/>
      <c r="H87" s="501"/>
      <c r="I87" s="501"/>
      <c r="J87" s="501"/>
      <c r="K87" s="501"/>
      <c r="L87" s="527"/>
      <c r="M87" s="528"/>
      <c r="N87" s="2748"/>
      <c r="O87" s="2748"/>
      <c r="P87" s="2758"/>
      <c r="Q87" s="2735"/>
      <c r="R87" s="2657"/>
      <c r="S87" s="2657"/>
      <c r="T87" s="2657"/>
      <c r="U87" s="2657"/>
      <c r="V87" s="2657"/>
      <c r="W87" s="2657"/>
      <c r="X87" s="2657"/>
      <c r="Y87" s="2657"/>
      <c r="Z87" s="2657"/>
      <c r="AA87" s="2657"/>
      <c r="AB87" s="2657"/>
      <c r="AC87" s="2657"/>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6"/>
      <c r="B89" s="485" t="str">
        <f>B27</f>
        <v>楼层</v>
      </c>
      <c r="C89" s="501"/>
      <c r="D89" s="501"/>
      <c r="E89" s="501"/>
      <c r="F89" s="1925"/>
      <c r="G89" s="501"/>
      <c r="H89" s="501"/>
      <c r="I89" s="501"/>
      <c r="J89" s="501"/>
      <c r="K89" s="501"/>
      <c r="L89" s="501"/>
      <c r="M89" s="528"/>
      <c r="N89" s="2748"/>
      <c r="O89" s="2748"/>
      <c r="P89" s="2758"/>
      <c r="Q89" s="2735"/>
      <c r="R89" s="2657"/>
      <c r="S89" s="2657"/>
      <c r="T89" s="2657"/>
      <c r="U89" s="2657"/>
      <c r="V89" s="2657"/>
      <c r="W89" s="2657"/>
      <c r="X89" s="2657"/>
      <c r="Y89" s="2657"/>
      <c r="Z89" s="2657"/>
      <c r="AA89" s="2657"/>
      <c r="AB89" s="2657"/>
      <c r="AC89" s="2657"/>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7"/>
      <c r="S90" s="2657"/>
      <c r="T90" s="2657"/>
      <c r="U90" s="2657"/>
      <c r="V90" s="2657"/>
      <c r="W90" s="2657"/>
      <c r="X90" s="2657"/>
      <c r="Y90" s="2657"/>
      <c r="Z90" s="2657"/>
      <c r="AA90" s="2657"/>
      <c r="AB90" s="2657"/>
      <c r="AC90" s="2657"/>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6"/>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中国银行：</v>
      </c>
    </row>
    <row r="4" spans="1:1" ht="36">
      <c r="A4" s="1478" t="str">
        <f>"受贵公司委托，我公司对"&amp;项目基本情况!S1&amp;"进行了预评估。"</f>
        <v>受贵公司委托，我公司对北京市延庆区康庄镇西桑园南区5号院1号楼01等房地产抵押价值进行了预评估。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估价对象为北京市延庆区康庄镇西桑园南区5号院1号楼01等房地产，为所有。根据《不动产权证书》[]，估价对象（分摊）出让国有建设用地使用权面积为7248.99平方米，建筑面积为5970.96平方米。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7248.99平方米，规划建筑面积为5970.96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2023年2月28日（评估专业人员实地查勘之日）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5970.96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911"/>
      <c r="M4" s="912"/>
      <c r="N4" s="912"/>
      <c r="O4" s="9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911"/>
      <c r="M5" s="912"/>
      <c r="N5" s="912"/>
      <c r="O5" s="9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911"/>
      <c r="M6" s="912"/>
      <c r="N6" s="912"/>
      <c r="O6" s="9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SUMIF(52:52,YEAR(E7)&amp;"-"&amp;MONTH(E7),53:53)</f>
        <v>0</v>
      </c>
      <c r="G7" s="364"/>
      <c r="H7" s="363">
        <f>SUMIF(52:52,YEAR(G7)&amp;"-"&amp;MONTH(G7),53:53)</f>
        <v>0</v>
      </c>
      <c r="I7" s="364"/>
      <c r="J7" s="363">
        <f>SUMIF(52:52,YEAR(I7)&amp;"-"&amp;MONTH(I7),53:53)</f>
        <v>0</v>
      </c>
      <c r="K7" s="558"/>
      <c r="L7" s="913"/>
      <c r="M7" s="914"/>
      <c r="N7" s="914"/>
      <c r="O7" s="9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28" t="s">
        <v>1683</v>
      </c>
      <c r="Q8" s="3729"/>
      <c r="R8" s="699" t="s">
        <v>14</v>
      </c>
      <c r="S8" s="700">
        <f t="shared" si="0"/>
        <v>100</v>
      </c>
      <c r="T8" s="699" t="s">
        <v>14</v>
      </c>
      <c r="U8" s="700">
        <f t="shared" si="1"/>
        <v>100</v>
      </c>
      <c r="V8" s="699" t="s">
        <v>14</v>
      </c>
      <c r="W8" s="700">
        <f t="shared" si="2"/>
        <v>100</v>
      </c>
      <c r="X8" s="701"/>
      <c r="Y8" s="3728" t="s">
        <v>1683</v>
      </c>
      <c r="Z8" s="3729"/>
      <c r="AA8" s="702">
        <f t="shared" ref="AA8:AA40" si="3">D8/F8</f>
        <v>1</v>
      </c>
      <c r="AB8" s="702">
        <f t="shared" ref="AB8:AB40" si="4">D8/H8</f>
        <v>1</v>
      </c>
      <c r="AC8" s="702">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0"/>
      <c r="F10" s="125">
        <f>SUMIF(59:59,E10,60:60)-SUMIF(59:59,C10,60:60)+100</f>
        <v>100</v>
      </c>
      <c r="G10" s="3431"/>
      <c r="H10" s="125">
        <f>SUMIF(59:59,G10,60:60)-SUMIF(59:59,C10,60:60)+100</f>
        <v>100</v>
      </c>
      <c r="I10" s="3430"/>
      <c r="J10" s="125">
        <f>SUMIF(59:59,I10,60:60)-SUMIF(59:59,C10,60:60)+100</f>
        <v>100</v>
      </c>
      <c r="K10" s="558"/>
      <c r="L10" s="916"/>
      <c r="M10" s="917"/>
      <c r="N10" s="917"/>
      <c r="O10" s="918"/>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92"/>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7"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94" t="s">
        <v>1691</v>
      </c>
      <c r="Q15" s="1350" t="str">
        <f t="shared" si="6"/>
        <v>产业集聚程度</v>
      </c>
      <c r="R15" s="703" t="s">
        <v>14</v>
      </c>
      <c r="S15" s="704">
        <f t="shared" si="0"/>
        <v>100</v>
      </c>
      <c r="T15" s="703" t="s">
        <v>14</v>
      </c>
      <c r="U15" s="704">
        <f t="shared" si="1"/>
        <v>100</v>
      </c>
      <c r="V15" s="703" t="s">
        <v>14</v>
      </c>
      <c r="W15" s="704">
        <f t="shared" si="2"/>
        <v>100</v>
      </c>
      <c r="X15" s="1353"/>
      <c r="Y15" s="3694"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695"/>
      <c r="Q16" s="1350"/>
      <c r="R16" s="703"/>
      <c r="S16" s="704"/>
      <c r="T16" s="703"/>
      <c r="U16" s="704"/>
      <c r="V16" s="703"/>
      <c r="W16" s="704"/>
      <c r="X16" s="1353"/>
      <c r="Y16" s="3695"/>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95"/>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695"/>
      <c r="Q18" s="1350"/>
      <c r="R18" s="703"/>
      <c r="S18" s="704"/>
      <c r="T18" s="703"/>
      <c r="U18" s="704"/>
      <c r="V18" s="703"/>
      <c r="W18" s="704"/>
      <c r="X18" s="1353"/>
      <c r="Y18" s="3695"/>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95"/>
      <c r="Q19" s="1350" t="str">
        <f>B19</f>
        <v>公共配套设施</v>
      </c>
      <c r="R19" s="703" t="s">
        <v>14</v>
      </c>
      <c r="S19" s="704">
        <f>F19</f>
        <v>100</v>
      </c>
      <c r="T19" s="703" t="s">
        <v>14</v>
      </c>
      <c r="U19" s="704">
        <f>H19</f>
        <v>100</v>
      </c>
      <c r="V19" s="703" t="s">
        <v>14</v>
      </c>
      <c r="W19" s="704">
        <f>J19</f>
        <v>100</v>
      </c>
      <c r="X19" s="1353"/>
      <c r="Y19" s="3695"/>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695"/>
      <c r="Q20" s="1350"/>
      <c r="R20" s="703"/>
      <c r="S20" s="704"/>
      <c r="T20" s="703"/>
      <c r="U20" s="704"/>
      <c r="V20" s="703"/>
      <c r="W20" s="704"/>
      <c r="X20" s="1353"/>
      <c r="Y20" s="3695"/>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95"/>
      <c r="Q21" s="1350" t="str">
        <f>B21</f>
        <v>基础设施水平</v>
      </c>
      <c r="R21" s="703" t="s">
        <v>14</v>
      </c>
      <c r="S21" s="704">
        <f>F21</f>
        <v>100</v>
      </c>
      <c r="T21" s="703" t="s">
        <v>14</v>
      </c>
      <c r="U21" s="704">
        <f>H21</f>
        <v>100</v>
      </c>
      <c r="V21" s="703" t="s">
        <v>14</v>
      </c>
      <c r="W21" s="704">
        <f>J21</f>
        <v>100</v>
      </c>
      <c r="X21" s="1353"/>
      <c r="Y21" s="3695"/>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695"/>
      <c r="Q22" s="1350"/>
      <c r="R22" s="703"/>
      <c r="S22" s="704"/>
      <c r="T22" s="703"/>
      <c r="U22" s="704"/>
      <c r="V22" s="703"/>
      <c r="W22" s="704"/>
      <c r="X22" s="1353"/>
      <c r="Y22" s="3695"/>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95"/>
      <c r="Q23" s="1350" t="str">
        <f>B23</f>
        <v>环境质量</v>
      </c>
      <c r="R23" s="703" t="s">
        <v>14</v>
      </c>
      <c r="S23" s="704">
        <f>F23</f>
        <v>100</v>
      </c>
      <c r="T23" s="703" t="s">
        <v>14</v>
      </c>
      <c r="U23" s="704">
        <f>H23</f>
        <v>100</v>
      </c>
      <c r="V23" s="703" t="s">
        <v>14</v>
      </c>
      <c r="W23" s="704">
        <f>J23</f>
        <v>100</v>
      </c>
      <c r="X23" s="1353"/>
      <c r="Y23" s="3695"/>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695"/>
      <c r="Q24" s="1350"/>
      <c r="R24" s="703"/>
      <c r="S24" s="704"/>
      <c r="T24" s="703"/>
      <c r="U24" s="704"/>
      <c r="V24" s="703"/>
      <c r="W24" s="704"/>
      <c r="X24" s="1353"/>
      <c r="Y24" s="3695"/>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95"/>
      <c r="Q25" s="1350">
        <f>B25</f>
        <v>111</v>
      </c>
      <c r="R25" s="703" t="s">
        <v>14</v>
      </c>
      <c r="S25" s="704">
        <f>F25</f>
        <v>100</v>
      </c>
      <c r="T25" s="703" t="s">
        <v>14</v>
      </c>
      <c r="U25" s="704">
        <f>H25</f>
        <v>100</v>
      </c>
      <c r="V25" s="703" t="s">
        <v>14</v>
      </c>
      <c r="W25" s="704">
        <f>J25</f>
        <v>100</v>
      </c>
      <c r="X25" s="1353"/>
      <c r="Y25" s="3695"/>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95"/>
      <c r="Q26" s="1350">
        <f t="shared" ref="Q26:Q40" si="11">B26</f>
        <v>111</v>
      </c>
      <c r="R26" s="703" t="s">
        <v>14</v>
      </c>
      <c r="S26" s="704">
        <f>F26</f>
        <v>100</v>
      </c>
      <c r="T26" s="703" t="s">
        <v>14</v>
      </c>
      <c r="U26" s="704">
        <f>H26</f>
        <v>100</v>
      </c>
      <c r="V26" s="703" t="s">
        <v>14</v>
      </c>
      <c r="W26" s="704">
        <f>J26</f>
        <v>100</v>
      </c>
      <c r="X26" s="1353"/>
      <c r="Y26" s="3695"/>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95"/>
      <c r="Q27" s="1341">
        <f t="shared" si="11"/>
        <v>111</v>
      </c>
      <c r="R27" s="699" t="s">
        <v>14</v>
      </c>
      <c r="S27" s="700">
        <f>F27</f>
        <v>100</v>
      </c>
      <c r="T27" s="699" t="s">
        <v>14</v>
      </c>
      <c r="U27" s="700">
        <f>H27</f>
        <v>100</v>
      </c>
      <c r="V27" s="699" t="s">
        <v>14</v>
      </c>
      <c r="W27" s="700">
        <f>J27</f>
        <v>100</v>
      </c>
      <c r="X27" s="701"/>
      <c r="Y27" s="3695"/>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95"/>
      <c r="Q28" s="1350">
        <f t="shared" si="11"/>
        <v>111</v>
      </c>
      <c r="R28" s="703" t="s">
        <v>14</v>
      </c>
      <c r="S28" s="704">
        <f t="shared" ref="S28:S40" si="12">F28</f>
        <v>100</v>
      </c>
      <c r="T28" s="703" t="s">
        <v>14</v>
      </c>
      <c r="U28" s="704">
        <f t="shared" ref="U28:U40" si="13">H28</f>
        <v>100</v>
      </c>
      <c r="V28" s="703" t="s">
        <v>14</v>
      </c>
      <c r="W28" s="704">
        <f t="shared" ref="W28:W40" si="14">J28</f>
        <v>100</v>
      </c>
      <c r="X28" s="1353"/>
      <c r="Y28" s="3695"/>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50" t="s">
        <v>1696</v>
      </c>
      <c r="Q29" s="1350" t="str">
        <f t="shared" si="11"/>
        <v>建筑类型</v>
      </c>
      <c r="R29" s="703" t="s">
        <v>14</v>
      </c>
      <c r="S29" s="704">
        <f t="shared" si="12"/>
        <v>100</v>
      </c>
      <c r="T29" s="703" t="s">
        <v>14</v>
      </c>
      <c r="U29" s="704">
        <f t="shared" si="13"/>
        <v>100</v>
      </c>
      <c r="V29" s="703" t="s">
        <v>14</v>
      </c>
      <c r="W29" s="704">
        <f t="shared" si="14"/>
        <v>100</v>
      </c>
      <c r="X29" s="1353"/>
      <c r="Y29" s="3699"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699"/>
      <c r="Q30" s="705" t="str">
        <f t="shared" si="11"/>
        <v>项目建筑规模</v>
      </c>
      <c r="R30" s="706" t="s">
        <v>14</v>
      </c>
      <c r="S30" s="707" t="e">
        <f t="shared" si="12"/>
        <v>#N/A</v>
      </c>
      <c r="T30" s="706" t="s">
        <v>14</v>
      </c>
      <c r="U30" s="707" t="e">
        <f t="shared" si="13"/>
        <v>#N/A</v>
      </c>
      <c r="V30" s="706" t="s">
        <v>14</v>
      </c>
      <c r="W30" s="707" t="e">
        <f t="shared" si="14"/>
        <v>#N/A</v>
      </c>
      <c r="X30" s="708"/>
      <c r="Y30" s="3699"/>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699"/>
      <c r="Q31" s="1350" t="str">
        <f t="shared" si="11"/>
        <v>建筑结构</v>
      </c>
      <c r="R31" s="703" t="s">
        <v>14</v>
      </c>
      <c r="S31" s="704">
        <f t="shared" si="12"/>
        <v>100</v>
      </c>
      <c r="T31" s="703" t="s">
        <v>14</v>
      </c>
      <c r="U31" s="704">
        <f t="shared" si="13"/>
        <v>100</v>
      </c>
      <c r="V31" s="703" t="s">
        <v>14</v>
      </c>
      <c r="W31" s="704">
        <f t="shared" si="14"/>
        <v>100</v>
      </c>
      <c r="X31" s="1353"/>
      <c r="Y31" s="3699"/>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699"/>
      <c r="Q32" s="1350" t="str">
        <f t="shared" si="11"/>
        <v>公共部分装修</v>
      </c>
      <c r="R32" s="703" t="s">
        <v>14</v>
      </c>
      <c r="S32" s="704">
        <f t="shared" si="12"/>
        <v>100</v>
      </c>
      <c r="T32" s="703" t="s">
        <v>14</v>
      </c>
      <c r="U32" s="704">
        <f t="shared" si="13"/>
        <v>100</v>
      </c>
      <c r="V32" s="703" t="s">
        <v>14</v>
      </c>
      <c r="W32" s="704">
        <f t="shared" si="14"/>
        <v>100</v>
      </c>
      <c r="X32" s="1353"/>
      <c r="Y32" s="3699"/>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699"/>
      <c r="Q33" s="1350" t="str">
        <f t="shared" si="11"/>
        <v>成新度</v>
      </c>
      <c r="R33" s="703" t="s">
        <v>14</v>
      </c>
      <c r="S33" s="704" t="e">
        <f t="shared" si="12"/>
        <v>#N/A</v>
      </c>
      <c r="T33" s="703" t="s">
        <v>14</v>
      </c>
      <c r="U33" s="704" t="e">
        <f t="shared" si="13"/>
        <v>#N/A</v>
      </c>
      <c r="V33" s="703" t="s">
        <v>14</v>
      </c>
      <c r="W33" s="704" t="e">
        <f t="shared" si="14"/>
        <v>#N/A</v>
      </c>
      <c r="X33" s="1353"/>
      <c r="Y33" s="3699"/>
      <c r="Z33" s="1354" t="str">
        <f t="shared" si="15"/>
        <v>成新度</v>
      </c>
      <c r="AA33" s="1351" t="e">
        <f t="shared" si="3"/>
        <v>#N/A</v>
      </c>
      <c r="AB33" s="1351" t="e">
        <f t="shared" si="4"/>
        <v>#N/A</v>
      </c>
      <c r="AC33" s="1351"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699"/>
      <c r="Q34" s="1341" t="str">
        <f t="shared" si="11"/>
        <v>物业管理</v>
      </c>
      <c r="R34" s="699" t="s">
        <v>14</v>
      </c>
      <c r="S34" s="700">
        <f t="shared" si="12"/>
        <v>100</v>
      </c>
      <c r="T34" s="699" t="s">
        <v>14</v>
      </c>
      <c r="U34" s="700">
        <f t="shared" si="13"/>
        <v>100</v>
      </c>
      <c r="V34" s="699" t="s">
        <v>14</v>
      </c>
      <c r="W34" s="700">
        <f t="shared" si="14"/>
        <v>100</v>
      </c>
      <c r="X34" s="701"/>
      <c r="Y34" s="3699"/>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699" t="s">
        <v>1696</v>
      </c>
      <c r="Q35" s="1350" t="str">
        <f t="shared" si="11"/>
        <v>市政基础设施</v>
      </c>
      <c r="R35" s="703" t="s">
        <v>14</v>
      </c>
      <c r="S35" s="704">
        <f t="shared" si="12"/>
        <v>100</v>
      </c>
      <c r="T35" s="703" t="s">
        <v>14</v>
      </c>
      <c r="U35" s="704">
        <f t="shared" si="13"/>
        <v>100</v>
      </c>
      <c r="V35" s="703" t="s">
        <v>14</v>
      </c>
      <c r="W35" s="704">
        <f t="shared" si="14"/>
        <v>100</v>
      </c>
      <c r="X35" s="1353"/>
      <c r="Y35" s="3699"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699"/>
      <c r="Q36" s="1350" t="str">
        <f t="shared" si="11"/>
        <v>内部装修</v>
      </c>
      <c r="R36" s="703" t="s">
        <v>14</v>
      </c>
      <c r="S36" s="704">
        <f t="shared" si="12"/>
        <v>100</v>
      </c>
      <c r="T36" s="703" t="s">
        <v>14</v>
      </c>
      <c r="U36" s="704">
        <f t="shared" si="13"/>
        <v>100</v>
      </c>
      <c r="V36" s="703" t="s">
        <v>14</v>
      </c>
      <c r="W36" s="704">
        <f t="shared" si="14"/>
        <v>100</v>
      </c>
      <c r="X36" s="1353"/>
      <c r="Y36" s="3699"/>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699"/>
      <c r="Q37" s="1350" t="str">
        <f t="shared" si="11"/>
        <v>内部装修状况</v>
      </c>
      <c r="R37" s="703" t="s">
        <v>14</v>
      </c>
      <c r="S37" s="704">
        <f t="shared" si="12"/>
        <v>100</v>
      </c>
      <c r="T37" s="703" t="s">
        <v>14</v>
      </c>
      <c r="U37" s="704">
        <f t="shared" si="13"/>
        <v>100</v>
      </c>
      <c r="V37" s="703" t="s">
        <v>14</v>
      </c>
      <c r="W37" s="704">
        <f t="shared" si="14"/>
        <v>100</v>
      </c>
      <c r="X37" s="1353"/>
      <c r="Y37" s="3699"/>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699"/>
      <c r="Q38" s="705">
        <f t="shared" si="11"/>
        <v>111</v>
      </c>
      <c r="R38" s="706" t="s">
        <v>14</v>
      </c>
      <c r="S38" s="707">
        <f t="shared" si="12"/>
        <v>100</v>
      </c>
      <c r="T38" s="706" t="s">
        <v>14</v>
      </c>
      <c r="U38" s="707">
        <f t="shared" si="13"/>
        <v>100</v>
      </c>
      <c r="V38" s="706" t="s">
        <v>14</v>
      </c>
      <c r="W38" s="707">
        <f t="shared" si="14"/>
        <v>100</v>
      </c>
      <c r="X38" s="708"/>
      <c r="Y38" s="3699"/>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699"/>
      <c r="Q39" s="1350">
        <f t="shared" si="11"/>
        <v>111</v>
      </c>
      <c r="R39" s="703" t="s">
        <v>14</v>
      </c>
      <c r="S39" s="704">
        <f t="shared" si="12"/>
        <v>100</v>
      </c>
      <c r="T39" s="703" t="s">
        <v>14</v>
      </c>
      <c r="U39" s="704">
        <f t="shared" si="13"/>
        <v>100</v>
      </c>
      <c r="V39" s="703" t="s">
        <v>14</v>
      </c>
      <c r="W39" s="704">
        <f t="shared" si="14"/>
        <v>100</v>
      </c>
      <c r="X39" s="1353"/>
      <c r="Y39" s="3699"/>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00"/>
      <c r="Q40" s="1350">
        <f t="shared" si="11"/>
        <v>111</v>
      </c>
      <c r="R40" s="703" t="s">
        <v>14</v>
      </c>
      <c r="S40" s="704">
        <f t="shared" si="12"/>
        <v>100</v>
      </c>
      <c r="T40" s="703" t="s">
        <v>14</v>
      </c>
      <c r="U40" s="704">
        <f t="shared" si="13"/>
        <v>100</v>
      </c>
      <c r="V40" s="703" t="s">
        <v>14</v>
      </c>
      <c r="W40" s="704">
        <f t="shared" si="14"/>
        <v>100</v>
      </c>
      <c r="X40" s="1353"/>
      <c r="Y40" s="3700"/>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692" t="str">
        <f>A41</f>
        <v>成交单价（元/平方米）</v>
      </c>
      <c r="Q41" s="3692"/>
      <c r="R41" s="3693">
        <f>E41</f>
        <v>0</v>
      </c>
      <c r="S41" s="3693"/>
      <c r="T41" s="3693">
        <f>G41</f>
        <v>0</v>
      </c>
      <c r="U41" s="3693"/>
      <c r="V41" s="3693">
        <f>I41</f>
        <v>0</v>
      </c>
      <c r="W41" s="3693"/>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887"/>
      <c r="M46" s="925"/>
      <c r="N46" s="925"/>
      <c r="O46" s="925"/>
    </row>
    <row r="47" spans="1:29"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887"/>
      <c r="M47" s="925"/>
      <c r="N47" s="925"/>
      <c r="O47" s="925"/>
    </row>
    <row r="48" spans="1:29"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928"/>
      <c r="M48" s="926"/>
      <c r="N48" s="926"/>
      <c r="O48" s="926"/>
    </row>
    <row r="49" spans="1:17" s="449"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6"/>
      <c r="O54" s="2767"/>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SUMIF(48:48,YEAR(E7)&amp;"-"&amp;MONTH(E7),49:49)</f>
        <v>0</v>
      </c>
      <c r="G7" s="364"/>
      <c r="H7" s="363">
        <f>SUMIF(48:48,YEAR(G7)&amp;"-"&amp;MONTH(G7),49:49)</f>
        <v>0</v>
      </c>
      <c r="I7" s="364"/>
      <c r="J7" s="363">
        <f>SUMIF(48:48,YEAR(I7)&amp;"-"&amp;MONTH(I7),49:49)</f>
        <v>0</v>
      </c>
      <c r="K7" s="558"/>
      <c r="L7" s="2713"/>
      <c r="M7" s="2714"/>
      <c r="N7" s="2714"/>
      <c r="O7" s="2714"/>
      <c r="P7" s="3728" t="s">
        <v>1680</v>
      </c>
      <c r="Q7" s="3730"/>
      <c r="R7" s="699" t="s">
        <v>14</v>
      </c>
      <c r="S7" s="700">
        <f t="shared" ref="S7:S14" si="0">F7</f>
        <v>0</v>
      </c>
      <c r="T7" s="699" t="s">
        <v>14</v>
      </c>
      <c r="U7" s="700">
        <f t="shared" ref="U7:U14" si="1">H7</f>
        <v>0</v>
      </c>
      <c r="V7" s="699" t="s">
        <v>14</v>
      </c>
      <c r="W7" s="700">
        <f t="shared" ref="W7:W14"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36" si="3">D8/F8</f>
        <v>1</v>
      </c>
      <c r="AB8" s="702">
        <f t="shared" ref="AB8:AB36" si="4">D8/H8</f>
        <v>1</v>
      </c>
      <c r="AC8" s="702">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692"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692"/>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694" t="s">
        <v>1691</v>
      </c>
      <c r="Q14" s="1350" t="str">
        <f t="shared" si="6"/>
        <v>交通便捷度</v>
      </c>
      <c r="R14" s="703" t="s">
        <v>14</v>
      </c>
      <c r="S14" s="704">
        <f t="shared" si="0"/>
        <v>100</v>
      </c>
      <c r="T14" s="703" t="s">
        <v>14</v>
      </c>
      <c r="U14" s="704">
        <f t="shared" si="1"/>
        <v>100</v>
      </c>
      <c r="V14" s="703" t="s">
        <v>14</v>
      </c>
      <c r="W14" s="704">
        <f t="shared" si="2"/>
        <v>100</v>
      </c>
      <c r="X14" s="1353"/>
      <c r="Y14" s="3694"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8"/>
      <c r="M15" s="2712"/>
      <c r="N15" s="2712"/>
      <c r="O15" s="2712"/>
      <c r="P15" s="3695"/>
      <c r="Q15" s="1350"/>
      <c r="R15" s="703"/>
      <c r="S15" s="704"/>
      <c r="T15" s="703"/>
      <c r="U15" s="704"/>
      <c r="V15" s="703"/>
      <c r="W15" s="704"/>
      <c r="X15" s="1353"/>
      <c r="Y15" s="3695"/>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695"/>
      <c r="Q16" s="1350" t="str">
        <f>B16</f>
        <v>公共配套设施</v>
      </c>
      <c r="R16" s="703" t="s">
        <v>14</v>
      </c>
      <c r="S16" s="704">
        <f>F16</f>
        <v>100</v>
      </c>
      <c r="T16" s="703" t="s">
        <v>14</v>
      </c>
      <c r="U16" s="704">
        <f>H16</f>
        <v>100</v>
      </c>
      <c r="V16" s="703" t="s">
        <v>14</v>
      </c>
      <c r="W16" s="704">
        <f>J16</f>
        <v>100</v>
      </c>
      <c r="X16" s="1353"/>
      <c r="Y16" s="3695"/>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8"/>
      <c r="M17" s="2712"/>
      <c r="N17" s="2712"/>
      <c r="O17" s="2712"/>
      <c r="P17" s="3695"/>
      <c r="Q17" s="1350"/>
      <c r="R17" s="703"/>
      <c r="S17" s="704"/>
      <c r="T17" s="703"/>
      <c r="U17" s="704"/>
      <c r="V17" s="703"/>
      <c r="W17" s="704"/>
      <c r="X17" s="1353"/>
      <c r="Y17" s="3695"/>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695"/>
      <c r="Q18" s="1350" t="str">
        <f>B18</f>
        <v>基础设施水平</v>
      </c>
      <c r="R18" s="703" t="s">
        <v>14</v>
      </c>
      <c r="S18" s="704">
        <f>F18</f>
        <v>100</v>
      </c>
      <c r="T18" s="703" t="s">
        <v>14</v>
      </c>
      <c r="U18" s="704">
        <f>H18</f>
        <v>100</v>
      </c>
      <c r="V18" s="703" t="s">
        <v>14</v>
      </c>
      <c r="W18" s="704">
        <f>J18</f>
        <v>100</v>
      </c>
      <c r="X18" s="1353"/>
      <c r="Y18" s="3695"/>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8"/>
      <c r="M19" s="2712"/>
      <c r="N19" s="2712"/>
      <c r="O19" s="2712"/>
      <c r="P19" s="3695"/>
      <c r="Q19" s="1350"/>
      <c r="R19" s="703"/>
      <c r="S19" s="704"/>
      <c r="T19" s="703"/>
      <c r="U19" s="704"/>
      <c r="V19" s="703"/>
      <c r="W19" s="704"/>
      <c r="X19" s="1353"/>
      <c r="Y19" s="3695"/>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695"/>
      <c r="Q20" s="1350" t="str">
        <f>B20</f>
        <v>自然及人文环境</v>
      </c>
      <c r="R20" s="703" t="s">
        <v>14</v>
      </c>
      <c r="S20" s="704">
        <f>F20</f>
        <v>100</v>
      </c>
      <c r="T20" s="703" t="s">
        <v>14</v>
      </c>
      <c r="U20" s="704">
        <f>H20</f>
        <v>100</v>
      </c>
      <c r="V20" s="703" t="s">
        <v>14</v>
      </c>
      <c r="W20" s="704">
        <f>J20</f>
        <v>100</v>
      </c>
      <c r="X20" s="1353"/>
      <c r="Y20" s="3695"/>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8"/>
      <c r="M21" s="2712"/>
      <c r="N21" s="2712"/>
      <c r="O21" s="2712"/>
      <c r="P21" s="3695"/>
      <c r="Q21" s="1350"/>
      <c r="R21" s="703"/>
      <c r="S21" s="704"/>
      <c r="T21" s="703"/>
      <c r="U21" s="704"/>
      <c r="V21" s="703"/>
      <c r="W21" s="704"/>
      <c r="X21" s="1353"/>
      <c r="Y21" s="3695"/>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695"/>
      <c r="Q22" s="1350" t="str">
        <f>B22</f>
        <v>楼层</v>
      </c>
      <c r="R22" s="703" t="s">
        <v>14</v>
      </c>
      <c r="S22" s="704">
        <f>F22</f>
        <v>100</v>
      </c>
      <c r="T22" s="703" t="s">
        <v>14</v>
      </c>
      <c r="U22" s="704">
        <f>H22</f>
        <v>100</v>
      </c>
      <c r="V22" s="703" t="s">
        <v>14</v>
      </c>
      <c r="W22" s="704">
        <f>J22</f>
        <v>100</v>
      </c>
      <c r="X22" s="1353"/>
      <c r="Y22" s="3695"/>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695"/>
      <c r="Q23" s="1350">
        <f>B23</f>
        <v>111</v>
      </c>
      <c r="R23" s="703" t="s">
        <v>14</v>
      </c>
      <c r="S23" s="704">
        <f>F23</f>
        <v>100</v>
      </c>
      <c r="T23" s="703" t="s">
        <v>14</v>
      </c>
      <c r="U23" s="704">
        <f>H23</f>
        <v>100</v>
      </c>
      <c r="V23" s="703" t="s">
        <v>14</v>
      </c>
      <c r="W23" s="704">
        <f>J23</f>
        <v>100</v>
      </c>
      <c r="X23" s="1353"/>
      <c r="Y23" s="3695"/>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695"/>
      <c r="Q24" s="1350">
        <f t="shared" ref="Q24:Q36" si="11">B24</f>
        <v>111</v>
      </c>
      <c r="R24" s="703" t="s">
        <v>14</v>
      </c>
      <c r="S24" s="704">
        <f>F24</f>
        <v>100</v>
      </c>
      <c r="T24" s="703" t="s">
        <v>14</v>
      </c>
      <c r="U24" s="704">
        <f>H24</f>
        <v>100</v>
      </c>
      <c r="V24" s="703" t="s">
        <v>14</v>
      </c>
      <c r="W24" s="704">
        <f>J24</f>
        <v>100</v>
      </c>
      <c r="X24" s="1353"/>
      <c r="Y24" s="3695"/>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695"/>
      <c r="Q25" s="1341">
        <f t="shared" si="11"/>
        <v>111</v>
      </c>
      <c r="R25" s="699" t="s">
        <v>14</v>
      </c>
      <c r="S25" s="700">
        <f>F25</f>
        <v>100</v>
      </c>
      <c r="T25" s="699" t="s">
        <v>14</v>
      </c>
      <c r="U25" s="700">
        <f>H25</f>
        <v>100</v>
      </c>
      <c r="V25" s="699" t="s">
        <v>14</v>
      </c>
      <c r="W25" s="700">
        <f>J25</f>
        <v>100</v>
      </c>
      <c r="X25" s="701"/>
      <c r="Y25" s="3695"/>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5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9"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699"/>
      <c r="Q27" s="705" t="str">
        <f t="shared" si="11"/>
        <v>项目停车位配比</v>
      </c>
      <c r="R27" s="706" t="s">
        <v>14</v>
      </c>
      <c r="S27" s="707">
        <f t="shared" si="12"/>
        <v>100</v>
      </c>
      <c r="T27" s="706" t="s">
        <v>14</v>
      </c>
      <c r="U27" s="707">
        <f t="shared" si="13"/>
        <v>100</v>
      </c>
      <c r="V27" s="706" t="s">
        <v>14</v>
      </c>
      <c r="W27" s="707">
        <f t="shared" si="14"/>
        <v>100</v>
      </c>
      <c r="X27" s="708"/>
      <c r="Y27" s="3699"/>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699"/>
      <c r="Q28" s="1350" t="str">
        <f t="shared" si="11"/>
        <v>公共部分装修</v>
      </c>
      <c r="R28" s="703" t="s">
        <v>14</v>
      </c>
      <c r="S28" s="704">
        <f t="shared" si="12"/>
        <v>100</v>
      </c>
      <c r="T28" s="703" t="s">
        <v>14</v>
      </c>
      <c r="U28" s="704">
        <f t="shared" si="13"/>
        <v>100</v>
      </c>
      <c r="V28" s="703" t="s">
        <v>14</v>
      </c>
      <c r="W28" s="704">
        <f t="shared" si="14"/>
        <v>100</v>
      </c>
      <c r="X28" s="1353"/>
      <c r="Y28" s="3699"/>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699"/>
      <c r="Q29" s="1350" t="str">
        <f t="shared" si="11"/>
        <v>成新率</v>
      </c>
      <c r="R29" s="703" t="s">
        <v>14</v>
      </c>
      <c r="S29" s="704" t="e">
        <f t="shared" si="12"/>
        <v>#N/A</v>
      </c>
      <c r="T29" s="703" t="s">
        <v>14</v>
      </c>
      <c r="U29" s="704" t="e">
        <f t="shared" si="13"/>
        <v>#N/A</v>
      </c>
      <c r="V29" s="703" t="s">
        <v>14</v>
      </c>
      <c r="W29" s="704" t="e">
        <f t="shared" si="14"/>
        <v>#N/A</v>
      </c>
      <c r="X29" s="1353"/>
      <c r="Y29" s="3699"/>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699"/>
      <c r="Q30" s="1350" t="str">
        <f t="shared" si="11"/>
        <v>物业等级</v>
      </c>
      <c r="R30" s="703" t="s">
        <v>14</v>
      </c>
      <c r="S30" s="704">
        <f t="shared" si="12"/>
        <v>100</v>
      </c>
      <c r="T30" s="703" t="s">
        <v>14</v>
      </c>
      <c r="U30" s="704">
        <f t="shared" si="13"/>
        <v>100</v>
      </c>
      <c r="V30" s="703" t="s">
        <v>14</v>
      </c>
      <c r="W30" s="704">
        <f t="shared" si="14"/>
        <v>100</v>
      </c>
      <c r="X30" s="1353"/>
      <c r="Y30" s="3699"/>
      <c r="Z30" s="1354" t="str">
        <f t="shared" si="15"/>
        <v>物业等级</v>
      </c>
      <c r="AA30" s="1351">
        <f t="shared" si="3"/>
        <v>1</v>
      </c>
      <c r="AB30" s="1351">
        <f t="shared" si="4"/>
        <v>1</v>
      </c>
      <c r="AC30" s="1351">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699"/>
      <c r="Q31" s="1341" t="str">
        <f t="shared" si="11"/>
        <v>停车位面积</v>
      </c>
      <c r="R31" s="699" t="s">
        <v>14</v>
      </c>
      <c r="S31" s="700" t="e">
        <f t="shared" si="12"/>
        <v>#N/A</v>
      </c>
      <c r="T31" s="699" t="s">
        <v>14</v>
      </c>
      <c r="U31" s="700" t="e">
        <f t="shared" si="13"/>
        <v>#N/A</v>
      </c>
      <c r="V31" s="699" t="s">
        <v>14</v>
      </c>
      <c r="W31" s="700" t="e">
        <f t="shared" si="14"/>
        <v>#N/A</v>
      </c>
      <c r="X31" s="701"/>
      <c r="Y31" s="3699"/>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699" t="s">
        <v>1696</v>
      </c>
      <c r="Q32" s="1350" t="str">
        <f t="shared" si="11"/>
        <v>车位类型</v>
      </c>
      <c r="R32" s="703" t="s">
        <v>14</v>
      </c>
      <c r="S32" s="704">
        <f t="shared" si="12"/>
        <v>100</v>
      </c>
      <c r="T32" s="703" t="s">
        <v>14</v>
      </c>
      <c r="U32" s="704">
        <f t="shared" si="13"/>
        <v>100</v>
      </c>
      <c r="V32" s="703" t="s">
        <v>14</v>
      </c>
      <c r="W32" s="704">
        <f t="shared" si="14"/>
        <v>100</v>
      </c>
      <c r="X32" s="1353"/>
      <c r="Y32" s="3699"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699"/>
      <c r="Q33" s="1350" t="str">
        <f t="shared" si="11"/>
        <v>是否直接入户</v>
      </c>
      <c r="R33" s="703" t="s">
        <v>14</v>
      </c>
      <c r="S33" s="704">
        <f t="shared" si="12"/>
        <v>100</v>
      </c>
      <c r="T33" s="703" t="s">
        <v>14</v>
      </c>
      <c r="U33" s="704">
        <f t="shared" si="13"/>
        <v>100</v>
      </c>
      <c r="V33" s="703" t="s">
        <v>14</v>
      </c>
      <c r="W33" s="704">
        <f t="shared" si="14"/>
        <v>100</v>
      </c>
      <c r="X33" s="1353"/>
      <c r="Y33" s="3699"/>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699"/>
      <c r="Q34" s="1350">
        <f t="shared" si="11"/>
        <v>111</v>
      </c>
      <c r="R34" s="703" t="s">
        <v>14</v>
      </c>
      <c r="S34" s="704">
        <f t="shared" si="12"/>
        <v>100</v>
      </c>
      <c r="T34" s="703" t="s">
        <v>14</v>
      </c>
      <c r="U34" s="704">
        <f t="shared" si="13"/>
        <v>100</v>
      </c>
      <c r="V34" s="703" t="s">
        <v>14</v>
      </c>
      <c r="W34" s="704">
        <f t="shared" si="14"/>
        <v>100</v>
      </c>
      <c r="X34" s="1353"/>
      <c r="Y34" s="3699"/>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699"/>
      <c r="Q35" s="705">
        <f t="shared" si="11"/>
        <v>111</v>
      </c>
      <c r="R35" s="706" t="s">
        <v>14</v>
      </c>
      <c r="S35" s="707">
        <f t="shared" si="12"/>
        <v>100</v>
      </c>
      <c r="T35" s="706" t="s">
        <v>14</v>
      </c>
      <c r="U35" s="707">
        <f t="shared" si="13"/>
        <v>100</v>
      </c>
      <c r="V35" s="706" t="s">
        <v>14</v>
      </c>
      <c r="W35" s="707">
        <f t="shared" si="14"/>
        <v>100</v>
      </c>
      <c r="X35" s="708"/>
      <c r="Y35" s="3699"/>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699"/>
      <c r="Q36" s="1350">
        <f t="shared" si="11"/>
        <v>111</v>
      </c>
      <c r="R36" s="703" t="s">
        <v>14</v>
      </c>
      <c r="S36" s="704">
        <f t="shared" si="12"/>
        <v>100</v>
      </c>
      <c r="T36" s="703" t="s">
        <v>14</v>
      </c>
      <c r="U36" s="704">
        <f t="shared" si="13"/>
        <v>100</v>
      </c>
      <c r="V36" s="703" t="s">
        <v>14</v>
      </c>
      <c r="W36" s="704">
        <f t="shared" si="14"/>
        <v>100</v>
      </c>
      <c r="X36" s="1353"/>
      <c r="Y36" s="3699"/>
      <c r="Z36" s="1354">
        <f t="shared" si="15"/>
        <v>111</v>
      </c>
      <c r="AA36" s="1351">
        <f t="shared" si="3"/>
        <v>1</v>
      </c>
      <c r="AB36" s="1351">
        <f t="shared" si="4"/>
        <v>1</v>
      </c>
      <c r="AC36" s="1351">
        <f t="shared" si="5"/>
        <v>1</v>
      </c>
    </row>
    <row r="37" spans="1:29" ht="15">
      <c r="A37" s="428" t="s">
        <v>1844</v>
      </c>
      <c r="B37" s="1971" t="s">
        <v>3359</v>
      </c>
      <c r="C37" s="1152" t="s">
        <v>0</v>
      </c>
      <c r="D37" s="1153"/>
      <c r="E37" s="1154"/>
      <c r="F37" s="1155"/>
      <c r="G37" s="1156"/>
      <c r="H37" s="1157"/>
      <c r="I37" s="1154"/>
      <c r="J37" s="1157"/>
      <c r="K37" s="566"/>
      <c r="L37" s="2720"/>
      <c r="M37" s="2721"/>
      <c r="N37" s="2712"/>
      <c r="O37" s="2721"/>
      <c r="P37" s="3692" t="str">
        <f>A37</f>
        <v>成交单价</v>
      </c>
      <c r="Q37" s="3692"/>
      <c r="R37" s="3693">
        <f>E37</f>
        <v>0</v>
      </c>
      <c r="S37" s="3693"/>
      <c r="T37" s="3693">
        <f>G37</f>
        <v>0</v>
      </c>
      <c r="U37" s="3693"/>
      <c r="V37" s="3693">
        <f>I37</f>
        <v>0</v>
      </c>
      <c r="W37" s="3693"/>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0"/>
      <c r="M38" s="2721"/>
      <c r="N38" s="2721"/>
      <c r="O38" s="2721"/>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0"/>
      <c r="M39" s="2721"/>
      <c r="N39" s="2721"/>
      <c r="O39" s="2721"/>
      <c r="P39" s="3689" t="str">
        <f>A39</f>
        <v>估价对象XX用房的比较价值（楼面单价，元/平方米）</v>
      </c>
      <c r="Q39" s="3690"/>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5"/>
      <c r="Q48" s="2737"/>
      <c r="R48" s="2737"/>
      <c r="S48" s="2737"/>
      <c r="T48" s="2737"/>
      <c r="U48" s="2737"/>
      <c r="V48" s="2737"/>
      <c r="W48" s="2737"/>
      <c r="X48" s="2737"/>
      <c r="Y48" s="2737"/>
      <c r="Z48" s="2737"/>
      <c r="AA48" s="2737"/>
      <c r="AB48" s="2737"/>
      <c r="AC48" s="2737"/>
    </row>
    <row r="49" spans="1:29" s="107" customFormat="1" ht="15">
      <c r="A49" s="456"/>
      <c r="B49" s="457"/>
      <c r="C49" s="1175">
        <v>100</v>
      </c>
      <c r="D49" s="459"/>
      <c r="E49" s="459"/>
      <c r="F49" s="459"/>
      <c r="G49" s="459"/>
      <c r="H49" s="459"/>
      <c r="I49" s="459"/>
      <c r="J49" s="459"/>
      <c r="K49" s="459"/>
      <c r="L49" s="459"/>
      <c r="M49" s="460"/>
      <c r="N49" s="459"/>
      <c r="O49" s="460"/>
      <c r="P49" s="2756"/>
      <c r="Q49" s="2657"/>
      <c r="R49" s="2657"/>
      <c r="S49" s="2657"/>
      <c r="T49" s="2657"/>
      <c r="U49" s="2657"/>
      <c r="V49" s="2657"/>
      <c r="W49" s="2657"/>
      <c r="X49" s="2657"/>
      <c r="Y49" s="2657"/>
      <c r="Z49" s="2657"/>
      <c r="AA49" s="2657"/>
      <c r="AB49" s="2657"/>
      <c r="AC49" s="2657"/>
    </row>
    <row r="50" spans="1:29" s="107" customFormat="1" ht="15.75" thickBot="1">
      <c r="A50" s="462" t="s">
        <v>1716</v>
      </c>
      <c r="B50" s="463"/>
      <c r="C50" s="464"/>
      <c r="D50" s="465"/>
      <c r="E50" s="465"/>
      <c r="F50" s="465"/>
      <c r="G50" s="465"/>
      <c r="H50" s="465"/>
      <c r="I50" s="465"/>
      <c r="J50" s="465"/>
      <c r="K50" s="465"/>
      <c r="L50" s="465"/>
      <c r="M50" s="466"/>
      <c r="N50" s="465"/>
      <c r="O50" s="466"/>
      <c r="P50" s="2756"/>
      <c r="Q50" s="2735"/>
      <c r="R50" s="2657"/>
      <c r="S50" s="2657"/>
      <c r="T50" s="2657"/>
      <c r="U50" s="2657"/>
      <c r="V50" s="2657"/>
      <c r="W50" s="2657"/>
      <c r="X50" s="2657"/>
      <c r="Y50" s="2657"/>
      <c r="Z50" s="2657"/>
      <c r="AA50" s="2657"/>
      <c r="AB50" s="2657"/>
      <c r="AC50" s="2657"/>
    </row>
    <row r="51" spans="1:29" s="107" customFormat="1" ht="15">
      <c r="A51" s="468" t="s">
        <v>1681</v>
      </c>
      <c r="B51" s="457"/>
      <c r="C51" s="469" t="s">
        <v>1776</v>
      </c>
      <c r="D51" s="470"/>
      <c r="E51" s="470"/>
      <c r="F51" s="470"/>
      <c r="G51" s="470"/>
      <c r="H51" s="470"/>
      <c r="I51" s="470"/>
      <c r="J51" s="470"/>
      <c r="K51" s="470"/>
      <c r="L51" s="471"/>
      <c r="M51" s="472"/>
      <c r="N51" s="2748"/>
      <c r="O51" s="2748"/>
      <c r="P51" s="2757"/>
      <c r="Q51" s="2735"/>
      <c r="R51" s="2657"/>
      <c r="S51" s="2657"/>
      <c r="T51" s="2657"/>
      <c r="U51" s="2657"/>
      <c r="V51" s="2657"/>
      <c r="W51" s="2657"/>
      <c r="X51" s="2657"/>
      <c r="Y51" s="2657"/>
      <c r="Z51" s="2657"/>
      <c r="AA51" s="2657"/>
      <c r="AB51" s="2657"/>
      <c r="AC51" s="2657"/>
    </row>
    <row r="52" spans="1:29" s="107" customFormat="1" ht="15.75" thickBot="1">
      <c r="A52" s="468"/>
      <c r="B52" s="457"/>
      <c r="C52" s="585">
        <v>100</v>
      </c>
      <c r="D52" s="459"/>
      <c r="E52" s="459"/>
      <c r="F52" s="459"/>
      <c r="G52" s="459"/>
      <c r="H52" s="459"/>
      <c r="I52" s="459"/>
      <c r="J52" s="459"/>
      <c r="K52" s="459"/>
      <c r="L52" s="459"/>
      <c r="M52" s="461"/>
      <c r="N52" s="2748"/>
      <c r="O52" s="2748"/>
      <c r="P52" s="2756"/>
      <c r="Q52" s="2735"/>
      <c r="R52" s="2657"/>
      <c r="S52" s="2657"/>
      <c r="T52" s="2657"/>
      <c r="U52" s="2657"/>
      <c r="V52" s="2657"/>
      <c r="W52" s="2657"/>
      <c r="X52" s="2657"/>
      <c r="Y52" s="2657"/>
      <c r="Z52" s="2657"/>
      <c r="AA52" s="2657"/>
      <c r="AB52" s="2657"/>
      <c r="AC52" s="2657"/>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7"/>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7" customFormat="1" ht="15.75" thickTop="1">
      <c r="A73" s="526"/>
      <c r="B73" s="485">
        <f>B23</f>
        <v>111</v>
      </c>
      <c r="C73" s="496"/>
      <c r="D73" s="496"/>
      <c r="E73" s="496"/>
      <c r="F73" s="496"/>
      <c r="G73" s="501"/>
      <c r="H73" s="501"/>
      <c r="I73" s="501"/>
      <c r="J73" s="501"/>
      <c r="K73" s="501"/>
      <c r="L73" s="527"/>
      <c r="M73" s="528"/>
      <c r="N73" s="2748"/>
      <c r="O73" s="2748"/>
      <c r="P73" s="2758"/>
      <c r="Q73" s="2735"/>
      <c r="R73" s="2657"/>
      <c r="S73" s="2657"/>
      <c r="T73" s="2657"/>
      <c r="U73" s="2657"/>
      <c r="V73" s="2657"/>
      <c r="W73" s="2657"/>
      <c r="X73" s="2657"/>
      <c r="Y73" s="2657"/>
      <c r="Z73" s="2657"/>
      <c r="AA73" s="2657"/>
      <c r="AB73" s="2657"/>
      <c r="AC73" s="2657"/>
    </row>
    <row r="74" spans="1:29" s="107" customFormat="1" ht="15.75" thickBot="1">
      <c r="A74" s="526"/>
      <c r="B74" s="490"/>
      <c r="C74" s="507"/>
      <c r="D74" s="483"/>
      <c r="E74" s="483"/>
      <c r="F74" s="483"/>
      <c r="G74" s="483"/>
      <c r="H74" s="483"/>
      <c r="I74" s="483"/>
      <c r="J74" s="483"/>
      <c r="K74" s="483"/>
      <c r="L74" s="483"/>
      <c r="M74" s="484"/>
      <c r="N74" s="2750"/>
      <c r="O74" s="2750"/>
      <c r="P74" s="2758"/>
      <c r="Q74" s="2735"/>
      <c r="R74" s="2657"/>
      <c r="S74" s="2657"/>
      <c r="T74" s="2657"/>
      <c r="U74" s="2657"/>
      <c r="V74" s="2657"/>
      <c r="W74" s="2657"/>
      <c r="X74" s="2657"/>
      <c r="Y74" s="2657"/>
      <c r="Z74" s="2657"/>
      <c r="AA74" s="2657"/>
      <c r="AB74" s="2657"/>
      <c r="AC74" s="2657"/>
    </row>
    <row r="75" spans="1:29" s="107" customFormat="1" ht="15.75" thickTop="1">
      <c r="A75" s="526"/>
      <c r="B75" s="485">
        <f>B24</f>
        <v>111</v>
      </c>
      <c r="C75" s="496"/>
      <c r="D75" s="496"/>
      <c r="E75" s="496"/>
      <c r="F75" s="496"/>
      <c r="G75" s="501"/>
      <c r="H75" s="501"/>
      <c r="I75" s="501"/>
      <c r="J75" s="501"/>
      <c r="K75" s="501"/>
      <c r="L75" s="501"/>
      <c r="M75" s="528"/>
      <c r="N75" s="2748"/>
      <c r="O75" s="2748"/>
      <c r="P75" s="2758"/>
      <c r="Q75" s="2735"/>
      <c r="R75" s="2657"/>
      <c r="S75" s="2657"/>
      <c r="T75" s="2657"/>
      <c r="U75" s="2657"/>
      <c r="V75" s="2657"/>
      <c r="W75" s="2657"/>
      <c r="X75" s="2657"/>
      <c r="Y75" s="2657"/>
      <c r="Z75" s="2657"/>
      <c r="AA75" s="2657"/>
      <c r="AB75" s="2657"/>
      <c r="AC75" s="2657"/>
    </row>
    <row r="76" spans="1:29" s="107" customFormat="1" ht="15.75" thickBot="1">
      <c r="A76" s="526"/>
      <c r="B76" s="490"/>
      <c r="C76" s="507"/>
      <c r="D76" s="483"/>
      <c r="E76" s="483"/>
      <c r="F76" s="483"/>
      <c r="G76" s="483"/>
      <c r="H76" s="483"/>
      <c r="I76" s="483"/>
      <c r="J76" s="483"/>
      <c r="K76" s="483"/>
      <c r="L76" s="483"/>
      <c r="M76" s="484"/>
      <c r="N76" s="2750"/>
      <c r="O76" s="2750"/>
      <c r="P76" s="2758"/>
      <c r="Q76" s="2735"/>
      <c r="R76" s="2657"/>
      <c r="S76" s="2657"/>
      <c r="T76" s="2657"/>
      <c r="U76" s="2657"/>
      <c r="V76" s="2657"/>
      <c r="W76" s="2657"/>
      <c r="X76" s="2657"/>
      <c r="Y76" s="2657"/>
      <c r="Z76" s="2657"/>
      <c r="AA76" s="2657"/>
      <c r="AB76" s="2657"/>
      <c r="AC76" s="2657"/>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3339</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SUMIF(46:46,YEAR(E7)&amp;"-"&amp;MONTH(E7),47:47)</f>
        <v>0</v>
      </c>
      <c r="G7" s="1972"/>
      <c r="H7" s="363">
        <f>SUMIF(46:46,YEAR(G7)&amp;"-"&amp;MONTH(G7),47:47)</f>
        <v>0</v>
      </c>
      <c r="I7" s="364"/>
      <c r="J7" s="363">
        <f>SUMIF(46:46,YEAR(I7)&amp;"-"&amp;MONTH(I7),47:47)</f>
        <v>0</v>
      </c>
      <c r="K7" s="558"/>
      <c r="L7" s="2713"/>
      <c r="M7" s="2714"/>
      <c r="N7" s="2714"/>
      <c r="O7" s="2714"/>
      <c r="P7" s="3728" t="s">
        <v>1680</v>
      </c>
      <c r="Q7" s="3730"/>
      <c r="R7" s="699" t="s">
        <v>14</v>
      </c>
      <c r="S7" s="700">
        <f t="shared" ref="S7:S14" si="0">F7</f>
        <v>0</v>
      </c>
      <c r="T7" s="699" t="s">
        <v>14</v>
      </c>
      <c r="U7" s="700">
        <f t="shared" ref="U7:U14" si="1">H7</f>
        <v>0</v>
      </c>
      <c r="V7" s="699" t="s">
        <v>14</v>
      </c>
      <c r="W7" s="700">
        <f t="shared" ref="W7:W14" si="2">J7</f>
        <v>0</v>
      </c>
      <c r="X7" s="701"/>
      <c r="Y7" s="3728" t="s">
        <v>1680</v>
      </c>
      <c r="Z7" s="3729"/>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728" t="s">
        <v>1683</v>
      </c>
      <c r="Q8" s="3729"/>
      <c r="R8" s="699" t="s">
        <v>14</v>
      </c>
      <c r="S8" s="700">
        <f t="shared" si="0"/>
        <v>100</v>
      </c>
      <c r="T8" s="699" t="s">
        <v>14</v>
      </c>
      <c r="U8" s="700">
        <f t="shared" si="1"/>
        <v>100</v>
      </c>
      <c r="V8" s="699" t="s">
        <v>14</v>
      </c>
      <c r="W8" s="700">
        <f t="shared" si="2"/>
        <v>100</v>
      </c>
      <c r="X8" s="701"/>
      <c r="Y8" s="3728" t="s">
        <v>1683</v>
      </c>
      <c r="Z8" s="3729"/>
      <c r="AA8" s="702">
        <f t="shared" ref="AA8:AA34" si="3">D8/F8</f>
        <v>1</v>
      </c>
      <c r="AB8" s="702">
        <f t="shared" ref="AB8:AB34" si="4">D8/H8</f>
        <v>1</v>
      </c>
      <c r="AC8" s="702">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692"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692"/>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692"/>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694" t="s">
        <v>1691</v>
      </c>
      <c r="Q14" s="1350" t="str">
        <f t="shared" si="6"/>
        <v>交通便捷度</v>
      </c>
      <c r="R14" s="703" t="s">
        <v>14</v>
      </c>
      <c r="S14" s="704">
        <f t="shared" si="0"/>
        <v>100</v>
      </c>
      <c r="T14" s="703" t="s">
        <v>14</v>
      </c>
      <c r="U14" s="704">
        <f t="shared" si="1"/>
        <v>100</v>
      </c>
      <c r="V14" s="703" t="s">
        <v>14</v>
      </c>
      <c r="W14" s="704">
        <f t="shared" si="2"/>
        <v>100</v>
      </c>
      <c r="X14" s="1353"/>
      <c r="Y14" s="3694"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8"/>
      <c r="M15" s="2712"/>
      <c r="N15" s="2712"/>
      <c r="O15" s="2770"/>
      <c r="P15" s="3695"/>
      <c r="Q15" s="1350"/>
      <c r="R15" s="703"/>
      <c r="S15" s="704"/>
      <c r="T15" s="703"/>
      <c r="U15" s="704"/>
      <c r="V15" s="703"/>
      <c r="W15" s="704"/>
      <c r="X15" s="1353"/>
      <c r="Y15" s="3695"/>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695"/>
      <c r="Q16" s="1350" t="str">
        <f>B16</f>
        <v>公共配套设施</v>
      </c>
      <c r="R16" s="703" t="s">
        <v>14</v>
      </c>
      <c r="S16" s="704">
        <f>F16</f>
        <v>100</v>
      </c>
      <c r="T16" s="703" t="s">
        <v>14</v>
      </c>
      <c r="U16" s="704">
        <f>H16</f>
        <v>100</v>
      </c>
      <c r="V16" s="703" t="s">
        <v>14</v>
      </c>
      <c r="W16" s="704">
        <f>J16</f>
        <v>100</v>
      </c>
      <c r="X16" s="1353"/>
      <c r="Y16" s="3695"/>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8"/>
      <c r="M17" s="2712"/>
      <c r="N17" s="2712"/>
      <c r="O17" s="2770"/>
      <c r="P17" s="3695"/>
      <c r="Q17" s="1350"/>
      <c r="R17" s="703"/>
      <c r="S17" s="704"/>
      <c r="T17" s="703"/>
      <c r="U17" s="704"/>
      <c r="V17" s="703"/>
      <c r="W17" s="704"/>
      <c r="X17" s="1353"/>
      <c r="Y17" s="3695"/>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695"/>
      <c r="Q18" s="1350" t="str">
        <f>B18</f>
        <v>基础设施水平</v>
      </c>
      <c r="R18" s="703" t="s">
        <v>14</v>
      </c>
      <c r="S18" s="704">
        <f>F18</f>
        <v>100</v>
      </c>
      <c r="T18" s="703" t="s">
        <v>14</v>
      </c>
      <c r="U18" s="704">
        <f>H18</f>
        <v>100</v>
      </c>
      <c r="V18" s="703" t="s">
        <v>14</v>
      </c>
      <c r="W18" s="704">
        <f>J18</f>
        <v>100</v>
      </c>
      <c r="X18" s="1353"/>
      <c r="Y18" s="3695"/>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8"/>
      <c r="M19" s="2712"/>
      <c r="N19" s="2712"/>
      <c r="O19" s="2770"/>
      <c r="P19" s="3695"/>
      <c r="Q19" s="1350"/>
      <c r="R19" s="703"/>
      <c r="S19" s="704"/>
      <c r="T19" s="703"/>
      <c r="U19" s="704"/>
      <c r="V19" s="703"/>
      <c r="W19" s="704"/>
      <c r="X19" s="1353"/>
      <c r="Y19" s="3695"/>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695"/>
      <c r="Q20" s="1350" t="str">
        <f>B20</f>
        <v>自然及人文环境</v>
      </c>
      <c r="R20" s="703" t="s">
        <v>14</v>
      </c>
      <c r="S20" s="704">
        <f>F20</f>
        <v>100</v>
      </c>
      <c r="T20" s="703" t="s">
        <v>14</v>
      </c>
      <c r="U20" s="704">
        <f>H20</f>
        <v>100</v>
      </c>
      <c r="V20" s="703" t="s">
        <v>14</v>
      </c>
      <c r="W20" s="704">
        <f>J20</f>
        <v>100</v>
      </c>
      <c r="X20" s="1353"/>
      <c r="Y20" s="3695"/>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8"/>
      <c r="M21" s="2712"/>
      <c r="N21" s="2712"/>
      <c r="O21" s="2770"/>
      <c r="P21" s="3695"/>
      <c r="Q21" s="1350"/>
      <c r="R21" s="703"/>
      <c r="S21" s="704"/>
      <c r="T21" s="703"/>
      <c r="U21" s="704"/>
      <c r="V21" s="703"/>
      <c r="W21" s="704"/>
      <c r="X21" s="1353"/>
      <c r="Y21" s="3695"/>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695"/>
      <c r="Q22" s="1350" t="str">
        <f>B22</f>
        <v>楼层</v>
      </c>
      <c r="R22" s="703" t="s">
        <v>14</v>
      </c>
      <c r="S22" s="704">
        <f>F22</f>
        <v>100</v>
      </c>
      <c r="T22" s="703" t="s">
        <v>14</v>
      </c>
      <c r="U22" s="704">
        <f>H22</f>
        <v>100</v>
      </c>
      <c r="V22" s="703" t="s">
        <v>14</v>
      </c>
      <c r="W22" s="704">
        <f>J22</f>
        <v>100</v>
      </c>
      <c r="X22" s="1353"/>
      <c r="Y22" s="3695"/>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695"/>
      <c r="Q23" s="1350">
        <f>B23</f>
        <v>111</v>
      </c>
      <c r="R23" s="703" t="s">
        <v>14</v>
      </c>
      <c r="S23" s="704">
        <f>F23</f>
        <v>100</v>
      </c>
      <c r="T23" s="703" t="s">
        <v>14</v>
      </c>
      <c r="U23" s="704">
        <f>H23</f>
        <v>100</v>
      </c>
      <c r="V23" s="703" t="s">
        <v>14</v>
      </c>
      <c r="W23" s="704">
        <f>J23</f>
        <v>100</v>
      </c>
      <c r="X23" s="1353"/>
      <c r="Y23" s="3695"/>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695"/>
      <c r="Q24" s="1350">
        <f t="shared" ref="Q24:Q34" si="11">B24</f>
        <v>111</v>
      </c>
      <c r="R24" s="703" t="s">
        <v>14</v>
      </c>
      <c r="S24" s="704">
        <f>F24</f>
        <v>100</v>
      </c>
      <c r="T24" s="703" t="s">
        <v>14</v>
      </c>
      <c r="U24" s="704">
        <f>H24</f>
        <v>100</v>
      </c>
      <c r="V24" s="703" t="s">
        <v>14</v>
      </c>
      <c r="W24" s="704">
        <f>J24</f>
        <v>100</v>
      </c>
      <c r="X24" s="1353"/>
      <c r="Y24" s="3695"/>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3"/>
      <c r="M25" s="2714"/>
      <c r="N25" s="2714"/>
      <c r="O25" s="2768"/>
      <c r="P25" s="3695"/>
      <c r="Q25" s="1341">
        <f t="shared" si="11"/>
        <v>111</v>
      </c>
      <c r="R25" s="699" t="s">
        <v>14</v>
      </c>
      <c r="S25" s="700">
        <f>F25</f>
        <v>100</v>
      </c>
      <c r="T25" s="699" t="s">
        <v>14</v>
      </c>
      <c r="U25" s="700">
        <f>H25</f>
        <v>100</v>
      </c>
      <c r="V25" s="699" t="s">
        <v>14</v>
      </c>
      <c r="W25" s="700">
        <f>J25</f>
        <v>100</v>
      </c>
      <c r="X25" s="701"/>
      <c r="Y25" s="3695"/>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8"/>
      <c r="M26" s="2712"/>
      <c r="N26" s="2712"/>
      <c r="O26" s="2770"/>
      <c r="P26" s="375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9"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699"/>
      <c r="Q27" s="705" t="str">
        <f t="shared" si="11"/>
        <v>成新率</v>
      </c>
      <c r="R27" s="706" t="s">
        <v>14</v>
      </c>
      <c r="S27" s="707" t="e">
        <f t="shared" si="12"/>
        <v>#N/A</v>
      </c>
      <c r="T27" s="706" t="s">
        <v>14</v>
      </c>
      <c r="U27" s="707" t="e">
        <f t="shared" si="13"/>
        <v>#N/A</v>
      </c>
      <c r="V27" s="706" t="s">
        <v>14</v>
      </c>
      <c r="W27" s="707" t="e">
        <f t="shared" si="14"/>
        <v>#N/A</v>
      </c>
      <c r="X27" s="708"/>
      <c r="Y27" s="3699"/>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699"/>
      <c r="Q28" s="1350" t="str">
        <f t="shared" si="11"/>
        <v>物业等级</v>
      </c>
      <c r="R28" s="703" t="s">
        <v>14</v>
      </c>
      <c r="S28" s="704">
        <f t="shared" si="12"/>
        <v>100</v>
      </c>
      <c r="T28" s="703" t="s">
        <v>14</v>
      </c>
      <c r="U28" s="704">
        <f t="shared" si="13"/>
        <v>100</v>
      </c>
      <c r="V28" s="703" t="s">
        <v>14</v>
      </c>
      <c r="W28" s="704">
        <f t="shared" si="14"/>
        <v>100</v>
      </c>
      <c r="X28" s="1353"/>
      <c r="Y28" s="3699"/>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699"/>
      <c r="Q29" s="1350" t="str">
        <f t="shared" si="11"/>
        <v>有无电梯</v>
      </c>
      <c r="R29" s="703" t="s">
        <v>14</v>
      </c>
      <c r="S29" s="704">
        <f t="shared" si="12"/>
        <v>100</v>
      </c>
      <c r="T29" s="703" t="s">
        <v>14</v>
      </c>
      <c r="U29" s="704">
        <f t="shared" si="13"/>
        <v>100</v>
      </c>
      <c r="V29" s="703" t="s">
        <v>14</v>
      </c>
      <c r="W29" s="704">
        <f t="shared" si="14"/>
        <v>100</v>
      </c>
      <c r="X29" s="1353"/>
      <c r="Y29" s="3699"/>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699"/>
      <c r="Q30" s="1350" t="str">
        <f t="shared" si="11"/>
        <v>建筑面积</v>
      </c>
      <c r="R30" s="703" t="s">
        <v>14</v>
      </c>
      <c r="S30" s="704" t="e">
        <f t="shared" si="12"/>
        <v>#N/A</v>
      </c>
      <c r="T30" s="703" t="s">
        <v>14</v>
      </c>
      <c r="U30" s="704" t="e">
        <f t="shared" si="13"/>
        <v>#N/A</v>
      </c>
      <c r="V30" s="703" t="s">
        <v>14</v>
      </c>
      <c r="W30" s="704" t="e">
        <f t="shared" si="14"/>
        <v>#N/A</v>
      </c>
      <c r="X30" s="1353"/>
      <c r="Y30" s="3699"/>
      <c r="Z30" s="1354" t="str">
        <f t="shared" si="15"/>
        <v>建筑面积</v>
      </c>
      <c r="AA30" s="1351" t="e">
        <f t="shared" si="3"/>
        <v>#N/A</v>
      </c>
      <c r="AB30" s="1351" t="e">
        <f t="shared" si="4"/>
        <v>#N/A</v>
      </c>
      <c r="AC30" s="1351"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699"/>
      <c r="Q31" s="1341" t="str">
        <f t="shared" si="11"/>
        <v>是否封闭</v>
      </c>
      <c r="R31" s="699" t="s">
        <v>14</v>
      </c>
      <c r="S31" s="700">
        <f t="shared" si="12"/>
        <v>100</v>
      </c>
      <c r="T31" s="699" t="s">
        <v>14</v>
      </c>
      <c r="U31" s="700">
        <f t="shared" si="13"/>
        <v>100</v>
      </c>
      <c r="V31" s="699" t="s">
        <v>14</v>
      </c>
      <c r="W31" s="700">
        <f t="shared" si="14"/>
        <v>100</v>
      </c>
      <c r="X31" s="701"/>
      <c r="Y31" s="3699"/>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699" t="s">
        <v>1696</v>
      </c>
      <c r="Q32" s="1350">
        <f t="shared" si="11"/>
        <v>111</v>
      </c>
      <c r="R32" s="703" t="s">
        <v>14</v>
      </c>
      <c r="S32" s="704">
        <f t="shared" si="12"/>
        <v>100</v>
      </c>
      <c r="T32" s="703" t="s">
        <v>14</v>
      </c>
      <c r="U32" s="704">
        <f t="shared" si="13"/>
        <v>100</v>
      </c>
      <c r="V32" s="703" t="s">
        <v>14</v>
      </c>
      <c r="W32" s="704">
        <f t="shared" si="14"/>
        <v>100</v>
      </c>
      <c r="X32" s="1353"/>
      <c r="Y32" s="3699"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699"/>
      <c r="Q33" s="1350">
        <f t="shared" si="11"/>
        <v>111</v>
      </c>
      <c r="R33" s="703" t="s">
        <v>14</v>
      </c>
      <c r="S33" s="704">
        <f t="shared" si="12"/>
        <v>100</v>
      </c>
      <c r="T33" s="703" t="s">
        <v>14</v>
      </c>
      <c r="U33" s="704">
        <f t="shared" si="13"/>
        <v>100</v>
      </c>
      <c r="V33" s="703" t="s">
        <v>14</v>
      </c>
      <c r="W33" s="704">
        <f t="shared" si="14"/>
        <v>100</v>
      </c>
      <c r="X33" s="1353"/>
      <c r="Y33" s="3699"/>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8"/>
      <c r="M34" s="2712"/>
      <c r="N34" s="2712"/>
      <c r="O34" s="2770"/>
      <c r="P34" s="3699"/>
      <c r="Q34" s="1350">
        <f t="shared" si="11"/>
        <v>111</v>
      </c>
      <c r="R34" s="703" t="s">
        <v>14</v>
      </c>
      <c r="S34" s="704">
        <f t="shared" si="12"/>
        <v>100</v>
      </c>
      <c r="T34" s="703" t="s">
        <v>14</v>
      </c>
      <c r="U34" s="704">
        <f t="shared" si="13"/>
        <v>100</v>
      </c>
      <c r="V34" s="703" t="s">
        <v>14</v>
      </c>
      <c r="W34" s="704">
        <f t="shared" si="14"/>
        <v>100</v>
      </c>
      <c r="X34" s="1353"/>
      <c r="Y34" s="3699"/>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0"/>
      <c r="M35" s="2721"/>
      <c r="N35" s="2712"/>
      <c r="O35" s="2721"/>
      <c r="P35" s="3692" t="str">
        <f>A35</f>
        <v>成交单价（元/平方米）</v>
      </c>
      <c r="Q35" s="3692"/>
      <c r="R35" s="3693">
        <f>E35</f>
        <v>0</v>
      </c>
      <c r="S35" s="3693"/>
      <c r="T35" s="3693">
        <f>G35</f>
        <v>0</v>
      </c>
      <c r="U35" s="3693"/>
      <c r="V35" s="3693">
        <f>I35</f>
        <v>0</v>
      </c>
      <c r="W35" s="3693"/>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0"/>
      <c r="M36" s="2721"/>
      <c r="N36" s="2712"/>
      <c r="O36" s="2721"/>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0"/>
      <c r="M37" s="2721"/>
      <c r="N37" s="2721"/>
      <c r="O37" s="2721"/>
      <c r="P37" s="3689" t="str">
        <f>A37</f>
        <v>估价对象XX用房的比较价值（楼面单价，元/平方米）</v>
      </c>
      <c r="Q37" s="3690"/>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2"/>
      <c r="Q46" s="2737"/>
      <c r="R46" s="2737"/>
      <c r="S46" s="2737"/>
      <c r="T46" s="2737"/>
      <c r="U46" s="2737"/>
      <c r="V46" s="2737"/>
      <c r="W46" s="2737"/>
      <c r="X46" s="2737"/>
      <c r="Y46" s="2737"/>
      <c r="Z46" s="2737"/>
      <c r="AA46" s="2737"/>
      <c r="AB46" s="2737"/>
      <c r="AC46" s="2737"/>
      <c r="AD46" s="2737"/>
    </row>
    <row r="47" spans="1:30" s="107" customFormat="1" ht="15">
      <c r="A47" s="456"/>
      <c r="B47" s="457"/>
      <c r="C47" s="1181">
        <v>100</v>
      </c>
      <c r="D47" s="459"/>
      <c r="E47" s="459"/>
      <c r="F47" s="459"/>
      <c r="G47" s="459"/>
      <c r="H47" s="459"/>
      <c r="I47" s="459"/>
      <c r="J47" s="459"/>
      <c r="K47" s="459"/>
      <c r="L47" s="459"/>
      <c r="M47" s="460"/>
      <c r="N47" s="459"/>
      <c r="O47" s="461"/>
      <c r="P47" s="2735"/>
      <c r="Q47" s="2657"/>
      <c r="R47" s="2657"/>
      <c r="S47" s="2657"/>
      <c r="T47" s="2657"/>
      <c r="U47" s="2657"/>
      <c r="V47" s="2657"/>
      <c r="W47" s="2657"/>
      <c r="X47" s="2657"/>
      <c r="Y47" s="2657"/>
      <c r="Z47" s="2657"/>
      <c r="AA47" s="2657"/>
      <c r="AB47" s="2657"/>
      <c r="AC47" s="2657"/>
      <c r="AD47" s="2657"/>
    </row>
    <row r="48" spans="1:30" s="107" customFormat="1" ht="15.75" thickBot="1">
      <c r="A48" s="462" t="s">
        <v>1716</v>
      </c>
      <c r="B48" s="463"/>
      <c r="C48" s="464"/>
      <c r="D48" s="465"/>
      <c r="E48" s="465"/>
      <c r="F48" s="465"/>
      <c r="G48" s="465"/>
      <c r="H48" s="465"/>
      <c r="I48" s="465"/>
      <c r="J48" s="465"/>
      <c r="K48" s="465"/>
      <c r="L48" s="465"/>
      <c r="M48" s="466"/>
      <c r="N48" s="465"/>
      <c r="O48" s="467"/>
      <c r="P48" s="2735"/>
      <c r="Q48" s="2735"/>
      <c r="R48" s="2657"/>
      <c r="S48" s="2657"/>
      <c r="T48" s="2657"/>
      <c r="U48" s="2657"/>
      <c r="V48" s="2657"/>
      <c r="W48" s="2657"/>
      <c r="X48" s="2657"/>
      <c r="Y48" s="2657"/>
      <c r="Z48" s="2657"/>
      <c r="AA48" s="2657"/>
      <c r="AB48" s="2657"/>
      <c r="AC48" s="2657"/>
      <c r="AD48" s="2657"/>
    </row>
    <row r="49" spans="1:30" s="107" customFormat="1" ht="15">
      <c r="A49" s="468" t="s">
        <v>1681</v>
      </c>
      <c r="B49" s="457"/>
      <c r="C49" s="469" t="s">
        <v>1776</v>
      </c>
      <c r="D49" s="470"/>
      <c r="E49" s="470"/>
      <c r="F49" s="470"/>
      <c r="G49" s="470"/>
      <c r="H49" s="470"/>
      <c r="I49" s="470"/>
      <c r="J49" s="470"/>
      <c r="K49" s="470"/>
      <c r="L49" s="471"/>
      <c r="M49" s="472"/>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8"/>
      <c r="B50" s="457"/>
      <c r="C50" s="585">
        <v>100</v>
      </c>
      <c r="D50" s="459"/>
      <c r="E50" s="459"/>
      <c r="F50" s="459"/>
      <c r="G50" s="459"/>
      <c r="H50" s="459"/>
      <c r="I50" s="459"/>
      <c r="J50" s="459"/>
      <c r="K50" s="459"/>
      <c r="L50" s="459"/>
      <c r="M50" s="461"/>
      <c r="N50" s="2748"/>
      <c r="O50" s="2748"/>
      <c r="P50" s="2735"/>
      <c r="Q50" s="2735"/>
      <c r="R50" s="2657"/>
      <c r="S50" s="2657"/>
      <c r="T50" s="2657"/>
      <c r="U50" s="2657"/>
      <c r="V50" s="2657"/>
      <c r="W50" s="2657"/>
      <c r="X50" s="2657"/>
      <c r="Y50" s="2657"/>
      <c r="Z50" s="2657"/>
      <c r="AA50" s="2657"/>
      <c r="AB50" s="2657"/>
      <c r="AC50" s="2657"/>
      <c r="AD50" s="2657"/>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6"/>
      <c r="B71" s="485">
        <f>B23</f>
        <v>111</v>
      </c>
      <c r="C71" s="496"/>
      <c r="D71" s="496"/>
      <c r="E71" s="496"/>
      <c r="F71" s="496"/>
      <c r="G71" s="501"/>
      <c r="H71" s="501"/>
      <c r="I71" s="501"/>
      <c r="J71" s="501"/>
      <c r="K71" s="501"/>
      <c r="L71" s="527"/>
      <c r="M71" s="528"/>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6"/>
      <c r="B72" s="490"/>
      <c r="C72" s="507"/>
      <c r="D72" s="483"/>
      <c r="E72" s="483"/>
      <c r="F72" s="483"/>
      <c r="G72" s="483"/>
      <c r="H72" s="483"/>
      <c r="I72" s="483"/>
      <c r="J72" s="483"/>
      <c r="K72" s="483"/>
      <c r="L72" s="483"/>
      <c r="M72" s="484"/>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6"/>
      <c r="B73" s="485">
        <f>B24</f>
        <v>111</v>
      </c>
      <c r="C73" s="496"/>
      <c r="D73" s="496"/>
      <c r="E73" s="496"/>
      <c r="F73" s="496"/>
      <c r="G73" s="501"/>
      <c r="H73" s="501"/>
      <c r="I73" s="501"/>
      <c r="J73" s="501"/>
      <c r="K73" s="501"/>
      <c r="L73" s="501"/>
      <c r="M73" s="528"/>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6"/>
      <c r="B74" s="490"/>
      <c r="C74" s="507"/>
      <c r="D74" s="483"/>
      <c r="E74" s="483"/>
      <c r="F74" s="483"/>
      <c r="G74" s="483"/>
      <c r="H74" s="483"/>
      <c r="I74" s="483"/>
      <c r="J74" s="483"/>
      <c r="K74" s="483"/>
      <c r="L74" s="483"/>
      <c r="M74" s="484"/>
      <c r="N74" s="2750"/>
      <c r="O74" s="2750"/>
      <c r="P74" s="2774"/>
      <c r="Q74" s="2735"/>
      <c r="R74" s="2657"/>
      <c r="S74" s="2657"/>
      <c r="T74" s="2657"/>
      <c r="U74" s="2657"/>
      <c r="V74" s="2657"/>
      <c r="W74" s="2657"/>
      <c r="X74" s="2657"/>
      <c r="Y74" s="2657"/>
      <c r="Z74" s="2657"/>
      <c r="AA74" s="2657"/>
      <c r="AB74" s="2657"/>
      <c r="AC74" s="2657"/>
      <c r="AD74" s="2657"/>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30"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30" ht="15.75" thickBot="1">
      <c r="A6" s="358"/>
      <c r="B6" s="359"/>
      <c r="C6" s="3724" t="s">
        <v>1677</v>
      </c>
      <c r="D6" s="3725"/>
      <c r="E6" s="3731" t="s">
        <v>1677</v>
      </c>
      <c r="F6" s="3732"/>
      <c r="G6" s="3724" t="s">
        <v>1677</v>
      </c>
      <c r="H6" s="3725"/>
      <c r="I6" s="3724" t="s">
        <v>1677</v>
      </c>
      <c r="J6" s="3725"/>
      <c r="K6" s="557" t="s">
        <v>1678</v>
      </c>
      <c r="L6" s="2711"/>
      <c r="M6" s="2712"/>
      <c r="N6" s="2712"/>
      <c r="O6" s="2712"/>
      <c r="P6" s="3715"/>
      <c r="Q6" s="3716"/>
      <c r="R6" s="3719"/>
      <c r="S6" s="3720"/>
      <c r="T6" s="3721"/>
      <c r="U6" s="3722"/>
      <c r="V6" s="3723"/>
      <c r="W6" s="3723"/>
      <c r="X6" s="1353"/>
      <c r="Y6" s="3721"/>
      <c r="Z6" s="3722"/>
      <c r="AA6" s="3706"/>
      <c r="AB6" s="3706"/>
      <c r="AC6" s="3706"/>
    </row>
    <row r="7" spans="1:30" s="107" customFormat="1" ht="15.75" thickBot="1">
      <c r="A7" s="360" t="s">
        <v>1679</v>
      </c>
      <c r="B7" s="361"/>
      <c r="C7" s="362">
        <f>'数据-取费表'!B2</f>
        <v>44985</v>
      </c>
      <c r="D7" s="363">
        <v>100</v>
      </c>
      <c r="E7" s="364"/>
      <c r="F7" s="365">
        <f>SUMIF(69:69,YEAR(E7)&amp;"-"&amp;INT((MONTH(E7)+2)/3),70:70)</f>
        <v>0</v>
      </c>
      <c r="G7" s="1972"/>
      <c r="H7" s="363">
        <f>SUMIF(69:69,YEAR(G7)&amp;"-"&amp;INT((MONTH(G7)+2)/3),70:70)</f>
        <v>0</v>
      </c>
      <c r="I7" s="1972"/>
      <c r="J7" s="363">
        <f>SUMIF(69:69,YEAR(I7)&amp;"-"&amp;INT((MONTH(I7)+2)/3),70:70)</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728" t="s">
        <v>1683</v>
      </c>
      <c r="Q8" s="3729"/>
      <c r="R8" s="699" t="s">
        <v>14</v>
      </c>
      <c r="S8" s="700">
        <f t="shared" si="0"/>
        <v>0</v>
      </c>
      <c r="T8" s="699" t="s">
        <v>14</v>
      </c>
      <c r="U8" s="700">
        <f t="shared" si="1"/>
        <v>0</v>
      </c>
      <c r="V8" s="699" t="s">
        <v>14</v>
      </c>
      <c r="W8" s="700">
        <f t="shared" si="2"/>
        <v>0</v>
      </c>
      <c r="X8" s="701"/>
      <c r="Y8" s="3728" t="s">
        <v>1683</v>
      </c>
      <c r="Z8" s="3729"/>
      <c r="AA8" s="702" t="e">
        <f t="shared" ref="AA8:AA45" si="3">D8/F8</f>
        <v>#DIV/0!</v>
      </c>
      <c r="AB8" s="702" t="e">
        <f t="shared" ref="AB8:AB45" si="4">D8/H8</f>
        <v>#DIV/0!</v>
      </c>
      <c r="AC8" s="702" t="e">
        <f t="shared" ref="AC8:AC45" si="5">D8/J8</f>
        <v>#DIV/0!</v>
      </c>
    </row>
    <row r="9" spans="1:30" s="107"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3"/>
      <c r="M9" s="2714"/>
      <c r="N9" s="2714"/>
      <c r="O9" s="2768"/>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123</v>
      </c>
      <c r="G10" s="412"/>
      <c r="H10" s="125">
        <f>ROUND(100/'数据-取费表'!G16,0)</f>
        <v>123</v>
      </c>
      <c r="I10" s="412"/>
      <c r="J10" s="125">
        <f>ROUND(100/'数据-取费表'!G16,0)</f>
        <v>123</v>
      </c>
      <c r="K10" s="618"/>
      <c r="L10" s="2715"/>
      <c r="M10" s="2716"/>
      <c r="N10" s="2716"/>
      <c r="O10" s="2769"/>
      <c r="P10" s="3692"/>
      <c r="Q10" s="1341" t="str">
        <f t="shared" si="6"/>
        <v>土地使用年限（年）</v>
      </c>
      <c r="R10" s="699" t="s">
        <v>14</v>
      </c>
      <c r="S10" s="700">
        <f t="shared" si="0"/>
        <v>123</v>
      </c>
      <c r="T10" s="699" t="s">
        <v>14</v>
      </c>
      <c r="U10" s="700">
        <f t="shared" si="1"/>
        <v>123</v>
      </c>
      <c r="V10" s="699" t="s">
        <v>14</v>
      </c>
      <c r="W10" s="700">
        <f t="shared" si="2"/>
        <v>123</v>
      </c>
      <c r="X10" s="701"/>
      <c r="Y10" s="3548"/>
      <c r="Z10" s="52" t="str">
        <f t="shared" si="7"/>
        <v>土地使用年限（年）</v>
      </c>
      <c r="AA10" s="702">
        <f t="shared" si="3"/>
        <v>0.81300813008130079</v>
      </c>
      <c r="AB10" s="702">
        <f t="shared" si="4"/>
        <v>0.81300813008130079</v>
      </c>
      <c r="AC10" s="702">
        <f t="shared" si="5"/>
        <v>0.81300813008130079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692"/>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7"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692"/>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694" t="s">
        <v>1691</v>
      </c>
      <c r="Q15" s="1350" t="str">
        <f t="shared" si="6"/>
        <v>居住社区成熟度</v>
      </c>
      <c r="R15" s="703" t="s">
        <v>14</v>
      </c>
      <c r="S15" s="704">
        <f t="shared" si="0"/>
        <v>100</v>
      </c>
      <c r="T15" s="703" t="s">
        <v>14</v>
      </c>
      <c r="U15" s="704">
        <f t="shared" si="1"/>
        <v>100</v>
      </c>
      <c r="V15" s="703" t="s">
        <v>14</v>
      </c>
      <c r="W15" s="704">
        <f t="shared" si="2"/>
        <v>100</v>
      </c>
      <c r="X15" s="1353"/>
      <c r="Y15" s="3694"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18"/>
      <c r="M16" s="2712"/>
      <c r="N16" s="2712"/>
      <c r="O16" s="2770"/>
      <c r="P16" s="3695"/>
      <c r="Q16" s="1350"/>
      <c r="R16" s="703"/>
      <c r="S16" s="704"/>
      <c r="T16" s="703"/>
      <c r="U16" s="704"/>
      <c r="V16" s="703"/>
      <c r="W16" s="704"/>
      <c r="X16" s="1353"/>
      <c r="Y16" s="3695"/>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695"/>
      <c r="Q17" s="1350" t="str">
        <f>B17</f>
        <v>商业繁华度</v>
      </c>
      <c r="R17" s="703" t="s">
        <v>14</v>
      </c>
      <c r="S17" s="704">
        <f>F17</f>
        <v>100</v>
      </c>
      <c r="T17" s="703" t="s">
        <v>14</v>
      </c>
      <c r="U17" s="704">
        <f>H17</f>
        <v>100</v>
      </c>
      <c r="V17" s="703" t="s">
        <v>14</v>
      </c>
      <c r="W17" s="704">
        <f>J17</f>
        <v>100</v>
      </c>
      <c r="X17" s="1353"/>
      <c r="Y17" s="3695"/>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18"/>
      <c r="M18" s="2712"/>
      <c r="N18" s="2712"/>
      <c r="O18" s="2770"/>
      <c r="P18" s="3695"/>
      <c r="Q18" s="1350"/>
      <c r="R18" s="703"/>
      <c r="S18" s="704"/>
      <c r="T18" s="703"/>
      <c r="U18" s="704"/>
      <c r="V18" s="703"/>
      <c r="W18" s="704"/>
      <c r="X18" s="1353"/>
      <c r="Y18" s="3695"/>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695"/>
      <c r="Q19" s="1350" t="str">
        <f>B19</f>
        <v>办公集聚程度</v>
      </c>
      <c r="R19" s="703" t="s">
        <v>14</v>
      </c>
      <c r="S19" s="704">
        <f>F19</f>
        <v>100</v>
      </c>
      <c r="T19" s="703" t="s">
        <v>14</v>
      </c>
      <c r="U19" s="704">
        <f>H19</f>
        <v>100</v>
      </c>
      <c r="V19" s="703" t="s">
        <v>14</v>
      </c>
      <c r="W19" s="704">
        <f>J19</f>
        <v>100</v>
      </c>
      <c r="X19" s="1353"/>
      <c r="Y19" s="3695"/>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18"/>
      <c r="M20" s="2712"/>
      <c r="N20" s="2712"/>
      <c r="O20" s="2770"/>
      <c r="P20" s="3695"/>
      <c r="Q20" s="1350"/>
      <c r="R20" s="703"/>
      <c r="S20" s="704"/>
      <c r="T20" s="703"/>
      <c r="U20" s="704"/>
      <c r="V20" s="703"/>
      <c r="W20" s="704"/>
      <c r="X20" s="1353"/>
      <c r="Y20" s="3695"/>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695"/>
      <c r="Q21" s="1350" t="str">
        <f>B21</f>
        <v>交通便捷度</v>
      </c>
      <c r="R21" s="703" t="s">
        <v>14</v>
      </c>
      <c r="S21" s="704">
        <f>F21</f>
        <v>100</v>
      </c>
      <c r="T21" s="703" t="s">
        <v>14</v>
      </c>
      <c r="U21" s="704">
        <f>H21</f>
        <v>100</v>
      </c>
      <c r="V21" s="703" t="s">
        <v>14</v>
      </c>
      <c r="W21" s="704">
        <f>J21</f>
        <v>100</v>
      </c>
      <c r="X21" s="1353"/>
      <c r="Y21" s="3695"/>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18"/>
      <c r="M22" s="2712"/>
      <c r="N22" s="2712"/>
      <c r="O22" s="2770"/>
      <c r="P22" s="3695"/>
      <c r="Q22" s="1350"/>
      <c r="R22" s="703"/>
      <c r="S22" s="704"/>
      <c r="T22" s="703"/>
      <c r="U22" s="704"/>
      <c r="V22" s="703"/>
      <c r="W22" s="704"/>
      <c r="X22" s="1353"/>
      <c r="Y22" s="3695"/>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695"/>
      <c r="Q23" s="1350" t="str">
        <f t="shared" ref="Q23:Q37" si="8">B23</f>
        <v>区域土地利用方向</v>
      </c>
      <c r="R23" s="703" t="s">
        <v>14</v>
      </c>
      <c r="S23" s="704">
        <f>F23</f>
        <v>100</v>
      </c>
      <c r="T23" s="703" t="s">
        <v>14</v>
      </c>
      <c r="U23" s="704">
        <f>H23</f>
        <v>100</v>
      </c>
      <c r="V23" s="703" t="s">
        <v>14</v>
      </c>
      <c r="W23" s="704">
        <f>J23</f>
        <v>100</v>
      </c>
      <c r="X23" s="1353"/>
      <c r="Y23" s="3695"/>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18"/>
      <c r="M24" s="2712"/>
      <c r="N24" s="2712"/>
      <c r="O24" s="2770"/>
      <c r="P24" s="3695"/>
      <c r="Q24" s="1350"/>
      <c r="R24" s="703"/>
      <c r="S24" s="704"/>
      <c r="T24" s="703"/>
      <c r="U24" s="704"/>
      <c r="V24" s="703"/>
      <c r="W24" s="704"/>
      <c r="X24" s="1353"/>
      <c r="Y24" s="3695"/>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695"/>
      <c r="Q25" s="1350" t="str">
        <f t="shared" si="8"/>
        <v>自然及人文环境状况</v>
      </c>
      <c r="R25" s="703" t="s">
        <v>14</v>
      </c>
      <c r="S25" s="704">
        <f>F25</f>
        <v>100</v>
      </c>
      <c r="T25" s="703" t="s">
        <v>14</v>
      </c>
      <c r="U25" s="704">
        <f>H25</f>
        <v>100</v>
      </c>
      <c r="V25" s="703" t="s">
        <v>14</v>
      </c>
      <c r="W25" s="704">
        <f>J25</f>
        <v>100</v>
      </c>
      <c r="X25" s="1353"/>
      <c r="Y25" s="3695"/>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18"/>
      <c r="M26" s="2712"/>
      <c r="N26" s="2712"/>
      <c r="O26" s="2770"/>
      <c r="P26" s="3695"/>
      <c r="Q26" s="1350"/>
      <c r="R26" s="703"/>
      <c r="S26" s="704"/>
      <c r="T26" s="703"/>
      <c r="U26" s="704"/>
      <c r="V26" s="703"/>
      <c r="W26" s="704"/>
      <c r="X26" s="1353"/>
      <c r="Y26" s="3695"/>
      <c r="Z26" s="1354"/>
      <c r="AA26" s="1351">
        <v>1</v>
      </c>
      <c r="AB26" s="1351">
        <v>1</v>
      </c>
      <c r="AC26" s="1351">
        <v>1</v>
      </c>
    </row>
    <row r="27" spans="1:29" s="107"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695"/>
      <c r="Q27" s="1341" t="str">
        <f t="shared" si="8"/>
        <v>公共配套设施</v>
      </c>
      <c r="R27" s="699" t="s">
        <v>14</v>
      </c>
      <c r="S27" s="700">
        <f>F27</f>
        <v>100</v>
      </c>
      <c r="T27" s="699" t="s">
        <v>14</v>
      </c>
      <c r="U27" s="700">
        <f>H27</f>
        <v>100</v>
      </c>
      <c r="V27" s="699" t="s">
        <v>14</v>
      </c>
      <c r="W27" s="700">
        <f>J27</f>
        <v>100</v>
      </c>
      <c r="X27" s="701"/>
      <c r="Y27" s="3695"/>
      <c r="Z27" s="52" t="str">
        <f>Q27</f>
        <v>公共配套设施</v>
      </c>
      <c r="AA27" s="1351">
        <f>D27/F27</f>
        <v>1</v>
      </c>
      <c r="AB27" s="1351">
        <f>D27/H27</f>
        <v>1</v>
      </c>
      <c r="AC27" s="1351">
        <f>D27/J27</f>
        <v>1</v>
      </c>
    </row>
    <row r="28" spans="1:29" s="107" customFormat="1" ht="15">
      <c r="A28" s="595"/>
      <c r="B28" s="405"/>
      <c r="C28" s="1976"/>
      <c r="D28" s="397"/>
      <c r="E28" s="1902"/>
      <c r="F28" s="397"/>
      <c r="G28" s="1902"/>
      <c r="H28" s="397"/>
      <c r="I28" s="396"/>
      <c r="J28" s="397"/>
      <c r="K28" s="618"/>
      <c r="L28" s="2713"/>
      <c r="M28" s="2714"/>
      <c r="N28" s="2714"/>
      <c r="O28" s="2768"/>
      <c r="P28" s="3695"/>
      <c r="Q28" s="1341"/>
      <c r="R28" s="699"/>
      <c r="S28" s="700"/>
      <c r="T28" s="699"/>
      <c r="U28" s="700"/>
      <c r="V28" s="699"/>
      <c r="W28" s="700"/>
      <c r="X28" s="701"/>
      <c r="Y28" s="3695"/>
      <c r="Z28" s="52"/>
      <c r="AA28" s="1351">
        <v>1</v>
      </c>
      <c r="AB28" s="1351">
        <v>1</v>
      </c>
      <c r="AC28" s="1351">
        <v>1</v>
      </c>
    </row>
    <row r="29" spans="1:29" s="107"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695"/>
      <c r="Q29" s="1341" t="str">
        <f t="shared" ref="Q29" si="9">B29</f>
        <v>基础设施水平</v>
      </c>
      <c r="R29" s="699" t="s">
        <v>14</v>
      </c>
      <c r="S29" s="700">
        <f>F29</f>
        <v>100</v>
      </c>
      <c r="T29" s="699" t="s">
        <v>14</v>
      </c>
      <c r="U29" s="700">
        <f>H29</f>
        <v>100</v>
      </c>
      <c r="V29" s="699" t="s">
        <v>14</v>
      </c>
      <c r="W29" s="700">
        <f>J29</f>
        <v>100</v>
      </c>
      <c r="X29" s="701"/>
      <c r="Y29" s="3695"/>
      <c r="Z29" s="52" t="str">
        <f>Q29</f>
        <v>基础设施水平</v>
      </c>
      <c r="AA29" s="1351">
        <f>D29/F29</f>
        <v>1</v>
      </c>
      <c r="AB29" s="1351">
        <f>D29/H29</f>
        <v>1</v>
      </c>
      <c r="AC29" s="1351">
        <f>D29/J29</f>
        <v>1</v>
      </c>
    </row>
    <row r="30" spans="1:29" s="107" customFormat="1" ht="15">
      <c r="A30" s="595"/>
      <c r="B30" s="405"/>
      <c r="C30" s="1976"/>
      <c r="D30" s="397"/>
      <c r="E30" s="1977"/>
      <c r="F30" s="397"/>
      <c r="G30" s="1977"/>
      <c r="H30" s="397"/>
      <c r="I30" s="1977"/>
      <c r="J30" s="397"/>
      <c r="K30" s="618"/>
      <c r="L30" s="2713"/>
      <c r="M30" s="2714"/>
      <c r="N30" s="2714"/>
      <c r="O30" s="2768"/>
      <c r="P30" s="3695"/>
      <c r="Q30" s="1341"/>
      <c r="R30" s="699"/>
      <c r="S30" s="700"/>
      <c r="T30" s="699"/>
      <c r="U30" s="700"/>
      <c r="V30" s="699"/>
      <c r="W30" s="700"/>
      <c r="X30" s="701"/>
      <c r="Y30" s="3695"/>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69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5"/>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695"/>
      <c r="Q32" s="1350" t="str">
        <f t="shared" si="8"/>
        <v>毗邻道路的类型与等级</v>
      </c>
      <c r="R32" s="703" t="s">
        <v>14</v>
      </c>
      <c r="S32" s="704">
        <f t="shared" si="10"/>
        <v>100</v>
      </c>
      <c r="T32" s="703" t="s">
        <v>14</v>
      </c>
      <c r="U32" s="704">
        <f t="shared" si="11"/>
        <v>100</v>
      </c>
      <c r="V32" s="703" t="s">
        <v>14</v>
      </c>
      <c r="W32" s="704">
        <f t="shared" si="12"/>
        <v>100</v>
      </c>
      <c r="X32" s="1353"/>
      <c r="Y32" s="3695"/>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8"/>
      <c r="M33" s="2712"/>
      <c r="N33" s="2712"/>
      <c r="O33" s="2770"/>
      <c r="P33" s="3695"/>
      <c r="Q33" s="1350"/>
      <c r="R33" s="703"/>
      <c r="S33" s="704"/>
      <c r="T33" s="703"/>
      <c r="U33" s="704"/>
      <c r="V33" s="703"/>
      <c r="W33" s="704"/>
      <c r="X33" s="1353"/>
      <c r="Y33" s="3695"/>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695"/>
      <c r="Q34" s="1350" t="str">
        <f t="shared" si="8"/>
        <v>土地级别</v>
      </c>
      <c r="R34" s="703" t="s">
        <v>14</v>
      </c>
      <c r="S34" s="704">
        <f t="shared" si="10"/>
        <v>100</v>
      </c>
      <c r="T34" s="703" t="s">
        <v>14</v>
      </c>
      <c r="U34" s="704">
        <f t="shared" si="11"/>
        <v>100</v>
      </c>
      <c r="V34" s="703" t="s">
        <v>14</v>
      </c>
      <c r="W34" s="704">
        <f t="shared" si="12"/>
        <v>100</v>
      </c>
      <c r="X34" s="1353"/>
      <c r="Y34" s="3695"/>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695"/>
      <c r="Q35" s="1350">
        <f t="shared" si="8"/>
        <v>111</v>
      </c>
      <c r="R35" s="703" t="s">
        <v>14</v>
      </c>
      <c r="S35" s="704">
        <f t="shared" si="10"/>
        <v>100</v>
      </c>
      <c r="T35" s="703" t="s">
        <v>14</v>
      </c>
      <c r="U35" s="704">
        <f t="shared" si="11"/>
        <v>100</v>
      </c>
      <c r="V35" s="703" t="s">
        <v>14</v>
      </c>
      <c r="W35" s="704">
        <f t="shared" si="12"/>
        <v>100</v>
      </c>
      <c r="X35" s="1353"/>
      <c r="Y35" s="3695"/>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50" t="s">
        <v>1696</v>
      </c>
      <c r="Q36" s="1350">
        <f t="shared" si="8"/>
        <v>111</v>
      </c>
      <c r="R36" s="703" t="s">
        <v>14</v>
      </c>
      <c r="S36" s="704">
        <f t="shared" si="10"/>
        <v>100</v>
      </c>
      <c r="T36" s="703" t="s">
        <v>14</v>
      </c>
      <c r="U36" s="704">
        <f t="shared" si="11"/>
        <v>100</v>
      </c>
      <c r="V36" s="703" t="s">
        <v>14</v>
      </c>
      <c r="W36" s="704">
        <f t="shared" si="12"/>
        <v>100</v>
      </c>
      <c r="X36" s="1353"/>
      <c r="Y36" s="3699"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699"/>
      <c r="Q37" s="1350">
        <f t="shared" si="8"/>
        <v>111</v>
      </c>
      <c r="R37" s="706" t="s">
        <v>14</v>
      </c>
      <c r="S37" s="707">
        <f t="shared" si="10"/>
        <v>100</v>
      </c>
      <c r="T37" s="706" t="s">
        <v>14</v>
      </c>
      <c r="U37" s="707">
        <f t="shared" si="11"/>
        <v>100</v>
      </c>
      <c r="V37" s="706" t="s">
        <v>14</v>
      </c>
      <c r="W37" s="707">
        <f t="shared" si="12"/>
        <v>100</v>
      </c>
      <c r="X37" s="708"/>
      <c r="Y37" s="3699"/>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699"/>
      <c r="Q38" s="1350" t="str">
        <f>B38</f>
        <v>宗地面积</v>
      </c>
      <c r="R38" s="703" t="s">
        <v>14</v>
      </c>
      <c r="S38" s="704" t="e">
        <f t="shared" si="10"/>
        <v>#N/A</v>
      </c>
      <c r="T38" s="703" t="s">
        <v>14</v>
      </c>
      <c r="U38" s="704" t="e">
        <f t="shared" si="11"/>
        <v>#N/A</v>
      </c>
      <c r="V38" s="703" t="s">
        <v>14</v>
      </c>
      <c r="W38" s="704" t="e">
        <f t="shared" si="12"/>
        <v>#N/A</v>
      </c>
      <c r="X38" s="1353"/>
      <c r="Y38" s="3699"/>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18"/>
      <c r="M39" s="2712"/>
      <c r="N39" s="2712"/>
      <c r="O39" s="2770"/>
      <c r="P39" s="3699"/>
      <c r="Q39" s="1350" t="str">
        <f t="shared" ref="Q39:Q45" si="14">B39</f>
        <v>宗地形状</v>
      </c>
      <c r="R39" s="703" t="s">
        <v>14</v>
      </c>
      <c r="S39" s="704">
        <f t="shared" si="10"/>
        <v>100</v>
      </c>
      <c r="T39" s="703" t="s">
        <v>14</v>
      </c>
      <c r="U39" s="704">
        <f t="shared" si="11"/>
        <v>100</v>
      </c>
      <c r="V39" s="703" t="s">
        <v>14</v>
      </c>
      <c r="W39" s="704">
        <f t="shared" si="12"/>
        <v>100</v>
      </c>
      <c r="X39" s="1353"/>
      <c r="Y39" s="3699"/>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18"/>
      <c r="M40" s="2712"/>
      <c r="N40" s="2712"/>
      <c r="O40" s="2770"/>
      <c r="P40" s="3699"/>
      <c r="Q40" s="1350" t="str">
        <f t="shared" si="14"/>
        <v>临街宽度及深度</v>
      </c>
      <c r="R40" s="703" t="s">
        <v>14</v>
      </c>
      <c r="S40" s="704">
        <f t="shared" si="10"/>
        <v>100</v>
      </c>
      <c r="T40" s="703" t="s">
        <v>14</v>
      </c>
      <c r="U40" s="704">
        <f t="shared" si="11"/>
        <v>100</v>
      </c>
      <c r="V40" s="703" t="s">
        <v>14</v>
      </c>
      <c r="W40" s="704">
        <f t="shared" si="12"/>
        <v>100</v>
      </c>
      <c r="X40" s="1353"/>
      <c r="Y40" s="3699"/>
      <c r="Z40" s="1354" t="str">
        <f t="shared" si="13"/>
        <v>临街宽度及深度</v>
      </c>
      <c r="AA40" s="1351">
        <f t="shared" si="3"/>
        <v>1</v>
      </c>
      <c r="AB40" s="1351">
        <f t="shared" si="4"/>
        <v>1</v>
      </c>
      <c r="AC40" s="1351">
        <f t="shared" si="5"/>
        <v>1</v>
      </c>
    </row>
    <row r="41" spans="1:29" s="107"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3"/>
      <c r="M41" s="2714"/>
      <c r="N41" s="2714"/>
      <c r="O41" s="2768"/>
      <c r="P41" s="3699"/>
      <c r="Q41" s="1350" t="str">
        <f t="shared" si="14"/>
        <v>宗地开发程度</v>
      </c>
      <c r="R41" s="699" t="s">
        <v>14</v>
      </c>
      <c r="S41" s="700">
        <f t="shared" si="10"/>
        <v>100</v>
      </c>
      <c r="T41" s="699" t="s">
        <v>14</v>
      </c>
      <c r="U41" s="700">
        <f t="shared" si="11"/>
        <v>100</v>
      </c>
      <c r="V41" s="699" t="s">
        <v>14</v>
      </c>
      <c r="W41" s="700">
        <f t="shared" si="12"/>
        <v>100</v>
      </c>
      <c r="X41" s="701"/>
      <c r="Y41" s="3699"/>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18"/>
      <c r="M42" s="2712"/>
      <c r="N42" s="2712"/>
      <c r="O42" s="2770"/>
      <c r="P42" s="3699" t="s">
        <v>1696</v>
      </c>
      <c r="Q42" s="1350" t="str">
        <f t="shared" si="14"/>
        <v>工程地质条件</v>
      </c>
      <c r="R42" s="703" t="s">
        <v>14</v>
      </c>
      <c r="S42" s="704">
        <f t="shared" si="10"/>
        <v>100</v>
      </c>
      <c r="T42" s="703" t="s">
        <v>14</v>
      </c>
      <c r="U42" s="704">
        <f t="shared" si="11"/>
        <v>100</v>
      </c>
      <c r="V42" s="703" t="s">
        <v>14</v>
      </c>
      <c r="W42" s="704">
        <f t="shared" si="12"/>
        <v>100</v>
      </c>
      <c r="X42" s="1353"/>
      <c r="Y42" s="3699"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699"/>
      <c r="Q43" s="1350">
        <f t="shared" si="14"/>
        <v>111</v>
      </c>
      <c r="R43" s="703" t="s">
        <v>14</v>
      </c>
      <c r="S43" s="704">
        <f t="shared" si="10"/>
        <v>100</v>
      </c>
      <c r="T43" s="703" t="s">
        <v>14</v>
      </c>
      <c r="U43" s="704">
        <f t="shared" si="11"/>
        <v>100</v>
      </c>
      <c r="V43" s="703" t="s">
        <v>14</v>
      </c>
      <c r="W43" s="704">
        <f t="shared" si="12"/>
        <v>100</v>
      </c>
      <c r="X43" s="1353"/>
      <c r="Y43" s="3699"/>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699"/>
      <c r="Q44" s="1350">
        <f t="shared" si="14"/>
        <v>111</v>
      </c>
      <c r="R44" s="703" t="s">
        <v>14</v>
      </c>
      <c r="S44" s="704">
        <f t="shared" si="10"/>
        <v>100</v>
      </c>
      <c r="T44" s="703" t="s">
        <v>14</v>
      </c>
      <c r="U44" s="704">
        <f t="shared" si="11"/>
        <v>100</v>
      </c>
      <c r="V44" s="703" t="s">
        <v>14</v>
      </c>
      <c r="W44" s="704">
        <f t="shared" si="12"/>
        <v>100</v>
      </c>
      <c r="X44" s="1353"/>
      <c r="Y44" s="3699"/>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699"/>
      <c r="Q45" s="1350">
        <f t="shared" si="14"/>
        <v>111</v>
      </c>
      <c r="R45" s="706" t="s">
        <v>14</v>
      </c>
      <c r="S45" s="707">
        <f t="shared" si="10"/>
        <v>100</v>
      </c>
      <c r="T45" s="706" t="s">
        <v>14</v>
      </c>
      <c r="U45" s="707">
        <f t="shared" si="11"/>
        <v>100</v>
      </c>
      <c r="V45" s="706" t="s">
        <v>14</v>
      </c>
      <c r="W45" s="707">
        <f t="shared" si="12"/>
        <v>100</v>
      </c>
      <c r="X45" s="708"/>
      <c r="Y45" s="3699"/>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0"/>
      <c r="M46" s="2721"/>
      <c r="N46" s="2712"/>
      <c r="O46" s="2721"/>
      <c r="P46" s="3692" t="str">
        <f>A46</f>
        <v>成交单价</v>
      </c>
      <c r="Q46" s="3692"/>
      <c r="R46" s="3723">
        <f>E46</f>
        <v>0</v>
      </c>
      <c r="S46" s="3723"/>
      <c r="T46" s="3723">
        <f>G46</f>
        <v>0</v>
      </c>
      <c r="U46" s="3723"/>
      <c r="V46" s="3723">
        <f>I46</f>
        <v>0</v>
      </c>
      <c r="W46" s="3723"/>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0"/>
      <c r="M47" s="2721"/>
      <c r="N47" s="2721"/>
      <c r="O47" s="2721"/>
      <c r="P47" s="3692" t="str">
        <f>A47</f>
        <v>比较价值（元/平方米）</v>
      </c>
      <c r="Q47" s="3692"/>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0"/>
      <c r="M48" s="2721"/>
      <c r="N48" s="2721"/>
      <c r="O48" s="2721"/>
      <c r="P48" s="3689" t="str">
        <f>A48</f>
        <v>估价对象XX用房的比较价值（楼面单价，元/平方米）</v>
      </c>
      <c r="Q48" s="3690"/>
      <c r="R48" s="3753" t="e">
        <f>ROUND(IF(D47="简单平均",AVERAGE(R47:W47),R47*F47+T47*H47+V47*J47),0)</f>
        <v>#DIV/0!</v>
      </c>
      <c r="S48" s="3753"/>
      <c r="T48" s="3753"/>
      <c r="U48" s="3753"/>
      <c r="V48" s="3753"/>
      <c r="W48" s="3753"/>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1" t="s">
        <v>1883</v>
      </c>
      <c r="D55" s="1982" t="s">
        <v>1884</v>
      </c>
      <c r="E55" s="632" t="s">
        <v>1885</v>
      </c>
      <c r="F55" s="888" t="s">
        <v>1886</v>
      </c>
      <c r="G55" s="3707" t="s">
        <v>1887</v>
      </c>
      <c r="H55" s="3754"/>
      <c r="I55" s="133"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2">
        <v>1</v>
      </c>
      <c r="E56" s="636">
        <f>'数据-汇总表'!E8+'数据-汇总表'!E9</f>
        <v>5308.35</v>
      </c>
      <c r="F56" s="884" t="e">
        <f t="shared" ref="F56:F64" si="15">ROUND(B56*E56/10000,0)</f>
        <v>#DIV/0!</v>
      </c>
      <c r="G56" s="3703"/>
      <c r="H56" s="3692"/>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3">
        <v>0.25</v>
      </c>
      <c r="E57" s="640"/>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3">
        <v>0.25</v>
      </c>
      <c r="E58" s="640"/>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3">
        <v>0.25</v>
      </c>
      <c r="E59" s="640"/>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3">
        <v>0.25</v>
      </c>
      <c r="E60" s="215">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3">
        <v>0.25</v>
      </c>
      <c r="E64" s="215">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5308.35</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5"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5"/>
      <c r="Q70" s="2657"/>
      <c r="R70" s="2657"/>
      <c r="S70" s="2657"/>
      <c r="T70" s="2657"/>
      <c r="U70" s="2657"/>
      <c r="V70" s="2657"/>
      <c r="W70" s="2657"/>
      <c r="X70" s="2657"/>
      <c r="Y70" s="2657"/>
      <c r="Z70" s="2657"/>
      <c r="AA70" s="2657"/>
      <c r="AB70" s="2657"/>
      <c r="AC70" s="2657"/>
    </row>
    <row r="71" spans="1:29" s="107" customFormat="1" ht="15.75" thickBot="1">
      <c r="A71" s="462" t="s">
        <v>1716</v>
      </c>
      <c r="B71" s="463"/>
      <c r="C71" s="464"/>
      <c r="D71" s="465"/>
      <c r="E71" s="465"/>
      <c r="F71" s="465"/>
      <c r="G71" s="465"/>
      <c r="H71" s="465"/>
      <c r="I71" s="465"/>
      <c r="J71" s="465"/>
      <c r="K71" s="465"/>
      <c r="L71" s="465"/>
      <c r="M71" s="466"/>
      <c r="N71" s="465"/>
      <c r="O71" s="941"/>
      <c r="P71" s="2735"/>
      <c r="Q71" s="2735"/>
      <c r="R71" s="2657"/>
      <c r="S71" s="2657"/>
      <c r="T71" s="2657"/>
      <c r="U71" s="2657"/>
      <c r="V71" s="2657"/>
      <c r="W71" s="2657"/>
      <c r="X71" s="2657"/>
      <c r="Y71" s="2657"/>
      <c r="Z71" s="2657"/>
      <c r="AA71" s="2657"/>
      <c r="AB71" s="2657"/>
      <c r="AC71" s="2657"/>
    </row>
    <row r="72" spans="1:29" s="107" customFormat="1" ht="15">
      <c r="A72" s="468" t="s">
        <v>1681</v>
      </c>
      <c r="B72" s="457"/>
      <c r="C72" s="469" t="s">
        <v>1776</v>
      </c>
      <c r="D72" s="470"/>
      <c r="E72" s="470"/>
      <c r="F72" s="470"/>
      <c r="G72" s="470"/>
      <c r="H72" s="470"/>
      <c r="I72" s="470"/>
      <c r="J72" s="470"/>
      <c r="K72" s="470"/>
      <c r="L72" s="471"/>
      <c r="M72" s="472"/>
      <c r="N72" s="2748"/>
      <c r="O72" s="2748"/>
      <c r="P72" s="2773"/>
      <c r="Q72" s="2735"/>
      <c r="R72" s="2657"/>
      <c r="S72" s="2657"/>
      <c r="T72" s="2657"/>
      <c r="U72" s="2657"/>
      <c r="V72" s="2657"/>
      <c r="W72" s="2657"/>
      <c r="X72" s="2657"/>
      <c r="Y72" s="2657"/>
      <c r="Z72" s="2657"/>
      <c r="AA72" s="2657"/>
      <c r="AB72" s="2657"/>
      <c r="AC72" s="2657"/>
    </row>
    <row r="73" spans="1:29" s="107" customFormat="1" ht="15.75" thickBot="1">
      <c r="A73" s="468"/>
      <c r="B73" s="457"/>
      <c r="C73" s="585">
        <v>100</v>
      </c>
      <c r="D73" s="459"/>
      <c r="E73" s="459"/>
      <c r="F73" s="459"/>
      <c r="G73" s="459"/>
      <c r="H73" s="459"/>
      <c r="I73" s="459"/>
      <c r="J73" s="459"/>
      <c r="K73" s="459"/>
      <c r="L73" s="459"/>
      <c r="M73" s="461"/>
      <c r="N73" s="2748"/>
      <c r="O73" s="2748"/>
      <c r="P73" s="2735"/>
      <c r="Q73" s="2735"/>
      <c r="R73" s="2657"/>
      <c r="S73" s="2657"/>
      <c r="T73" s="2657"/>
      <c r="U73" s="2657"/>
      <c r="V73" s="2657"/>
      <c r="W73" s="2657"/>
      <c r="X73" s="2657"/>
      <c r="Y73" s="2657"/>
      <c r="Z73" s="2657"/>
      <c r="AA73" s="2657"/>
      <c r="AB73" s="2657"/>
      <c r="AC73" s="2657"/>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7"/>
      <c r="S95" s="2657"/>
      <c r="T95" s="2657"/>
      <c r="U95" s="2657"/>
      <c r="V95" s="2657"/>
      <c r="W95" s="2657"/>
      <c r="X95" s="2657"/>
      <c r="Y95" s="2657"/>
      <c r="Z95" s="2657"/>
      <c r="AA95" s="2657"/>
      <c r="AB95" s="2657"/>
      <c r="AC95" s="2657"/>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7"/>
      <c r="S96" s="2657"/>
      <c r="T96" s="2657"/>
      <c r="U96" s="2657"/>
      <c r="V96" s="2657"/>
      <c r="W96" s="2657"/>
      <c r="X96" s="2657"/>
      <c r="Y96" s="2657"/>
      <c r="Z96" s="2657"/>
      <c r="AA96" s="2657"/>
      <c r="AB96" s="2657"/>
      <c r="AC96" s="2657"/>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7"/>
      <c r="S97" s="2657"/>
      <c r="T97" s="2657"/>
      <c r="U97" s="2657"/>
      <c r="V97" s="2657"/>
      <c r="W97" s="2657"/>
      <c r="X97" s="2657"/>
      <c r="Y97" s="2657"/>
      <c r="Z97" s="2657"/>
      <c r="AA97" s="2657"/>
      <c r="AB97" s="2657"/>
      <c r="AC97" s="2657"/>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7"/>
      <c r="S98" s="2657"/>
      <c r="T98" s="2657"/>
      <c r="U98" s="2657"/>
      <c r="V98" s="2657"/>
      <c r="W98" s="2657"/>
      <c r="X98" s="2657"/>
      <c r="Y98" s="2657"/>
      <c r="Z98" s="2657"/>
      <c r="AA98" s="2657"/>
      <c r="AB98" s="2657"/>
      <c r="AC98" s="2657"/>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717" t="s">
        <v>1771</v>
      </c>
      <c r="S4" s="3718"/>
      <c r="T4" s="3717" t="s">
        <v>1772</v>
      </c>
      <c r="U4" s="3718"/>
      <c r="V4" s="3723" t="s">
        <v>1773</v>
      </c>
      <c r="W4" s="3723"/>
      <c r="X4" s="1353"/>
      <c r="Y4" s="3717" t="s">
        <v>1775</v>
      </c>
      <c r="Z4" s="3718"/>
      <c r="AA4" s="3704" t="s">
        <v>1771</v>
      </c>
      <c r="AB4" s="3705" t="s">
        <v>1772</v>
      </c>
      <c r="AC4" s="3704" t="s">
        <v>1773</v>
      </c>
    </row>
    <row r="5" spans="1:29" ht="15">
      <c r="A5" s="356"/>
      <c r="B5" s="357"/>
      <c r="C5" s="3726" t="s">
        <v>1673</v>
      </c>
      <c r="D5" s="3727"/>
      <c r="E5" s="3733" t="s">
        <v>1674</v>
      </c>
      <c r="F5" s="3734"/>
      <c r="G5" s="3726" t="s">
        <v>1675</v>
      </c>
      <c r="H5" s="3727"/>
      <c r="I5" s="3726" t="s">
        <v>1676</v>
      </c>
      <c r="J5" s="3727"/>
      <c r="K5" s="557"/>
      <c r="L5" s="2711"/>
      <c r="M5" s="2712"/>
      <c r="N5" s="2712"/>
      <c r="O5" s="2712"/>
      <c r="P5" s="3713"/>
      <c r="Q5" s="3714"/>
      <c r="R5" s="3719"/>
      <c r="S5" s="3720"/>
      <c r="T5" s="3719"/>
      <c r="U5" s="3720"/>
      <c r="V5" s="3723"/>
      <c r="W5" s="3723"/>
      <c r="X5" s="1353"/>
      <c r="Y5" s="3719"/>
      <c r="Z5" s="3720"/>
      <c r="AA5" s="3705"/>
      <c r="AB5" s="3705"/>
      <c r="AC5" s="3705"/>
    </row>
    <row r="6" spans="1:29" ht="15.75" thickBot="1">
      <c r="A6" s="358"/>
      <c r="B6" s="359"/>
      <c r="C6" s="3755" t="s">
        <v>1919</v>
      </c>
      <c r="D6" s="3756"/>
      <c r="E6" s="3757" t="s">
        <v>1919</v>
      </c>
      <c r="F6" s="3758"/>
      <c r="G6" s="3755" t="s">
        <v>1919</v>
      </c>
      <c r="H6" s="3756"/>
      <c r="I6" s="3755" t="s">
        <v>1919</v>
      </c>
      <c r="J6" s="3756"/>
      <c r="K6" s="557" t="s">
        <v>1678</v>
      </c>
      <c r="L6" s="2711"/>
      <c r="M6" s="2712"/>
      <c r="N6" s="2712"/>
      <c r="O6" s="2712"/>
      <c r="P6" s="3715"/>
      <c r="Q6" s="3716"/>
      <c r="R6" s="3719"/>
      <c r="S6" s="3720"/>
      <c r="T6" s="3721"/>
      <c r="U6" s="3722"/>
      <c r="V6" s="3723"/>
      <c r="W6" s="3723"/>
      <c r="X6" s="1353"/>
      <c r="Y6" s="3721"/>
      <c r="Z6" s="3722"/>
      <c r="AA6" s="3706"/>
      <c r="AB6" s="3706"/>
      <c r="AC6" s="3706"/>
    </row>
    <row r="7" spans="1:29" s="107" customFormat="1" ht="15.75" thickBot="1">
      <c r="A7" s="360" t="s">
        <v>1679</v>
      </c>
      <c r="B7" s="361"/>
      <c r="C7" s="362">
        <f>'数据-取费表'!B2</f>
        <v>44985</v>
      </c>
      <c r="D7" s="363">
        <v>100</v>
      </c>
      <c r="E7" s="364"/>
      <c r="F7" s="365">
        <f>SUMIF(65:65,YEAR(E7)&amp;"-"&amp;INT((MONTH(E7)+2)/3),66:66)</f>
        <v>0</v>
      </c>
      <c r="G7" s="1972"/>
      <c r="H7" s="363">
        <f>SUMIF(65:65,YEAR(G7)&amp;"-"&amp;INT((MONTH(G7)+2)/3),66:66)</f>
        <v>0</v>
      </c>
      <c r="I7" s="1972"/>
      <c r="J7" s="363">
        <f>SUMIF(65:65,YEAR(I7)&amp;"-"&amp;INT((MONTH(I7)+2)/3),66:66)</f>
        <v>0</v>
      </c>
      <c r="K7" s="558"/>
      <c r="L7" s="2713"/>
      <c r="M7" s="2714"/>
      <c r="N7" s="2714"/>
      <c r="O7" s="2714"/>
      <c r="P7" s="3728" t="s">
        <v>1680</v>
      </c>
      <c r="Q7" s="3730"/>
      <c r="R7" s="699" t="s">
        <v>14</v>
      </c>
      <c r="S7" s="700">
        <f t="shared" ref="S7:S15" si="0">F7</f>
        <v>0</v>
      </c>
      <c r="T7" s="699" t="s">
        <v>14</v>
      </c>
      <c r="U7" s="700">
        <f t="shared" ref="U7:U15" si="1">H7</f>
        <v>0</v>
      </c>
      <c r="V7" s="699" t="s">
        <v>14</v>
      </c>
      <c r="W7" s="700">
        <f t="shared" ref="W7:W15" si="2">J7</f>
        <v>0</v>
      </c>
      <c r="X7" s="701"/>
      <c r="Y7" s="3728" t="s">
        <v>1680</v>
      </c>
      <c r="Z7" s="3729"/>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728" t="s">
        <v>1683</v>
      </c>
      <c r="Q8" s="3729"/>
      <c r="R8" s="699" t="s">
        <v>14</v>
      </c>
      <c r="S8" s="700">
        <f t="shared" si="0"/>
        <v>0</v>
      </c>
      <c r="T8" s="699" t="s">
        <v>14</v>
      </c>
      <c r="U8" s="700">
        <f t="shared" si="1"/>
        <v>0</v>
      </c>
      <c r="V8" s="699" t="s">
        <v>14</v>
      </c>
      <c r="W8" s="700">
        <f t="shared" si="2"/>
        <v>0</v>
      </c>
      <c r="X8" s="701"/>
      <c r="Y8" s="3728" t="s">
        <v>1683</v>
      </c>
      <c r="Z8" s="3729"/>
      <c r="AA8" s="702" t="e">
        <f t="shared" ref="AA8:AA40" si="3">D8/F8</f>
        <v>#DIV/0!</v>
      </c>
      <c r="AB8" s="702" t="e">
        <f t="shared" ref="AB8:AB40" si="4">D8/H8</f>
        <v>#DIV/0!</v>
      </c>
      <c r="AC8" s="702" t="e">
        <f t="shared" ref="AC8:AC40" si="5">D8/J8</f>
        <v>#DIV/0!</v>
      </c>
    </row>
    <row r="9" spans="1:29" s="107"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3"/>
      <c r="M9" s="2714"/>
      <c r="N9" s="2714"/>
      <c r="O9" s="2768"/>
      <c r="P9" s="3692"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123</v>
      </c>
      <c r="G10" s="381"/>
      <c r="H10" s="125">
        <f>ROUND(100/'数据-取费表'!G16,0)</f>
        <v>123</v>
      </c>
      <c r="I10" s="381"/>
      <c r="J10" s="125">
        <f>ROUND(100/'数据-取费表'!G16,0)</f>
        <v>123</v>
      </c>
      <c r="K10" s="618"/>
      <c r="L10" s="2715"/>
      <c r="M10" s="2716"/>
      <c r="N10" s="2716"/>
      <c r="O10" s="2769"/>
      <c r="P10" s="3692"/>
      <c r="Q10" s="1341" t="str">
        <f t="shared" si="6"/>
        <v>土地使用年限（年）</v>
      </c>
      <c r="R10" s="699" t="s">
        <v>14</v>
      </c>
      <c r="S10" s="700">
        <f t="shared" si="0"/>
        <v>123</v>
      </c>
      <c r="T10" s="699" t="s">
        <v>14</v>
      </c>
      <c r="U10" s="700">
        <f t="shared" si="1"/>
        <v>123</v>
      </c>
      <c r="V10" s="699" t="s">
        <v>14</v>
      </c>
      <c r="W10" s="700">
        <f t="shared" si="2"/>
        <v>123</v>
      </c>
      <c r="X10" s="701"/>
      <c r="Y10" s="3548"/>
      <c r="Z10" s="52" t="str">
        <f t="shared" si="7"/>
        <v>土地使用年限（年）</v>
      </c>
      <c r="AA10" s="702">
        <f t="shared" si="3"/>
        <v>0.81300813008130079</v>
      </c>
      <c r="AB10" s="702">
        <f t="shared" si="4"/>
        <v>0.81300813008130079</v>
      </c>
      <c r="AC10" s="702">
        <f t="shared" si="5"/>
        <v>0.81300813008130079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692"/>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692"/>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692"/>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692"/>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694" t="s">
        <v>1691</v>
      </c>
      <c r="Q15" s="1350" t="str">
        <f t="shared" si="6"/>
        <v>产业集聚程度</v>
      </c>
      <c r="R15" s="703" t="s">
        <v>14</v>
      </c>
      <c r="S15" s="704">
        <f t="shared" si="0"/>
        <v>100</v>
      </c>
      <c r="T15" s="703" t="s">
        <v>14</v>
      </c>
      <c r="U15" s="704">
        <f t="shared" si="1"/>
        <v>100</v>
      </c>
      <c r="V15" s="703" t="s">
        <v>14</v>
      </c>
      <c r="W15" s="704">
        <f t="shared" si="2"/>
        <v>100</v>
      </c>
      <c r="X15" s="1353"/>
      <c r="Y15" s="3694"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8"/>
      <c r="M16" s="2712"/>
      <c r="N16" s="2712"/>
      <c r="O16" s="2770"/>
      <c r="P16" s="3695"/>
      <c r="Q16" s="1350"/>
      <c r="R16" s="703"/>
      <c r="S16" s="704"/>
      <c r="T16" s="703"/>
      <c r="U16" s="704"/>
      <c r="V16" s="703"/>
      <c r="W16" s="704"/>
      <c r="X16" s="1353"/>
      <c r="Y16" s="3695"/>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695"/>
      <c r="Q17" s="1350" t="str">
        <f>B17</f>
        <v>交通便捷度</v>
      </c>
      <c r="R17" s="703" t="s">
        <v>14</v>
      </c>
      <c r="S17" s="704">
        <f>F17</f>
        <v>100</v>
      </c>
      <c r="T17" s="703" t="s">
        <v>14</v>
      </c>
      <c r="U17" s="704">
        <f>H17</f>
        <v>100</v>
      </c>
      <c r="V17" s="703" t="s">
        <v>14</v>
      </c>
      <c r="W17" s="704">
        <f>J17</f>
        <v>100</v>
      </c>
      <c r="X17" s="1353"/>
      <c r="Y17" s="3695"/>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8"/>
      <c r="M18" s="2712"/>
      <c r="N18" s="2712"/>
      <c r="O18" s="2770"/>
      <c r="P18" s="3695"/>
      <c r="Q18" s="1350"/>
      <c r="R18" s="703"/>
      <c r="S18" s="704"/>
      <c r="T18" s="703"/>
      <c r="U18" s="704"/>
      <c r="V18" s="703"/>
      <c r="W18" s="704"/>
      <c r="X18" s="1353"/>
      <c r="Y18" s="3695"/>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695"/>
      <c r="Q19" s="1350" t="str">
        <f t="shared" ref="Q19:Q33" si="8">B19</f>
        <v>区域土地利用方向</v>
      </c>
      <c r="R19" s="703" t="s">
        <v>14</v>
      </c>
      <c r="S19" s="704">
        <f>F19</f>
        <v>100</v>
      </c>
      <c r="T19" s="703" t="s">
        <v>14</v>
      </c>
      <c r="U19" s="704">
        <f>H19</f>
        <v>100</v>
      </c>
      <c r="V19" s="703" t="s">
        <v>14</v>
      </c>
      <c r="W19" s="704">
        <f>J19</f>
        <v>100</v>
      </c>
      <c r="X19" s="1353"/>
      <c r="Y19" s="3695"/>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8"/>
      <c r="M20" s="2712"/>
      <c r="N20" s="2712"/>
      <c r="O20" s="2770"/>
      <c r="P20" s="3695"/>
      <c r="Q20" s="1350"/>
      <c r="R20" s="703"/>
      <c r="S20" s="704"/>
      <c r="T20" s="703"/>
      <c r="U20" s="704"/>
      <c r="V20" s="703"/>
      <c r="W20" s="704"/>
      <c r="X20" s="1353"/>
      <c r="Y20" s="3695"/>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695"/>
      <c r="Q21" s="1350" t="str">
        <f t="shared" si="8"/>
        <v>环境状况</v>
      </c>
      <c r="R21" s="703" t="s">
        <v>14</v>
      </c>
      <c r="S21" s="704">
        <f>F21</f>
        <v>100</v>
      </c>
      <c r="T21" s="703" t="s">
        <v>14</v>
      </c>
      <c r="U21" s="704">
        <f>H21</f>
        <v>100</v>
      </c>
      <c r="V21" s="703" t="s">
        <v>14</v>
      </c>
      <c r="W21" s="704">
        <f>J21</f>
        <v>100</v>
      </c>
      <c r="X21" s="1353"/>
      <c r="Y21" s="3695"/>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8"/>
      <c r="M22" s="2712"/>
      <c r="N22" s="2712"/>
      <c r="O22" s="2770"/>
      <c r="P22" s="3695"/>
      <c r="Q22" s="1350"/>
      <c r="R22" s="703"/>
      <c r="S22" s="704"/>
      <c r="T22" s="703"/>
      <c r="U22" s="704"/>
      <c r="V22" s="703"/>
      <c r="W22" s="704"/>
      <c r="X22" s="1353"/>
      <c r="Y22" s="3695"/>
      <c r="Z22" s="1354"/>
      <c r="AA22" s="1351">
        <v>1</v>
      </c>
      <c r="AB22" s="1351">
        <v>1</v>
      </c>
      <c r="AC22" s="1351">
        <v>1</v>
      </c>
    </row>
    <row r="23" spans="1:29" s="107"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695"/>
      <c r="Q23" s="1341" t="str">
        <f t="shared" si="8"/>
        <v>公共配套设施</v>
      </c>
      <c r="R23" s="699" t="s">
        <v>14</v>
      </c>
      <c r="S23" s="700">
        <f>F23</f>
        <v>100</v>
      </c>
      <c r="T23" s="699" t="s">
        <v>14</v>
      </c>
      <c r="U23" s="700">
        <f>H23</f>
        <v>100</v>
      </c>
      <c r="V23" s="699" t="s">
        <v>14</v>
      </c>
      <c r="W23" s="700">
        <f>J23</f>
        <v>100</v>
      </c>
      <c r="X23" s="701"/>
      <c r="Y23" s="3695"/>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3"/>
      <c r="M24" s="2714"/>
      <c r="N24" s="2714"/>
      <c r="O24" s="2768"/>
      <c r="P24" s="3695"/>
      <c r="Q24" s="1341"/>
      <c r="R24" s="699"/>
      <c r="S24" s="700"/>
      <c r="T24" s="699"/>
      <c r="U24" s="700"/>
      <c r="V24" s="699"/>
      <c r="W24" s="700"/>
      <c r="X24" s="701"/>
      <c r="Y24" s="3695"/>
      <c r="Z24" s="52"/>
      <c r="AA24" s="702">
        <v>1</v>
      </c>
      <c r="AB24" s="702">
        <v>1</v>
      </c>
      <c r="AC24" s="702">
        <v>1</v>
      </c>
    </row>
    <row r="25" spans="1:29" s="107"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695"/>
      <c r="Q25" s="1341" t="str">
        <f t="shared" ref="Q25" si="9">B25</f>
        <v>基础设施水平</v>
      </c>
      <c r="R25" s="699" t="s">
        <v>14</v>
      </c>
      <c r="S25" s="700">
        <f>F25</f>
        <v>100</v>
      </c>
      <c r="T25" s="699" t="s">
        <v>14</v>
      </c>
      <c r="U25" s="700">
        <f>H25</f>
        <v>100</v>
      </c>
      <c r="V25" s="699" t="s">
        <v>14</v>
      </c>
      <c r="W25" s="700">
        <f>J25</f>
        <v>100</v>
      </c>
      <c r="X25" s="701"/>
      <c r="Y25" s="3695"/>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3"/>
      <c r="M26" s="2714"/>
      <c r="N26" s="2714"/>
      <c r="O26" s="2768"/>
      <c r="P26" s="3695"/>
      <c r="Q26" s="1341"/>
      <c r="R26" s="699"/>
      <c r="S26" s="700"/>
      <c r="T26" s="699"/>
      <c r="U26" s="700"/>
      <c r="V26" s="699"/>
      <c r="W26" s="700"/>
      <c r="X26" s="701"/>
      <c r="Y26" s="3695"/>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69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5"/>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695"/>
      <c r="Q28" s="1350" t="str">
        <f t="shared" si="8"/>
        <v>毗邻道路的类型与等级</v>
      </c>
      <c r="R28" s="703" t="s">
        <v>14</v>
      </c>
      <c r="S28" s="704">
        <f t="shared" si="10"/>
        <v>100</v>
      </c>
      <c r="T28" s="703" t="s">
        <v>14</v>
      </c>
      <c r="U28" s="704">
        <f t="shared" si="11"/>
        <v>100</v>
      </c>
      <c r="V28" s="703" t="s">
        <v>14</v>
      </c>
      <c r="W28" s="704">
        <f t="shared" si="12"/>
        <v>100</v>
      </c>
      <c r="X28" s="1353"/>
      <c r="Y28" s="3695"/>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8"/>
      <c r="M29" s="2712"/>
      <c r="N29" s="2712"/>
      <c r="O29" s="2770"/>
      <c r="P29" s="3695"/>
      <c r="Q29" s="1350"/>
      <c r="R29" s="703"/>
      <c r="S29" s="704"/>
      <c r="T29" s="703"/>
      <c r="U29" s="704"/>
      <c r="V29" s="703"/>
      <c r="W29" s="704"/>
      <c r="X29" s="1353"/>
      <c r="Y29" s="3695"/>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695"/>
      <c r="Q30" s="1350" t="str">
        <f t="shared" si="8"/>
        <v>土地级别</v>
      </c>
      <c r="R30" s="703" t="s">
        <v>14</v>
      </c>
      <c r="S30" s="704">
        <f t="shared" si="10"/>
        <v>100</v>
      </c>
      <c r="T30" s="703" t="s">
        <v>14</v>
      </c>
      <c r="U30" s="704">
        <f t="shared" si="11"/>
        <v>100</v>
      </c>
      <c r="V30" s="703" t="s">
        <v>14</v>
      </c>
      <c r="W30" s="704">
        <f t="shared" si="12"/>
        <v>100</v>
      </c>
      <c r="X30" s="1353"/>
      <c r="Y30" s="3695"/>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695"/>
      <c r="Q31" s="1350">
        <f t="shared" si="8"/>
        <v>111</v>
      </c>
      <c r="R31" s="703" t="s">
        <v>14</v>
      </c>
      <c r="S31" s="704">
        <f t="shared" si="10"/>
        <v>100</v>
      </c>
      <c r="T31" s="703" t="s">
        <v>14</v>
      </c>
      <c r="U31" s="704">
        <f t="shared" si="11"/>
        <v>100</v>
      </c>
      <c r="V31" s="703" t="s">
        <v>14</v>
      </c>
      <c r="W31" s="704">
        <f t="shared" si="12"/>
        <v>100</v>
      </c>
      <c r="X31" s="1353"/>
      <c r="Y31" s="3695"/>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50" t="s">
        <v>1696</v>
      </c>
      <c r="Q32" s="1350">
        <f t="shared" si="8"/>
        <v>111</v>
      </c>
      <c r="R32" s="703" t="s">
        <v>14</v>
      </c>
      <c r="S32" s="704">
        <f t="shared" si="10"/>
        <v>100</v>
      </c>
      <c r="T32" s="703" t="s">
        <v>14</v>
      </c>
      <c r="U32" s="704">
        <f t="shared" si="11"/>
        <v>100</v>
      </c>
      <c r="V32" s="703" t="s">
        <v>14</v>
      </c>
      <c r="W32" s="704">
        <f t="shared" si="12"/>
        <v>100</v>
      </c>
      <c r="X32" s="1353"/>
      <c r="Y32" s="3699"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699"/>
      <c r="Q33" s="1350">
        <f t="shared" si="8"/>
        <v>111</v>
      </c>
      <c r="R33" s="706" t="s">
        <v>14</v>
      </c>
      <c r="S33" s="707">
        <f t="shared" si="10"/>
        <v>100</v>
      </c>
      <c r="T33" s="706" t="s">
        <v>14</v>
      </c>
      <c r="U33" s="707">
        <f t="shared" si="11"/>
        <v>100</v>
      </c>
      <c r="V33" s="706" t="s">
        <v>14</v>
      </c>
      <c r="W33" s="707">
        <f t="shared" si="12"/>
        <v>100</v>
      </c>
      <c r="X33" s="708"/>
      <c r="Y33" s="3699"/>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699"/>
      <c r="Q34" s="1350" t="str">
        <f>B34</f>
        <v>宗地面积</v>
      </c>
      <c r="R34" s="703" t="s">
        <v>14</v>
      </c>
      <c r="S34" s="704" t="e">
        <f t="shared" si="10"/>
        <v>#N/A</v>
      </c>
      <c r="T34" s="703" t="s">
        <v>14</v>
      </c>
      <c r="U34" s="704" t="e">
        <f t="shared" si="11"/>
        <v>#N/A</v>
      </c>
      <c r="V34" s="703" t="s">
        <v>14</v>
      </c>
      <c r="W34" s="704" t="e">
        <f t="shared" si="12"/>
        <v>#N/A</v>
      </c>
      <c r="X34" s="1353"/>
      <c r="Y34" s="3699"/>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8"/>
      <c r="M35" s="2712"/>
      <c r="N35" s="2712"/>
      <c r="O35" s="2770"/>
      <c r="P35" s="3699"/>
      <c r="Q35" s="1350" t="str">
        <f t="shared" ref="Q35:Q40" si="14">B35</f>
        <v>宗地形状</v>
      </c>
      <c r="R35" s="703" t="s">
        <v>14</v>
      </c>
      <c r="S35" s="704">
        <f t="shared" si="10"/>
        <v>100</v>
      </c>
      <c r="T35" s="703" t="s">
        <v>14</v>
      </c>
      <c r="U35" s="704">
        <f t="shared" si="11"/>
        <v>100</v>
      </c>
      <c r="V35" s="703" t="s">
        <v>14</v>
      </c>
      <c r="W35" s="704">
        <f t="shared" si="12"/>
        <v>100</v>
      </c>
      <c r="X35" s="1353"/>
      <c r="Y35" s="3699"/>
      <c r="Z35" s="1354" t="str">
        <f t="shared" si="13"/>
        <v>宗地形状</v>
      </c>
      <c r="AA35" s="1351">
        <f t="shared" si="3"/>
        <v>1</v>
      </c>
      <c r="AB35" s="1351">
        <f t="shared" si="4"/>
        <v>1</v>
      </c>
      <c r="AC35" s="1351">
        <f t="shared" si="5"/>
        <v>1</v>
      </c>
    </row>
    <row r="36" spans="1:31" s="107"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3"/>
      <c r="M36" s="2714"/>
      <c r="N36" s="2714"/>
      <c r="O36" s="2768"/>
      <c r="P36" s="3699"/>
      <c r="Q36" s="1350" t="str">
        <f t="shared" si="14"/>
        <v>宗地开发程度</v>
      </c>
      <c r="R36" s="699" t="s">
        <v>14</v>
      </c>
      <c r="S36" s="700">
        <f t="shared" si="10"/>
        <v>100</v>
      </c>
      <c r="T36" s="699" t="s">
        <v>14</v>
      </c>
      <c r="U36" s="700">
        <f t="shared" si="11"/>
        <v>100</v>
      </c>
      <c r="V36" s="699" t="s">
        <v>14</v>
      </c>
      <c r="W36" s="700">
        <f t="shared" si="12"/>
        <v>100</v>
      </c>
      <c r="X36" s="701"/>
      <c r="Y36" s="3699"/>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8"/>
      <c r="M37" s="2712"/>
      <c r="N37" s="2712"/>
      <c r="O37" s="2770"/>
      <c r="P37" s="3699" t="s">
        <v>1696</v>
      </c>
      <c r="Q37" s="1350" t="str">
        <f t="shared" si="14"/>
        <v>工程地质条件</v>
      </c>
      <c r="R37" s="703" t="s">
        <v>14</v>
      </c>
      <c r="S37" s="704">
        <f t="shared" si="10"/>
        <v>100</v>
      </c>
      <c r="T37" s="703" t="s">
        <v>14</v>
      </c>
      <c r="U37" s="704">
        <f t="shared" si="11"/>
        <v>100</v>
      </c>
      <c r="V37" s="703" t="s">
        <v>14</v>
      </c>
      <c r="W37" s="704">
        <f t="shared" si="12"/>
        <v>100</v>
      </c>
      <c r="X37" s="1353"/>
      <c r="Y37" s="3699"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699"/>
      <c r="Q38" s="1350">
        <f t="shared" si="14"/>
        <v>111</v>
      </c>
      <c r="R38" s="703" t="s">
        <v>14</v>
      </c>
      <c r="S38" s="704">
        <f t="shared" si="10"/>
        <v>100</v>
      </c>
      <c r="T38" s="703" t="s">
        <v>14</v>
      </c>
      <c r="U38" s="704">
        <f t="shared" si="11"/>
        <v>100</v>
      </c>
      <c r="V38" s="703" t="s">
        <v>14</v>
      </c>
      <c r="W38" s="704">
        <f t="shared" si="12"/>
        <v>100</v>
      </c>
      <c r="X38" s="1353"/>
      <c r="Y38" s="3699"/>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699"/>
      <c r="Q39" s="1350">
        <f t="shared" si="14"/>
        <v>111</v>
      </c>
      <c r="R39" s="703" t="s">
        <v>14</v>
      </c>
      <c r="S39" s="704">
        <f t="shared" si="10"/>
        <v>100</v>
      </c>
      <c r="T39" s="703" t="s">
        <v>14</v>
      </c>
      <c r="U39" s="704">
        <f t="shared" si="11"/>
        <v>100</v>
      </c>
      <c r="V39" s="703" t="s">
        <v>14</v>
      </c>
      <c r="W39" s="704">
        <f t="shared" si="12"/>
        <v>100</v>
      </c>
      <c r="X39" s="1353"/>
      <c r="Y39" s="3699"/>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699"/>
      <c r="Q40" s="1350">
        <f t="shared" si="14"/>
        <v>111</v>
      </c>
      <c r="R40" s="706" t="s">
        <v>14</v>
      </c>
      <c r="S40" s="707">
        <f t="shared" si="10"/>
        <v>100</v>
      </c>
      <c r="T40" s="706" t="s">
        <v>14</v>
      </c>
      <c r="U40" s="707">
        <f t="shared" si="11"/>
        <v>100</v>
      </c>
      <c r="V40" s="706" t="s">
        <v>14</v>
      </c>
      <c r="W40" s="707">
        <f t="shared" si="12"/>
        <v>100</v>
      </c>
      <c r="X40" s="708"/>
      <c r="Y40" s="3699"/>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0"/>
      <c r="M41" s="2712"/>
      <c r="N41" s="2712"/>
      <c r="O41" s="2721"/>
      <c r="P41" s="3692" t="str">
        <f>A41</f>
        <v>成交单价</v>
      </c>
      <c r="Q41" s="3692"/>
      <c r="R41" s="3723">
        <f>E41</f>
        <v>0</v>
      </c>
      <c r="S41" s="3723"/>
      <c r="T41" s="3723">
        <f>G41</f>
        <v>0</v>
      </c>
      <c r="U41" s="3723"/>
      <c r="V41" s="3723">
        <f>I41</f>
        <v>0</v>
      </c>
      <c r="W41" s="3723"/>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0"/>
      <c r="M42" s="2712"/>
      <c r="N42" s="2712"/>
      <c r="O42" s="2721"/>
      <c r="P42" s="3692" t="str">
        <f>A42</f>
        <v>比较价值（元/平方米）</v>
      </c>
      <c r="Q42" s="3692"/>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0"/>
      <c r="M43" s="2712"/>
      <c r="N43" s="2712"/>
      <c r="O43" s="2721"/>
      <c r="P43" s="3689" t="str">
        <f>A43</f>
        <v>估价对象XX用房的比较价值（楼面单价，元/平方米）</v>
      </c>
      <c r="Q43" s="3690"/>
      <c r="R43" s="3753" t="e">
        <f>ROUND(IF(D42="简单平均",AVERAGE(R42:W42),R42*F42+T42*H42+V42*J42),0)</f>
        <v>#DIV/0!</v>
      </c>
      <c r="S43" s="3753"/>
      <c r="T43" s="3753"/>
      <c r="U43" s="3753"/>
      <c r="V43" s="3753"/>
      <c r="W43" s="3753"/>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1" t="s">
        <v>1883</v>
      </c>
      <c r="D50" s="1982" t="s">
        <v>1884</v>
      </c>
      <c r="E50" s="632" t="s">
        <v>1885</v>
      </c>
      <c r="F50" s="633" t="s">
        <v>1886</v>
      </c>
      <c r="G50" s="3707" t="s">
        <v>1887</v>
      </c>
      <c r="H50" s="3754"/>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2">
        <v>1</v>
      </c>
      <c r="E51" s="636">
        <f>'数据-汇总表'!E8+'数据-汇总表'!E9</f>
        <v>5308.35</v>
      </c>
      <c r="F51" s="637" t="e">
        <f t="shared" ref="F51:F60" si="15">ROUND(B51*E51/10000,0)</f>
        <v>#DIV/0!</v>
      </c>
      <c r="G51" s="3703"/>
      <c r="H51" s="3692"/>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3">
        <v>0.25</v>
      </c>
      <c r="E52" s="640"/>
      <c r="F52" s="637"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3">
        <v>0.25</v>
      </c>
      <c r="E53" s="640"/>
      <c r="F53" s="637"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3">
        <v>0.25</v>
      </c>
      <c r="E54" s="640"/>
      <c r="F54" s="637"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3">
        <v>0.25</v>
      </c>
      <c r="E56" s="215">
        <f>'数据-汇总表'!E11</f>
        <v>0</v>
      </c>
      <c r="F56" s="637"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3">
        <v>0.25</v>
      </c>
      <c r="E60" s="215">
        <f>'数据-汇总表'!E15</f>
        <v>0</v>
      </c>
      <c r="F60" s="637"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7248.99</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5"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2" t="s">
        <v>1716</v>
      </c>
      <c r="B67" s="463"/>
      <c r="C67" s="464"/>
      <c r="D67" s="465"/>
      <c r="E67" s="465"/>
      <c r="F67" s="465"/>
      <c r="G67" s="465"/>
      <c r="H67" s="465"/>
      <c r="I67" s="465"/>
      <c r="J67" s="465"/>
      <c r="K67" s="465"/>
      <c r="L67" s="465"/>
      <c r="M67" s="466"/>
      <c r="N67" s="466"/>
      <c r="O67" s="467"/>
      <c r="P67" s="2735"/>
      <c r="Q67" s="2735"/>
      <c r="R67" s="2657"/>
      <c r="S67" s="2657"/>
      <c r="T67" s="2657"/>
      <c r="U67" s="2657"/>
      <c r="V67" s="2657"/>
      <c r="W67" s="2657"/>
      <c r="X67" s="2657"/>
      <c r="Y67" s="2657"/>
      <c r="Z67" s="2657"/>
      <c r="AA67" s="2657"/>
      <c r="AB67" s="2657"/>
      <c r="AC67" s="2657"/>
      <c r="AD67" s="2657"/>
      <c r="AE67" s="2657"/>
    </row>
    <row r="68" spans="1:31" s="107" customFormat="1" ht="15">
      <c r="A68" s="468" t="s">
        <v>1681</v>
      </c>
      <c r="B68" s="457"/>
      <c r="C68" s="469" t="s">
        <v>1776</v>
      </c>
      <c r="D68" s="470"/>
      <c r="E68" s="470"/>
      <c r="F68" s="470"/>
      <c r="G68" s="470"/>
      <c r="H68" s="470"/>
      <c r="I68" s="470"/>
      <c r="J68" s="470"/>
      <c r="K68" s="470"/>
      <c r="L68" s="471"/>
      <c r="M68" s="472"/>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8"/>
      <c r="B69" s="457"/>
      <c r="C69" s="585">
        <v>100</v>
      </c>
      <c r="D69" s="459"/>
      <c r="E69" s="459"/>
      <c r="F69" s="459"/>
      <c r="G69" s="459"/>
      <c r="H69" s="459"/>
      <c r="I69" s="459"/>
      <c r="J69" s="459"/>
      <c r="K69" s="459"/>
      <c r="L69" s="459"/>
      <c r="M69" s="461"/>
      <c r="N69" s="2748"/>
      <c r="O69" s="2748"/>
      <c r="P69" s="2735"/>
      <c r="Q69" s="2735"/>
      <c r="R69" s="2657"/>
      <c r="S69" s="2657"/>
      <c r="T69" s="2657"/>
      <c r="U69" s="2657"/>
      <c r="V69" s="2657"/>
      <c r="W69" s="2657"/>
      <c r="X69" s="2657"/>
      <c r="Y69" s="2657"/>
      <c r="Z69" s="2657"/>
      <c r="AA69" s="2657"/>
      <c r="AB69" s="2657"/>
      <c r="AC69" s="2657"/>
      <c r="AD69" s="2657"/>
      <c r="AE69" s="2657"/>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7"/>
      <c r="S90" s="2657"/>
      <c r="T90" s="2657"/>
      <c r="U90" s="2657"/>
      <c r="V90" s="2657"/>
      <c r="W90" s="2657"/>
      <c r="X90" s="2657"/>
      <c r="Y90" s="2657"/>
      <c r="Z90" s="2657"/>
      <c r="AA90" s="2657"/>
      <c r="AB90" s="2657"/>
      <c r="AC90" s="2657"/>
      <c r="AD90" s="2657"/>
      <c r="AE90" s="2657"/>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62" t="s">
        <v>2084</v>
      </c>
      <c r="D1" s="3763"/>
      <c r="E1" s="3763"/>
      <c r="F1" s="3763"/>
      <c r="G1" s="3763"/>
      <c r="H1" s="3763"/>
      <c r="I1" s="3763"/>
      <c r="J1" s="3763"/>
      <c r="K1" s="3763"/>
      <c r="L1" s="3763"/>
      <c r="M1" s="3763"/>
      <c r="N1" s="3763"/>
      <c r="O1" s="3763"/>
      <c r="P1" s="3763"/>
      <c r="Q1" s="3763"/>
      <c r="R1" s="3763"/>
      <c r="S1" s="3764"/>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59" t="s">
        <v>27</v>
      </c>
      <c r="D22" s="3760"/>
      <c r="E22" s="3760"/>
      <c r="F22" s="3760"/>
      <c r="G22" s="3760"/>
      <c r="H22" s="3760"/>
      <c r="I22" s="3760"/>
      <c r="J22" s="3760"/>
      <c r="K22" s="3760"/>
      <c r="L22" s="3760"/>
      <c r="M22" s="3760"/>
      <c r="N22" s="3760"/>
      <c r="O22" s="3760"/>
      <c r="P22" s="3760"/>
      <c r="Q22" s="3761"/>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8">
        <f ca="1">SUMIF(B6:B13,"&lt;&gt;#ref!",B6:B13)</f>
        <v>391</v>
      </c>
      <c r="C2" s="2143" t="s">
        <v>2074</v>
      </c>
      <c r="D2" s="2143" t="s">
        <v>2075</v>
      </c>
      <c r="E2" s="2608">
        <f ca="1">SUMIF(E6:E13,"&lt;&gt;#ref!",E6:E13)</f>
        <v>7248.99</v>
      </c>
      <c r="F2" s="2789"/>
      <c r="G2" s="2789"/>
      <c r="H2" s="2789"/>
      <c r="I2" s="2789"/>
      <c r="J2" s="2789"/>
      <c r="K2" s="2789"/>
      <c r="L2" s="2789"/>
      <c r="M2" s="2789"/>
      <c r="N2" s="2789"/>
      <c r="O2" s="2789"/>
      <c r="P2" s="2789"/>
    </row>
    <row r="3" spans="1:16" ht="15.75">
      <c r="A3" s="2143" t="s">
        <v>2076</v>
      </c>
      <c r="B3" s="2598">
        <f ca="1">ROUND(B2*10000/E2,0)</f>
        <v>539</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4"/>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391</v>
      </c>
      <c r="C6" s="2143" t="s">
        <v>2074</v>
      </c>
      <c r="D6" s="2789"/>
      <c r="E6" s="2608">
        <f ca="1">SUMIF(INDIRECT("'"&amp;A6&amp;"'"&amp;"!C:C"),"建筑面积",INDIRECT("'"&amp;A6&amp;"'"&amp;"!D:D"))</f>
        <v>7248.99</v>
      </c>
      <c r="F6" s="2789"/>
      <c r="G6" s="2789"/>
      <c r="H6" s="2789"/>
      <c r="I6" s="2789"/>
      <c r="J6" s="2789"/>
      <c r="K6" s="2789"/>
      <c r="L6" s="2789"/>
      <c r="M6" s="2789"/>
      <c r="N6" s="2789"/>
      <c r="O6" s="2789"/>
      <c r="P6" s="2789"/>
    </row>
    <row r="7" spans="1:16" ht="15.75">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74" t="s">
        <v>2608</v>
      </c>
      <c r="B20" s="3769" t="s">
        <v>2629</v>
      </c>
      <c r="C20" s="3099" t="s">
        <v>2440</v>
      </c>
      <c r="D20" s="3100"/>
      <c r="E20" s="3101">
        <v>1</v>
      </c>
      <c r="F20" s="3102" t="s">
        <v>2441</v>
      </c>
      <c r="G20" s="3102"/>
    </row>
    <row r="21" spans="1:13" ht="19.5" customHeight="1">
      <c r="A21" s="3775"/>
      <c r="B21" s="3768"/>
      <c r="C21" s="3103" t="s">
        <v>2442</v>
      </c>
      <c r="D21" s="3104"/>
      <c r="E21" s="3105">
        <v>1</v>
      </c>
      <c r="F21" s="3102" t="s">
        <v>2443</v>
      </c>
      <c r="G21" s="3102"/>
    </row>
    <row r="22" spans="1:13" ht="19.5" customHeight="1">
      <c r="A22" s="3775"/>
      <c r="B22" s="3768"/>
      <c r="C22" s="3103" t="s">
        <v>2444</v>
      </c>
      <c r="D22" s="3104"/>
      <c r="E22" s="3105">
        <v>0.9</v>
      </c>
      <c r="F22" s="3102" t="s">
        <v>2445</v>
      </c>
      <c r="G22" s="3102"/>
    </row>
    <row r="23" spans="1:13" ht="19.5" customHeight="1">
      <c r="A23" s="3775"/>
      <c r="B23" s="3768"/>
      <c r="C23" s="3103" t="s">
        <v>2446</v>
      </c>
      <c r="D23" s="3104"/>
      <c r="E23" s="3105">
        <v>0.9</v>
      </c>
      <c r="F23" s="3102" t="s">
        <v>2447</v>
      </c>
      <c r="G23" s="3102"/>
    </row>
    <row r="24" spans="1:13" ht="19.5" customHeight="1">
      <c r="A24" s="3775"/>
      <c r="B24" s="3768"/>
      <c r="C24" s="3103" t="s">
        <v>2448</v>
      </c>
      <c r="D24" s="3104"/>
      <c r="E24" s="3105">
        <v>0.8</v>
      </c>
      <c r="F24" s="3102" t="s">
        <v>2449</v>
      </c>
      <c r="G24" s="3102"/>
    </row>
    <row r="25" spans="1:13" ht="19.5" customHeight="1" thickBot="1">
      <c r="A25" s="3776"/>
      <c r="B25" s="3770"/>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71" t="s">
        <v>2632</v>
      </c>
      <c r="B27" s="3769" t="s">
        <v>2613</v>
      </c>
      <c r="C27" s="3099" t="s">
        <v>2453</v>
      </c>
      <c r="D27" s="3100"/>
      <c r="E27" s="3101">
        <v>1</v>
      </c>
      <c r="F27" s="3102" t="s">
        <v>2454</v>
      </c>
      <c r="G27" s="3102"/>
    </row>
    <row r="28" spans="1:13" ht="19.5" customHeight="1">
      <c r="A28" s="3772"/>
      <c r="B28" s="3768"/>
      <c r="C28" s="3103" t="s">
        <v>2455</v>
      </c>
      <c r="D28" s="3104"/>
      <c r="E28" s="3105">
        <v>1</v>
      </c>
      <c r="F28" s="3102" t="s">
        <v>2456</v>
      </c>
      <c r="G28" s="3102"/>
    </row>
    <row r="29" spans="1:13" ht="19.5" customHeight="1">
      <c r="A29" s="3772"/>
      <c r="B29" s="3768"/>
      <c r="C29" s="3103" t="s">
        <v>2457</v>
      </c>
      <c r="D29" s="3104"/>
      <c r="E29" s="3105">
        <v>0.8</v>
      </c>
      <c r="F29" s="3102" t="s">
        <v>2458</v>
      </c>
      <c r="G29" s="3102"/>
    </row>
    <row r="30" spans="1:13" ht="19.5" customHeight="1">
      <c r="A30" s="3772"/>
      <c r="B30" s="3768"/>
      <c r="C30" s="3103" t="s">
        <v>2459</v>
      </c>
      <c r="D30" s="3104"/>
      <c r="E30" s="3105">
        <v>0.8</v>
      </c>
      <c r="F30" s="3102" t="s">
        <v>2460</v>
      </c>
      <c r="G30" s="3102"/>
    </row>
    <row r="31" spans="1:13" ht="19.5" customHeight="1">
      <c r="A31" s="3772"/>
      <c r="B31" s="3768"/>
      <c r="C31" s="3103" t="s">
        <v>2461</v>
      </c>
      <c r="D31" s="3104"/>
      <c r="E31" s="3105">
        <v>0.8</v>
      </c>
      <c r="F31" s="3102" t="s">
        <v>2462</v>
      </c>
      <c r="G31" s="3102"/>
    </row>
    <row r="32" spans="1:13" ht="19.5" customHeight="1">
      <c r="A32" s="3772"/>
      <c r="B32" s="3768"/>
      <c r="C32" s="3103" t="s">
        <v>2463</v>
      </c>
      <c r="D32" s="3104"/>
      <c r="E32" s="3105">
        <v>0.7</v>
      </c>
      <c r="F32" s="3102" t="s">
        <v>2464</v>
      </c>
      <c r="G32" s="3102"/>
    </row>
    <row r="33" spans="1:7" ht="19.5" customHeight="1">
      <c r="A33" s="3772"/>
      <c r="B33" s="3768"/>
      <c r="C33" s="3103" t="s">
        <v>2465</v>
      </c>
      <c r="D33" s="3104"/>
      <c r="E33" s="3105">
        <v>0.8</v>
      </c>
      <c r="F33" s="3102" t="s">
        <v>2466</v>
      </c>
      <c r="G33" s="3102"/>
    </row>
    <row r="34" spans="1:7" ht="19.5" customHeight="1">
      <c r="A34" s="3772"/>
      <c r="B34" s="3768"/>
      <c r="C34" s="3103" t="s">
        <v>2467</v>
      </c>
      <c r="D34" s="3104"/>
      <c r="E34" s="3105">
        <v>0.6</v>
      </c>
      <c r="F34" s="3102" t="s">
        <v>2468</v>
      </c>
      <c r="G34" s="3102"/>
    </row>
    <row r="35" spans="1:7" ht="19.5" customHeight="1">
      <c r="A35" s="3772"/>
      <c r="B35" s="3768"/>
      <c r="C35" s="3103" t="s">
        <v>2469</v>
      </c>
      <c r="D35" s="3104"/>
      <c r="E35" s="3105">
        <v>0.2</v>
      </c>
      <c r="F35" s="3102" t="s">
        <v>2470</v>
      </c>
      <c r="G35" s="3102"/>
    </row>
    <row r="36" spans="1:7" ht="19.5" customHeight="1">
      <c r="A36" s="3772"/>
      <c r="B36" s="3768"/>
      <c r="C36" s="3103" t="s">
        <v>2471</v>
      </c>
      <c r="D36" s="3104"/>
      <c r="E36" s="3105">
        <v>0.2</v>
      </c>
      <c r="F36" s="3102" t="s">
        <v>2472</v>
      </c>
      <c r="G36" s="3102"/>
    </row>
    <row r="37" spans="1:7" ht="19.5" customHeight="1">
      <c r="A37" s="3772"/>
      <c r="B37" s="3766" t="s">
        <v>2633</v>
      </c>
      <c r="C37" s="3103" t="s">
        <v>2473</v>
      </c>
      <c r="D37" s="3104"/>
      <c r="E37" s="3105">
        <v>0.6</v>
      </c>
      <c r="F37" s="3102" t="s">
        <v>2474</v>
      </c>
      <c r="G37" s="3102"/>
    </row>
    <row r="38" spans="1:7" ht="19.5" customHeight="1">
      <c r="A38" s="3772"/>
      <c r="B38" s="3768"/>
      <c r="C38" s="3103" t="s">
        <v>2475</v>
      </c>
      <c r="D38" s="3104"/>
      <c r="E38" s="3105">
        <v>0.6</v>
      </c>
      <c r="F38" s="3102" t="s">
        <v>2476</v>
      </c>
      <c r="G38" s="3102"/>
    </row>
    <row r="39" spans="1:7" ht="19.5" customHeight="1" thickBot="1">
      <c r="A39" s="3773"/>
      <c r="B39" s="3770"/>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74" t="s">
        <v>2611</v>
      </c>
      <c r="B41" s="3769" t="s">
        <v>2635</v>
      </c>
      <c r="C41" s="3099" t="s">
        <v>2480</v>
      </c>
      <c r="D41" s="3100"/>
      <c r="E41" s="3101">
        <v>1</v>
      </c>
      <c r="F41" s="3102" t="s">
        <v>2481</v>
      </c>
      <c r="G41" s="3102"/>
    </row>
    <row r="42" spans="1:7" ht="19.5" customHeight="1">
      <c r="A42" s="3775"/>
      <c r="B42" s="3768"/>
      <c r="C42" s="3103" t="s">
        <v>2482</v>
      </c>
      <c r="D42" s="3104"/>
      <c r="E42" s="3105">
        <v>1</v>
      </c>
      <c r="F42" s="3102" t="s">
        <v>2483</v>
      </c>
      <c r="G42" s="3102"/>
    </row>
    <row r="43" spans="1:7" ht="19.5" customHeight="1">
      <c r="A43" s="3775"/>
      <c r="B43" s="3767"/>
      <c r="C43" s="3103" t="s">
        <v>2484</v>
      </c>
      <c r="D43" s="3104"/>
      <c r="E43" s="3105">
        <v>1.5</v>
      </c>
      <c r="F43" s="3102" t="s">
        <v>2485</v>
      </c>
      <c r="G43" s="3102"/>
    </row>
    <row r="44" spans="1:7" ht="19.5" customHeight="1">
      <c r="A44" s="3775"/>
      <c r="B44" s="3114" t="s">
        <v>2636</v>
      </c>
      <c r="C44" s="3103" t="s">
        <v>2637</v>
      </c>
      <c r="D44" s="3104"/>
      <c r="E44" s="3105">
        <v>2</v>
      </c>
      <c r="F44" s="3102" t="s">
        <v>2486</v>
      </c>
      <c r="G44" s="3102"/>
    </row>
    <row r="45" spans="1:7" ht="19.5" customHeight="1">
      <c r="A45" s="3775"/>
      <c r="B45" s="3766" t="s">
        <v>2638</v>
      </c>
      <c r="C45" s="3103" t="s">
        <v>2487</v>
      </c>
      <c r="D45" s="3104"/>
      <c r="E45" s="3105">
        <v>1</v>
      </c>
      <c r="F45" s="3102" t="s">
        <v>2488</v>
      </c>
      <c r="G45" s="3102"/>
    </row>
    <row r="46" spans="1:7" ht="19.5" customHeight="1">
      <c r="A46" s="3775"/>
      <c r="B46" s="3768"/>
      <c r="C46" s="3103" t="s">
        <v>2489</v>
      </c>
      <c r="D46" s="3104"/>
      <c r="E46" s="3105">
        <v>1</v>
      </c>
      <c r="F46" s="3102" t="s">
        <v>2490</v>
      </c>
      <c r="G46" s="3102"/>
    </row>
    <row r="47" spans="1:7" ht="19.5" customHeight="1">
      <c r="A47" s="3775"/>
      <c r="B47" s="3768"/>
      <c r="C47" s="3103" t="s">
        <v>2491</v>
      </c>
      <c r="D47" s="3104"/>
      <c r="E47" s="3105">
        <v>1</v>
      </c>
      <c r="F47" s="3102" t="s">
        <v>2492</v>
      </c>
      <c r="G47" s="3102"/>
    </row>
    <row r="48" spans="1:7" ht="19.5" customHeight="1">
      <c r="A48" s="3775"/>
      <c r="B48" s="3768"/>
      <c r="C48" s="3103" t="s">
        <v>2493</v>
      </c>
      <c r="D48" s="3104"/>
      <c r="E48" s="3105">
        <v>1</v>
      </c>
      <c r="F48" s="3102" t="s">
        <v>2494</v>
      </c>
      <c r="G48" s="3102"/>
    </row>
    <row r="49" spans="1:7" ht="19.5" customHeight="1">
      <c r="A49" s="3775"/>
      <c r="B49" s="3768"/>
      <c r="C49" s="3103" t="s">
        <v>2495</v>
      </c>
      <c r="D49" s="3104"/>
      <c r="E49" s="3105">
        <v>1</v>
      </c>
      <c r="F49" s="3102" t="s">
        <v>2496</v>
      </c>
      <c r="G49" s="3102"/>
    </row>
    <row r="50" spans="1:7" ht="19.5" customHeight="1">
      <c r="A50" s="3775"/>
      <c r="B50" s="3768"/>
      <c r="C50" s="3103" t="s">
        <v>2497</v>
      </c>
      <c r="D50" s="3104"/>
      <c r="E50" s="3105">
        <v>1</v>
      </c>
      <c r="F50" s="3102" t="s">
        <v>2498</v>
      </c>
      <c r="G50" s="3102"/>
    </row>
    <row r="51" spans="1:7" ht="19.5" customHeight="1" thickBot="1">
      <c r="A51" s="3776"/>
      <c r="B51" s="3770"/>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66" t="s">
        <v>2652</v>
      </c>
      <c r="C73" s="3088" t="s">
        <v>2653</v>
      </c>
      <c r="D73" s="3088" t="s">
        <v>2654</v>
      </c>
      <c r="E73" s="3114">
        <v>0.2</v>
      </c>
      <c r="F73" s="3114">
        <v>25</v>
      </c>
    </row>
    <row r="74" spans="1:7" ht="24">
      <c r="A74" s="3114">
        <v>2</v>
      </c>
      <c r="B74" s="3768"/>
      <c r="C74" s="3088" t="s">
        <v>2655</v>
      </c>
      <c r="D74" s="3088" t="s">
        <v>2656</v>
      </c>
      <c r="E74" s="3114">
        <v>0.2</v>
      </c>
      <c r="F74" s="3114">
        <v>25</v>
      </c>
    </row>
    <row r="75" spans="1:7" ht="24">
      <c r="A75" s="3114">
        <v>3</v>
      </c>
      <c r="B75" s="3768"/>
      <c r="C75" s="3088" t="s">
        <v>2657</v>
      </c>
      <c r="D75" s="3088" t="s">
        <v>2658</v>
      </c>
      <c r="E75" s="3114">
        <v>0.2</v>
      </c>
      <c r="F75" s="3114">
        <v>25</v>
      </c>
    </row>
    <row r="76" spans="1:7" ht="13.5">
      <c r="A76" s="3114">
        <v>4</v>
      </c>
      <c r="B76" s="3768"/>
      <c r="C76" s="3088" t="s">
        <v>2659</v>
      </c>
      <c r="D76" s="3088" t="s">
        <v>2660</v>
      </c>
      <c r="E76" s="3114">
        <v>0.15</v>
      </c>
      <c r="F76" s="3114">
        <v>20</v>
      </c>
    </row>
    <row r="77" spans="1:7" ht="24">
      <c r="A77" s="3114">
        <v>5</v>
      </c>
      <c r="B77" s="3768"/>
      <c r="C77" s="3088" t="s">
        <v>2661</v>
      </c>
      <c r="D77" s="3088" t="s">
        <v>2662</v>
      </c>
      <c r="E77" s="3114">
        <v>0.15</v>
      </c>
      <c r="F77" s="3114">
        <v>20</v>
      </c>
    </row>
    <row r="78" spans="1:7" ht="24">
      <c r="A78" s="3114">
        <v>6</v>
      </c>
      <c r="B78" s="3768"/>
      <c r="C78" s="3088" t="s">
        <v>2663</v>
      </c>
      <c r="D78" s="3088" t="s">
        <v>2664</v>
      </c>
      <c r="E78" s="3114">
        <v>0.15</v>
      </c>
      <c r="F78" s="3114">
        <v>20</v>
      </c>
    </row>
    <row r="79" spans="1:7" ht="24">
      <c r="A79" s="3114">
        <v>7</v>
      </c>
      <c r="B79" s="3768"/>
      <c r="C79" s="3088" t="s">
        <v>2665</v>
      </c>
      <c r="D79" s="3088" t="s">
        <v>2666</v>
      </c>
      <c r="E79" s="3114">
        <v>0.15</v>
      </c>
      <c r="F79" s="3114">
        <v>20</v>
      </c>
    </row>
    <row r="80" spans="1:7" ht="24">
      <c r="A80" s="3114">
        <v>8</v>
      </c>
      <c r="B80" s="3768"/>
      <c r="C80" s="3088" t="s">
        <v>2667</v>
      </c>
      <c r="D80" s="3088" t="s">
        <v>2668</v>
      </c>
      <c r="E80" s="3114">
        <v>0.1</v>
      </c>
      <c r="F80" s="3114">
        <v>15</v>
      </c>
    </row>
    <row r="81" spans="1:6" ht="24">
      <c r="A81" s="3114">
        <v>9</v>
      </c>
      <c r="B81" s="3768"/>
      <c r="C81" s="3088" t="s">
        <v>2669</v>
      </c>
      <c r="D81" s="3088" t="s">
        <v>2670</v>
      </c>
      <c r="E81" s="3114">
        <v>0.1</v>
      </c>
      <c r="F81" s="3114">
        <v>15</v>
      </c>
    </row>
    <row r="82" spans="1:6" ht="24">
      <c r="A82" s="3114">
        <v>10</v>
      </c>
      <c r="B82" s="3768"/>
      <c r="C82" s="3088" t="s">
        <v>2671</v>
      </c>
      <c r="D82" s="3088" t="s">
        <v>2672</v>
      </c>
      <c r="E82" s="3114">
        <v>0.1</v>
      </c>
      <c r="F82" s="3114">
        <v>15</v>
      </c>
    </row>
    <row r="83" spans="1:6" ht="24">
      <c r="A83" s="3114">
        <v>11</v>
      </c>
      <c r="B83" s="3768"/>
      <c r="C83" s="3088" t="s">
        <v>2673</v>
      </c>
      <c r="D83" s="3088" t="s">
        <v>2674</v>
      </c>
      <c r="E83" s="3114">
        <v>0.1</v>
      </c>
      <c r="F83" s="3114">
        <v>15</v>
      </c>
    </row>
    <row r="84" spans="1:6" ht="24">
      <c r="A84" s="3114">
        <v>12</v>
      </c>
      <c r="B84" s="3768"/>
      <c r="C84" s="3088" t="s">
        <v>2675</v>
      </c>
      <c r="D84" s="3088" t="s">
        <v>2676</v>
      </c>
      <c r="E84" s="3114">
        <v>0.1</v>
      </c>
      <c r="F84" s="3114">
        <v>15</v>
      </c>
    </row>
    <row r="85" spans="1:6" ht="13.5">
      <c r="A85" s="3114">
        <v>13</v>
      </c>
      <c r="B85" s="3768"/>
      <c r="C85" s="3088" t="s">
        <v>2677</v>
      </c>
      <c r="D85" s="3088" t="s">
        <v>2678</v>
      </c>
      <c r="E85" s="3114">
        <v>0.1</v>
      </c>
      <c r="F85" s="3114">
        <v>15</v>
      </c>
    </row>
    <row r="86" spans="1:6" ht="13.5">
      <c r="A86" s="3114">
        <v>14</v>
      </c>
      <c r="B86" s="3768"/>
      <c r="C86" s="3088" t="s">
        <v>2679</v>
      </c>
      <c r="D86" s="3088" t="s">
        <v>2680</v>
      </c>
      <c r="E86" s="3114">
        <v>0.1</v>
      </c>
      <c r="F86" s="3114">
        <v>15</v>
      </c>
    </row>
    <row r="87" spans="1:6" ht="13.5">
      <c r="A87" s="3114">
        <v>15</v>
      </c>
      <c r="B87" s="3768"/>
      <c r="C87" s="3088" t="s">
        <v>2681</v>
      </c>
      <c r="D87" s="3088" t="s">
        <v>2682</v>
      </c>
      <c r="E87" s="3114">
        <v>0.1</v>
      </c>
      <c r="F87" s="3114">
        <v>15</v>
      </c>
    </row>
    <row r="88" spans="1:6" ht="24">
      <c r="A88" s="3114">
        <v>16</v>
      </c>
      <c r="B88" s="3768"/>
      <c r="C88" s="3088" t="s">
        <v>2683</v>
      </c>
      <c r="D88" s="3088" t="s">
        <v>2684</v>
      </c>
      <c r="E88" s="3114">
        <v>0.1</v>
      </c>
      <c r="F88" s="3114">
        <v>15</v>
      </c>
    </row>
    <row r="89" spans="1:6" ht="24">
      <c r="A89" s="3114">
        <v>17</v>
      </c>
      <c r="B89" s="3767"/>
      <c r="C89" s="3088" t="s">
        <v>2685</v>
      </c>
      <c r="D89" s="3088" t="s">
        <v>2686</v>
      </c>
      <c r="E89" s="3114">
        <v>0.1</v>
      </c>
      <c r="F89" s="3114">
        <v>15</v>
      </c>
    </row>
    <row r="90" spans="1:6" ht="13.5">
      <c r="A90" s="3114">
        <v>18</v>
      </c>
      <c r="B90" s="3766" t="s">
        <v>2687</v>
      </c>
      <c r="C90" s="3088" t="s">
        <v>2688</v>
      </c>
      <c r="D90" s="3088" t="s">
        <v>2689</v>
      </c>
      <c r="E90" s="3114">
        <v>0.2</v>
      </c>
      <c r="F90" s="3114">
        <v>25</v>
      </c>
    </row>
    <row r="91" spans="1:6" ht="24">
      <c r="A91" s="3114">
        <v>19</v>
      </c>
      <c r="B91" s="3768"/>
      <c r="C91" s="3088" t="s">
        <v>2690</v>
      </c>
      <c r="D91" s="3088" t="s">
        <v>2691</v>
      </c>
      <c r="E91" s="3114">
        <v>0.2</v>
      </c>
      <c r="F91" s="3114">
        <v>25</v>
      </c>
    </row>
    <row r="92" spans="1:6" ht="13.5">
      <c r="A92" s="3114">
        <v>20</v>
      </c>
      <c r="B92" s="3768"/>
      <c r="C92" s="3088" t="s">
        <v>2692</v>
      </c>
      <c r="D92" s="3088" t="s">
        <v>2693</v>
      </c>
      <c r="E92" s="3114">
        <v>0.15</v>
      </c>
      <c r="F92" s="3114">
        <v>20</v>
      </c>
    </row>
    <row r="93" spans="1:6" ht="13.5">
      <c r="A93" s="3114">
        <v>21</v>
      </c>
      <c r="B93" s="3768"/>
      <c r="C93" s="3088" t="s">
        <v>2694</v>
      </c>
      <c r="D93" s="3088" t="s">
        <v>2695</v>
      </c>
      <c r="E93" s="3114">
        <v>0.15</v>
      </c>
      <c r="F93" s="3114">
        <v>20</v>
      </c>
    </row>
    <row r="94" spans="1:6" ht="13.5">
      <c r="A94" s="3114">
        <v>22</v>
      </c>
      <c r="B94" s="3768"/>
      <c r="C94" s="3088" t="s">
        <v>2696</v>
      </c>
      <c r="D94" s="3088" t="s">
        <v>2697</v>
      </c>
      <c r="E94" s="3114">
        <v>0.15</v>
      </c>
      <c r="F94" s="3114">
        <v>20</v>
      </c>
    </row>
    <row r="95" spans="1:6" ht="36">
      <c r="A95" s="3114">
        <v>23</v>
      </c>
      <c r="B95" s="3768"/>
      <c r="C95" s="3088" t="s">
        <v>2698</v>
      </c>
      <c r="D95" s="3088" t="s">
        <v>2699</v>
      </c>
      <c r="E95" s="3114">
        <v>0.15</v>
      </c>
      <c r="F95" s="3114">
        <v>20</v>
      </c>
    </row>
    <row r="96" spans="1:6" ht="13.5">
      <c r="A96" s="3114">
        <v>24</v>
      </c>
      <c r="B96" s="3768"/>
      <c r="C96" s="3088" t="s">
        <v>2700</v>
      </c>
      <c r="D96" s="3088" t="s">
        <v>2701</v>
      </c>
      <c r="E96" s="3114">
        <v>0.1</v>
      </c>
      <c r="F96" s="3114">
        <v>15</v>
      </c>
    </row>
    <row r="97" spans="1:6" ht="13.5">
      <c r="A97" s="3114">
        <v>25</v>
      </c>
      <c r="B97" s="3768"/>
      <c r="C97" s="3088" t="s">
        <v>2702</v>
      </c>
      <c r="D97" s="3088" t="s">
        <v>2703</v>
      </c>
      <c r="E97" s="3114">
        <v>0.1</v>
      </c>
      <c r="F97" s="3114">
        <v>15</v>
      </c>
    </row>
    <row r="98" spans="1:6" ht="24">
      <c r="A98" s="3114">
        <v>26</v>
      </c>
      <c r="B98" s="3768"/>
      <c r="C98" s="3088" t="s">
        <v>2704</v>
      </c>
      <c r="D98" s="3088" t="s">
        <v>2705</v>
      </c>
      <c r="E98" s="3114">
        <v>0.1</v>
      </c>
      <c r="F98" s="3114">
        <v>15</v>
      </c>
    </row>
    <row r="99" spans="1:6" ht="24">
      <c r="A99" s="3114">
        <v>27</v>
      </c>
      <c r="B99" s="3768"/>
      <c r="C99" s="3088" t="s">
        <v>2706</v>
      </c>
      <c r="D99" s="3088" t="s">
        <v>2707</v>
      </c>
      <c r="E99" s="3114">
        <v>0.1</v>
      </c>
      <c r="F99" s="3114">
        <v>15</v>
      </c>
    </row>
    <row r="100" spans="1:6" ht="13.5">
      <c r="A100" s="3114">
        <v>28</v>
      </c>
      <c r="B100" s="3768"/>
      <c r="C100" s="3088" t="s">
        <v>2708</v>
      </c>
      <c r="D100" s="3088" t="s">
        <v>2709</v>
      </c>
      <c r="E100" s="3114">
        <v>0.1</v>
      </c>
      <c r="F100" s="3114">
        <v>15</v>
      </c>
    </row>
    <row r="101" spans="1:6" ht="13.5">
      <c r="A101" s="3114">
        <v>29</v>
      </c>
      <c r="B101" s="3768"/>
      <c r="C101" s="3088" t="s">
        <v>2710</v>
      </c>
      <c r="D101" s="3088" t="s">
        <v>2711</v>
      </c>
      <c r="E101" s="3114">
        <v>0.1</v>
      </c>
      <c r="F101" s="3114">
        <v>15</v>
      </c>
    </row>
    <row r="102" spans="1:6" ht="13.5">
      <c r="A102" s="3114">
        <v>30</v>
      </c>
      <c r="B102" s="3768"/>
      <c r="C102" s="3088" t="s">
        <v>2712</v>
      </c>
      <c r="D102" s="3088" t="s">
        <v>2713</v>
      </c>
      <c r="E102" s="3114">
        <v>0.1</v>
      </c>
      <c r="F102" s="3114">
        <v>15</v>
      </c>
    </row>
    <row r="103" spans="1:6" ht="24">
      <c r="A103" s="3114">
        <v>31</v>
      </c>
      <c r="B103" s="3768"/>
      <c r="C103" s="3088" t="s">
        <v>2714</v>
      </c>
      <c r="D103" s="3088" t="s">
        <v>2715</v>
      </c>
      <c r="E103" s="3114">
        <v>0.1</v>
      </c>
      <c r="F103" s="3114">
        <v>15</v>
      </c>
    </row>
    <row r="104" spans="1:6" ht="24">
      <c r="A104" s="3114">
        <v>32</v>
      </c>
      <c r="B104" s="3768"/>
      <c r="C104" s="3088" t="s">
        <v>2716</v>
      </c>
      <c r="D104" s="3088" t="s">
        <v>2717</v>
      </c>
      <c r="E104" s="3114">
        <v>0.1</v>
      </c>
      <c r="F104" s="3114">
        <v>15</v>
      </c>
    </row>
    <row r="105" spans="1:6" ht="24">
      <c r="A105" s="3114">
        <v>33</v>
      </c>
      <c r="B105" s="3768"/>
      <c r="C105" s="3088" t="s">
        <v>2718</v>
      </c>
      <c r="D105" s="3088" t="s">
        <v>2719</v>
      </c>
      <c r="E105" s="3114">
        <v>0.1</v>
      </c>
      <c r="F105" s="3114">
        <v>15</v>
      </c>
    </row>
    <row r="106" spans="1:6" ht="24">
      <c r="A106" s="3114">
        <v>34</v>
      </c>
      <c r="B106" s="3767"/>
      <c r="C106" s="3088" t="s">
        <v>2720</v>
      </c>
      <c r="D106" s="3088" t="s">
        <v>2721</v>
      </c>
      <c r="E106" s="3114">
        <v>0.1</v>
      </c>
      <c r="F106" s="3114">
        <v>15</v>
      </c>
    </row>
    <row r="107" spans="1:6" ht="24">
      <c r="A107" s="3114">
        <v>35</v>
      </c>
      <c r="B107" s="3766" t="s">
        <v>2722</v>
      </c>
      <c r="C107" s="3114" t="s">
        <v>2723</v>
      </c>
      <c r="D107" s="3088" t="s">
        <v>2724</v>
      </c>
      <c r="E107" s="3114">
        <v>0.15</v>
      </c>
      <c r="F107" s="3114">
        <v>20</v>
      </c>
    </row>
    <row r="108" spans="1:6" ht="13.5">
      <c r="A108" s="3114">
        <v>36</v>
      </c>
      <c r="B108" s="3768"/>
      <c r="C108" s="3114" t="s">
        <v>2725</v>
      </c>
      <c r="D108" s="3088" t="s">
        <v>2726</v>
      </c>
      <c r="E108" s="3114">
        <v>0.15</v>
      </c>
      <c r="F108" s="3114">
        <v>20</v>
      </c>
    </row>
    <row r="109" spans="1:6" ht="13.5">
      <c r="A109" s="3114">
        <v>37</v>
      </c>
      <c r="B109" s="3768"/>
      <c r="C109" s="3114" t="s">
        <v>2727</v>
      </c>
      <c r="D109" s="3088" t="s">
        <v>2728</v>
      </c>
      <c r="E109" s="3114">
        <v>0.15</v>
      </c>
      <c r="F109" s="3114">
        <v>20</v>
      </c>
    </row>
    <row r="110" spans="1:6" ht="13.5">
      <c r="A110" s="3114">
        <v>38</v>
      </c>
      <c r="B110" s="3768"/>
      <c r="C110" s="3114" t="s">
        <v>2729</v>
      </c>
      <c r="D110" s="3088" t="s">
        <v>2730</v>
      </c>
      <c r="E110" s="3114">
        <v>0.1</v>
      </c>
      <c r="F110" s="3114">
        <v>15</v>
      </c>
    </row>
    <row r="111" spans="1:6" ht="24">
      <c r="A111" s="3114">
        <v>39</v>
      </c>
      <c r="B111" s="3768"/>
      <c r="C111" s="3114" t="s">
        <v>2731</v>
      </c>
      <c r="D111" s="3088" t="s">
        <v>2732</v>
      </c>
      <c r="E111" s="3114">
        <v>0.1</v>
      </c>
      <c r="F111" s="3114">
        <v>15</v>
      </c>
    </row>
    <row r="112" spans="1:6" ht="24">
      <c r="A112" s="3114">
        <v>40</v>
      </c>
      <c r="B112" s="3767"/>
      <c r="C112" s="3114" t="s">
        <v>2733</v>
      </c>
      <c r="D112" s="3088" t="s">
        <v>2734</v>
      </c>
      <c r="E112" s="3114">
        <v>0.1</v>
      </c>
      <c r="F112" s="3114">
        <v>15</v>
      </c>
    </row>
    <row r="113" spans="1:6" ht="13.5">
      <c r="A113" s="3114">
        <v>41</v>
      </c>
      <c r="B113" s="3765" t="s">
        <v>2735</v>
      </c>
      <c r="C113" s="3114" t="s">
        <v>2736</v>
      </c>
      <c r="D113" s="3088" t="s">
        <v>2737</v>
      </c>
      <c r="E113" s="3114">
        <v>0.1</v>
      </c>
      <c r="F113" s="3114">
        <v>15</v>
      </c>
    </row>
    <row r="114" spans="1:6" ht="13.5">
      <c r="A114" s="3114">
        <v>42</v>
      </c>
      <c r="B114" s="3765"/>
      <c r="C114" s="3114" t="s">
        <v>2738</v>
      </c>
      <c r="D114" s="3088" t="s">
        <v>2739</v>
      </c>
      <c r="E114" s="3114">
        <v>0.1</v>
      </c>
      <c r="F114" s="3114">
        <v>15</v>
      </c>
    </row>
    <row r="115" spans="1:6" ht="24">
      <c r="A115" s="3114">
        <v>43</v>
      </c>
      <c r="B115" s="3765"/>
      <c r="C115" s="3114" t="s">
        <v>2740</v>
      </c>
      <c r="D115" s="3088" t="s">
        <v>2741</v>
      </c>
      <c r="E115" s="3114">
        <v>0.1</v>
      </c>
      <c r="F115" s="3114">
        <v>15</v>
      </c>
    </row>
    <row r="116" spans="1:6" ht="13.5">
      <c r="A116" s="3114">
        <v>44</v>
      </c>
      <c r="B116" s="3766" t="s">
        <v>2742</v>
      </c>
      <c r="C116" s="3114" t="s">
        <v>2743</v>
      </c>
      <c r="D116" s="3088" t="s">
        <v>2744</v>
      </c>
      <c r="E116" s="3114">
        <v>0.1</v>
      </c>
      <c r="F116" s="3114">
        <v>15</v>
      </c>
    </row>
    <row r="117" spans="1:6" ht="24">
      <c r="A117" s="3114">
        <v>45</v>
      </c>
      <c r="B117" s="3767"/>
      <c r="C117" s="3088" t="s">
        <v>2745</v>
      </c>
      <c r="D117" s="3088" t="s">
        <v>2746</v>
      </c>
      <c r="E117" s="3114">
        <v>0.1</v>
      </c>
      <c r="F117" s="3114">
        <v>15</v>
      </c>
    </row>
    <row r="118" spans="1:6" ht="24">
      <c r="A118" s="3114">
        <v>46</v>
      </c>
      <c r="B118" s="3766" t="s">
        <v>2747</v>
      </c>
      <c r="C118" s="3114" t="s">
        <v>2748</v>
      </c>
      <c r="D118" s="3088" t="s">
        <v>2749</v>
      </c>
      <c r="E118" s="3114">
        <v>0.1</v>
      </c>
      <c r="F118" s="3114">
        <v>15</v>
      </c>
    </row>
    <row r="119" spans="1:6" ht="24">
      <c r="A119" s="3114">
        <v>47</v>
      </c>
      <c r="B119" s="3767"/>
      <c r="C119" s="3114" t="s">
        <v>2750</v>
      </c>
      <c r="D119" s="3088" t="s">
        <v>2751</v>
      </c>
      <c r="E119" s="3114">
        <v>0.1</v>
      </c>
      <c r="F119" s="3114">
        <v>15</v>
      </c>
    </row>
    <row r="120" spans="1:6" ht="13.5">
      <c r="A120" s="3114">
        <v>48</v>
      </c>
      <c r="B120" s="3766" t="s">
        <v>2752</v>
      </c>
      <c r="C120" s="3114" t="s">
        <v>2753</v>
      </c>
      <c r="D120" s="3088" t="s">
        <v>2754</v>
      </c>
      <c r="E120" s="3114">
        <v>0.1</v>
      </c>
      <c r="F120" s="3114">
        <v>15</v>
      </c>
    </row>
    <row r="121" spans="1:6" ht="13.5">
      <c r="A121" s="3114">
        <v>49</v>
      </c>
      <c r="B121" s="3767"/>
      <c r="C121" s="3114" t="s">
        <v>2755</v>
      </c>
      <c r="D121" s="3088" t="s">
        <v>2756</v>
      </c>
      <c r="E121" s="3114">
        <v>0.1</v>
      </c>
      <c r="F121" s="3114">
        <v>15</v>
      </c>
    </row>
    <row r="122" spans="1:6" ht="24">
      <c r="A122" s="3114">
        <v>50</v>
      </c>
      <c r="B122" s="3765" t="s">
        <v>2757</v>
      </c>
      <c r="C122" s="3114" t="s">
        <v>2758</v>
      </c>
      <c r="D122" s="3088" t="s">
        <v>2759</v>
      </c>
      <c r="E122" s="3114">
        <v>0.1</v>
      </c>
      <c r="F122" s="3114">
        <v>15</v>
      </c>
    </row>
    <row r="123" spans="1:6" ht="24">
      <c r="A123" s="3114">
        <v>51</v>
      </c>
      <c r="B123" s="3765"/>
      <c r="C123" s="3114" t="s">
        <v>2760</v>
      </c>
      <c r="D123" s="3088" t="s">
        <v>2761</v>
      </c>
      <c r="E123" s="3114">
        <v>0.1</v>
      </c>
      <c r="F123" s="3114">
        <v>15</v>
      </c>
    </row>
    <row r="124" spans="1:6" ht="24">
      <c r="A124" s="3114">
        <v>52</v>
      </c>
      <c r="B124" s="3765" t="s">
        <v>2762</v>
      </c>
      <c r="C124" s="3114" t="s">
        <v>2763</v>
      </c>
      <c r="D124" s="3088" t="s">
        <v>2764</v>
      </c>
      <c r="E124" s="3114">
        <v>0.1</v>
      </c>
      <c r="F124" s="3114">
        <v>15</v>
      </c>
    </row>
    <row r="125" spans="1:6" ht="24">
      <c r="A125" s="3114">
        <v>53</v>
      </c>
      <c r="B125" s="3765"/>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65" t="s">
        <v>2770</v>
      </c>
      <c r="C127" s="3114" t="s">
        <v>2771</v>
      </c>
      <c r="D127" s="3088" t="s">
        <v>2772</v>
      </c>
      <c r="E127" s="3114">
        <v>0.1</v>
      </c>
      <c r="F127" s="3114">
        <v>15</v>
      </c>
    </row>
    <row r="128" spans="1:6" ht="13.5">
      <c r="A128" s="3114">
        <v>56</v>
      </c>
      <c r="B128" s="3765"/>
      <c r="C128" s="3114" t="s">
        <v>2773</v>
      </c>
      <c r="D128" s="3088" t="s">
        <v>2774</v>
      </c>
      <c r="E128" s="3114">
        <v>0.1</v>
      </c>
      <c r="F128" s="3114">
        <v>15</v>
      </c>
    </row>
    <row r="129" spans="1:6" ht="24">
      <c r="A129" s="3114">
        <v>57</v>
      </c>
      <c r="B129" s="3765"/>
      <c r="C129" s="3114" t="s">
        <v>2775</v>
      </c>
      <c r="D129" s="3088" t="s">
        <v>2776</v>
      </c>
      <c r="E129" s="3114">
        <v>0.1</v>
      </c>
      <c r="F129" s="3114">
        <v>15</v>
      </c>
    </row>
    <row r="130" spans="1:6" ht="24">
      <c r="A130" s="3114">
        <v>58</v>
      </c>
      <c r="B130" s="3765" t="s">
        <v>2777</v>
      </c>
      <c r="C130" s="3114" t="s">
        <v>2778</v>
      </c>
      <c r="D130" s="3088" t="s">
        <v>2779</v>
      </c>
      <c r="E130" s="3114">
        <v>0.1</v>
      </c>
      <c r="F130" s="3114">
        <v>15</v>
      </c>
    </row>
    <row r="131" spans="1:6" ht="13.5">
      <c r="A131" s="3114">
        <v>59</v>
      </c>
      <c r="B131" s="3765"/>
      <c r="C131" s="3114" t="s">
        <v>2780</v>
      </c>
      <c r="D131" s="3088" t="s">
        <v>2781</v>
      </c>
      <c r="E131" s="3114">
        <v>0.1</v>
      </c>
      <c r="F131" s="3114">
        <v>15</v>
      </c>
    </row>
    <row r="132" spans="1:6" ht="13.5">
      <c r="A132" s="3114">
        <v>60</v>
      </c>
      <c r="B132" s="3766" t="s">
        <v>2782</v>
      </c>
      <c r="C132" s="3114" t="s">
        <v>2783</v>
      </c>
      <c r="D132" s="3088" t="s">
        <v>2784</v>
      </c>
      <c r="E132" s="3114">
        <v>0.1</v>
      </c>
      <c r="F132" s="3114">
        <v>15</v>
      </c>
    </row>
    <row r="133" spans="1:6" ht="13.5">
      <c r="A133" s="3114">
        <v>61</v>
      </c>
      <c r="B133" s="3767"/>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65" t="s">
        <v>2790</v>
      </c>
      <c r="C135" s="3114" t="s">
        <v>2791</v>
      </c>
      <c r="D135" s="3088" t="s">
        <v>2792</v>
      </c>
      <c r="E135" s="3114">
        <v>0.1</v>
      </c>
      <c r="F135" s="3114">
        <v>15</v>
      </c>
    </row>
    <row r="136" spans="1:6" ht="13.5">
      <c r="A136" s="3114">
        <v>64</v>
      </c>
      <c r="B136" s="3765"/>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2799</v>
      </c>
      <c r="B1" s="3123"/>
      <c r="C1" s="3123"/>
      <c r="D1" s="3123"/>
      <c r="E1" s="3123"/>
      <c r="F1" s="3123"/>
      <c r="G1" s="3123"/>
      <c r="H1" s="3123"/>
      <c r="I1" s="3123"/>
      <c r="J1" s="3123"/>
      <c r="K1" s="3123"/>
      <c r="L1" s="3123"/>
      <c r="M1" s="3123"/>
      <c r="N1" s="747"/>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8">
        <f>SUMPRODUCT((A95:A184=ROUNDDOWN(基准地价修正!G3,1))*(B94:M94=基准地价修正!G2)*(B95:M184))</f>
        <v>1.2302</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8">
        <f>SUMPRODUCT((A371:A460=ROUNDDOWN(基准地价修正!G3,1))*(B370:M370=基准地价修正!G2)*(B371:M460))</f>
        <v>1.1198999999999999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28881</v>
      </c>
      <c r="C2" s="2" t="s">
        <v>106</v>
      </c>
      <c r="D2" s="197"/>
      <c r="E2" s="197"/>
      <c r="F2" s="197"/>
      <c r="G2" s="197"/>
    </row>
    <row r="3" spans="1:7" s="198" customFormat="1" ht="18" customHeight="1" thickBot="1">
      <c r="A3" s="201" t="s">
        <v>58</v>
      </c>
      <c r="B3" s="202">
        <f ca="1">ROUND(B2*10000/'数据-汇总表'!E3,0)</f>
        <v>48369</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100</v>
      </c>
      <c r="F9" s="219"/>
      <c r="G9" s="224"/>
    </row>
    <row r="10" spans="1:7" s="212" customFormat="1" ht="13.5" customHeight="1">
      <c r="A10" s="777" t="s">
        <v>356</v>
      </c>
      <c r="B10" s="222" t="s">
        <v>67</v>
      </c>
      <c r="C10" s="223">
        <f>ROUND(D10*E10/10000,0)</f>
        <v>90</v>
      </c>
      <c r="D10" s="843">
        <f>'数据-汇总表'!E6</f>
        <v>5970.96</v>
      </c>
      <c r="E10" s="223">
        <f>'数据-取费表'!B28</f>
        <v>150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134</v>
      </c>
      <c r="D19" s="847">
        <f>'数据-汇总表'!E3</f>
        <v>5970.96</v>
      </c>
      <c r="E19" s="209">
        <f>'数据-取费表'!B31</f>
        <v>224.59757727400617</v>
      </c>
      <c r="F19" s="229"/>
      <c r="G19" s="1" t="s">
        <v>436</v>
      </c>
    </row>
    <row r="20" spans="1:7" s="212" customFormat="1" ht="13.5" customHeight="1">
      <c r="A20" s="775" t="s">
        <v>419</v>
      </c>
      <c r="B20" s="208" t="s">
        <v>77</v>
      </c>
      <c r="C20" s="230">
        <f>ROUND((C5+C19)*F20,0)</f>
        <v>622</v>
      </c>
      <c r="D20" s="230"/>
      <c r="E20" s="230"/>
      <c r="F20" s="231">
        <f>'数据-取费表'!B37</f>
        <v>0.03</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874</v>
      </c>
      <c r="D22" s="233">
        <f ca="1">C26</f>
        <v>4.0000000000000002E-4</v>
      </c>
      <c r="E22" s="234" t="s">
        <v>99</v>
      </c>
      <c r="F22" s="235">
        <f ca="1">'数据-取费表'!B40</f>
        <v>4.1499999999999995E-2</v>
      </c>
      <c r="G22" s="1065" t="str">
        <f>IF('数据-取费表'!B22&lt;=1,"单利计息","复利计息")</f>
        <v>单利计息</v>
      </c>
    </row>
    <row r="23" spans="1:7" s="212" customFormat="1" ht="13.5" customHeight="1">
      <c r="A23" s="778" t="s">
        <v>349</v>
      </c>
      <c r="B23" s="213" t="s">
        <v>423</v>
      </c>
      <c r="C23" s="1103">
        <f ca="1">ROUND(IF('数据-取费表'!B22&lt;=1,C5*F22*'数据-取费表'!B23,C5*(POWER((1+F22),'数据-取费表'!B23)-1)),0)</f>
        <v>855</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6</v>
      </c>
      <c r="D24" s="236"/>
      <c r="E24" s="236"/>
      <c r="F24" s="237"/>
      <c r="G24" s="238" t="s">
        <v>82</v>
      </c>
    </row>
    <row r="25" spans="1:7" s="212" customFormat="1" ht="24">
      <c r="A25" s="778" t="s">
        <v>348</v>
      </c>
      <c r="B25" s="213" t="s">
        <v>420</v>
      </c>
      <c r="C25" s="1103">
        <f ca="1">ROUND(IF('数据-取费表'!B22&lt;=1,C20*F22*'数据-取费表'!B23/2,C20*(POWER((1+F22),'数据-取费表'!B23/2)-1)),0)</f>
        <v>13</v>
      </c>
      <c r="D25" s="236"/>
      <c r="E25" s="239"/>
      <c r="F25" s="237"/>
      <c r="G25" s="240" t="s">
        <v>83</v>
      </c>
    </row>
    <row r="26" spans="1:7" s="212" customFormat="1">
      <c r="A26" s="778" t="s">
        <v>350</v>
      </c>
      <c r="B26" s="213" t="s">
        <v>422</v>
      </c>
      <c r="C26" s="236">
        <f ca="1">ROUND(IF('数据-取费表'!B22&lt;=1,F21*F22*'数据-取费表'!B23/2,F21*(POWER((1+F22),'数据-取费表'!B23/2)-1)),4)</f>
        <v>4.0000000000000002E-4</v>
      </c>
      <c r="D26" s="236"/>
      <c r="E26" s="239"/>
      <c r="F26" s="237"/>
      <c r="G26" s="241"/>
    </row>
    <row r="27" spans="1:7" s="212" customFormat="1" ht="24.75">
      <c r="A27" s="775" t="s">
        <v>342</v>
      </c>
      <c r="B27" s="242" t="s">
        <v>85</v>
      </c>
      <c r="C27" s="243">
        <f>C28</f>
        <v>1709</v>
      </c>
      <c r="D27" s="233">
        <f>C29</f>
        <v>1.6000000000000001E-3</v>
      </c>
      <c r="E27" s="234" t="s">
        <v>99</v>
      </c>
      <c r="F27" s="244">
        <f>'数据-取费表'!Q16</f>
        <v>0.08</v>
      </c>
      <c r="G27" s="245" t="s">
        <v>431</v>
      </c>
    </row>
    <row r="28" spans="1:7" s="212" customFormat="1" ht="13.5" customHeight="1">
      <c r="A28" s="778" t="s">
        <v>349</v>
      </c>
      <c r="B28" s="246" t="s">
        <v>424</v>
      </c>
      <c r="C28" s="247">
        <f>ROUND((C5+C19+C20)*F27*'数据-取费表'!B21/'数据-取费表'!B20,0)</f>
        <v>1709</v>
      </c>
      <c r="D28" s="233"/>
      <c r="E28" s="234"/>
      <c r="F28" s="244"/>
      <c r="G28" s="245"/>
    </row>
    <row r="29" spans="1:7" s="212" customFormat="1" ht="13.5" customHeight="1">
      <c r="A29" s="778" t="s">
        <v>347</v>
      </c>
      <c r="B29" s="246" t="s">
        <v>425</v>
      </c>
      <c r="C29" s="236">
        <f>ROUND(C21*F27*'数据-取费表'!B21/'数据-取费表'!B20,4)</f>
        <v>1.6000000000000001E-3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25873</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2506</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2269</v>
      </c>
      <c r="D34" s="215"/>
      <c r="E34" s="218"/>
      <c r="F34" s="255">
        <f>IF('数据-取费表'!B24=0,1,'数据-取费表'!N16)</f>
        <v>1</v>
      </c>
      <c r="G34" s="217" t="s">
        <v>89</v>
      </c>
    </row>
    <row r="35" spans="1:7" ht="13.5" customHeight="1">
      <c r="A35" s="778" t="s">
        <v>351</v>
      </c>
      <c r="B35" s="213" t="s">
        <v>33</v>
      </c>
      <c r="C35" s="218">
        <f>ROUND(C34*F35,0)</f>
        <v>113</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90</v>
      </c>
      <c r="D37" s="215">
        <f>'数据-汇总表'!E3</f>
        <v>5970.96</v>
      </c>
      <c r="E37" s="247">
        <f>'数据-取费表'!B35</f>
        <v>150</v>
      </c>
      <c r="F37" s="257"/>
      <c r="G37" s="259" t="s">
        <v>92</v>
      </c>
    </row>
    <row r="38" spans="1:7" ht="13.5" customHeight="1">
      <c r="A38" s="778" t="s">
        <v>354</v>
      </c>
      <c r="B38" s="213" t="s">
        <v>36</v>
      </c>
      <c r="C38" s="218">
        <f>ROUND(C34*F38,0)</f>
        <v>34</v>
      </c>
      <c r="D38" s="218"/>
      <c r="E38" s="218"/>
      <c r="F38" s="257">
        <f>'数据-取费表'!B36</f>
        <v>1.4999999999999999E-2</v>
      </c>
      <c r="G38" s="217" t="s">
        <v>90</v>
      </c>
    </row>
    <row r="39" spans="1:7" s="212" customFormat="1" ht="13.5" customHeight="1">
      <c r="A39" s="775" t="s">
        <v>338</v>
      </c>
      <c r="B39" s="208" t="s">
        <v>77</v>
      </c>
      <c r="C39" s="230">
        <f>ROUND(C33*F20,0)</f>
        <v>75</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54</v>
      </c>
      <c r="D41" s="233">
        <f ca="1">C44</f>
        <v>4.0000000000000002E-4</v>
      </c>
      <c r="E41" s="234" t="s">
        <v>102</v>
      </c>
      <c r="F41" s="235"/>
      <c r="G41" s="1065" t="str">
        <f>IF('数据-取费表'!B22&lt;=1,"单利计息","复利计息")</f>
        <v>单利计息</v>
      </c>
    </row>
    <row r="42" spans="1:7" ht="13.5" customHeight="1">
      <c r="A42" s="778" t="s">
        <v>349</v>
      </c>
      <c r="B42" s="213" t="s">
        <v>423</v>
      </c>
      <c r="C42" s="236">
        <f ca="1">ROUND(IF('数据-取费表'!B22&lt;=1,C33*F22*'数据-取费表'!B21/2,C33*(POWER((1+F22),'数据-取费表'!B21/2)-1)),0)</f>
        <v>52</v>
      </c>
      <c r="D42" s="236"/>
      <c r="E42" s="236"/>
      <c r="F42" s="237"/>
      <c r="G42" s="3660" t="s">
        <v>94</v>
      </c>
    </row>
    <row r="43" spans="1:7" ht="13.5" customHeight="1">
      <c r="A43" s="778" t="s">
        <v>347</v>
      </c>
      <c r="B43" s="213" t="s">
        <v>426</v>
      </c>
      <c r="C43" s="236">
        <f ca="1">ROUND(IF('数据-取费表'!B22&lt;=1,C39*F22*'数据-取费表'!B21/2,C39*(POWER((1+F22),'数据-取费表'!B21/2)-1)),0)</f>
        <v>2</v>
      </c>
      <c r="D43" s="236"/>
      <c r="E43" s="236"/>
      <c r="F43" s="237"/>
      <c r="G43" s="3661"/>
    </row>
    <row r="44" spans="1:7" ht="13.5" customHeight="1">
      <c r="A44" s="778" t="s">
        <v>348</v>
      </c>
      <c r="B44" s="213" t="s">
        <v>428</v>
      </c>
      <c r="C44" s="236">
        <f ca="1">ROUND(IF('数据-取费表'!B22&lt;=1,C40*F22*'数据-取费表'!B21/2,C40*(POWER((1+F22),'数据-取费表'!B21/2)-1)),4)</f>
        <v>4.0000000000000002E-4</v>
      </c>
      <c r="D44" s="236"/>
      <c r="E44" s="236"/>
      <c r="F44" s="237"/>
      <c r="G44" s="3662"/>
    </row>
    <row r="45" spans="1:7" s="212" customFormat="1" ht="13.5" customHeight="1">
      <c r="A45" s="775" t="s">
        <v>341</v>
      </c>
      <c r="B45" s="242" t="s">
        <v>85</v>
      </c>
      <c r="C45" s="243">
        <f>C46</f>
        <v>206</v>
      </c>
      <c r="D45" s="233">
        <f>C47</f>
        <v>1.6000000000000001E-3</v>
      </c>
      <c r="E45" s="234" t="s">
        <v>102</v>
      </c>
      <c r="F45" s="244"/>
      <c r="G45" s="245" t="s">
        <v>434</v>
      </c>
    </row>
    <row r="46" spans="1:7" s="212" customFormat="1" ht="13.5" customHeight="1">
      <c r="A46" s="778" t="s">
        <v>349</v>
      </c>
      <c r="B46" s="246" t="s">
        <v>427</v>
      </c>
      <c r="C46" s="247">
        <f>ROUND((C33+C39)*F27,0)</f>
        <v>206</v>
      </c>
      <c r="D46" s="261"/>
      <c r="E46" s="234"/>
      <c r="F46" s="244"/>
      <c r="G46" s="245"/>
    </row>
    <row r="47" spans="1:7" s="212" customFormat="1" ht="13.5" customHeight="1">
      <c r="A47" s="778" t="s">
        <v>347</v>
      </c>
      <c r="B47" s="246" t="s">
        <v>429</v>
      </c>
      <c r="C47" s="236">
        <f>ROUND(C40*F27,4)</f>
        <v>1.6000000000000001E-3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3069</v>
      </c>
      <c r="D49" s="230"/>
      <c r="E49" s="230"/>
      <c r="F49" s="262"/>
      <c r="G49" s="232" t="s">
        <v>435</v>
      </c>
    </row>
    <row r="50" spans="1:7" s="256" customFormat="1" ht="24">
      <c r="A50" s="775" t="s">
        <v>344</v>
      </c>
      <c r="B50" s="208" t="s">
        <v>97</v>
      </c>
      <c r="C50" s="230"/>
      <c r="D50" s="230"/>
      <c r="E50" s="230"/>
      <c r="F50" s="262">
        <f>IF('数据-取费表'!B24=0,'数据-取费表'!N16,1)</f>
        <v>0.98</v>
      </c>
      <c r="G50" s="245" t="s">
        <v>98</v>
      </c>
    </row>
    <row r="51" spans="1:7" ht="16.5" customHeight="1">
      <c r="A51" s="775" t="s">
        <v>345</v>
      </c>
      <c r="B51" s="208" t="s">
        <v>105</v>
      </c>
      <c r="C51" s="230">
        <f ca="1">ROUND(C49*F50,0)</f>
        <v>3008</v>
      </c>
      <c r="D51" s="230"/>
      <c r="E51" s="230"/>
      <c r="F51" s="262"/>
      <c r="G51" s="232" t="s">
        <v>37</v>
      </c>
    </row>
    <row r="52" spans="1:7" s="206" customFormat="1" ht="16.5" thickBot="1">
      <c r="A52" s="263" t="s">
        <v>38</v>
      </c>
      <c r="B52" s="264"/>
      <c r="C52" s="265">
        <f ca="1">C31+C51</f>
        <v>28881</v>
      </c>
      <c r="D52" s="264"/>
      <c r="E52" s="264"/>
      <c r="F52" s="264"/>
      <c r="G52" s="266"/>
    </row>
    <row r="55" spans="1:7" ht="15">
      <c r="B55" s="268" t="s">
        <v>39</v>
      </c>
      <c r="C55" s="269"/>
    </row>
    <row r="56" spans="1:7">
      <c r="B56" s="271" t="s">
        <v>40</v>
      </c>
      <c r="C56" s="272">
        <f ca="1">ROUND(C51/C52,3)</f>
        <v>0.104</v>
      </c>
    </row>
    <row r="57" spans="1:7">
      <c r="B57" s="271" t="s">
        <v>41</v>
      </c>
      <c r="C57" s="273">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4018</v>
      </c>
      <c r="E5" s="1489"/>
    </row>
    <row r="6" spans="1:5" ht="15.75">
      <c r="A6" s="1489"/>
      <c r="B6" s="3460"/>
      <c r="C6" s="1492" t="s">
        <v>911</v>
      </c>
      <c r="D6" s="848" t="str">
        <f ca="1">NUMBERSTRING(INT(D5*10000),2)&amp;"元整"</f>
        <v>肆仟零壹拾捌万元整</v>
      </c>
      <c r="E6" s="1489"/>
    </row>
    <row r="7" spans="1:5" ht="15.75">
      <c r="A7" s="1489"/>
      <c r="B7" s="3465"/>
      <c r="C7" s="1493" t="s">
        <v>912</v>
      </c>
      <c r="D7" s="849">
        <f ca="1">结果表!H102</f>
        <v>6729</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4018</v>
      </c>
      <c r="E13" s="1489"/>
    </row>
    <row r="14" spans="1:5" ht="15.75">
      <c r="A14" s="1489"/>
      <c r="B14" s="3460"/>
      <c r="C14" s="1492" t="s">
        <v>911</v>
      </c>
      <c r="D14" s="848" t="str">
        <f ca="1">NUMBERSTRING(INT(D13*10000),2)&amp;"元整"</f>
        <v>肆仟零壹拾捌万元整</v>
      </c>
      <c r="E14" s="1489"/>
    </row>
    <row r="15" spans="1:5" ht="15">
      <c r="A15" s="1489"/>
      <c r="B15" s="3465"/>
      <c r="C15" s="1493" t="s">
        <v>921</v>
      </c>
      <c r="D15" s="857">
        <f ca="1">结果表!H108</f>
        <v>6729</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9" t="s">
        <v>2844</v>
      </c>
      <c r="B1" s="3779"/>
      <c r="C1" s="3779"/>
      <c r="D1" s="3779"/>
      <c r="E1" s="3779"/>
      <c r="F1" s="3779"/>
      <c r="G1" s="378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777"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77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1" t="s">
        <v>3186</v>
      </c>
      <c r="B1" s="3781"/>
    </row>
    <row r="2" spans="1:7" ht="14.25" thickBot="1">
      <c r="A2" s="3251"/>
      <c r="B2" s="3251"/>
    </row>
    <row r="3" spans="1:7" ht="14.25" thickBot="1">
      <c r="A3" s="3251"/>
      <c r="B3" s="3251"/>
      <c r="C3" s="3252" t="s">
        <v>2812</v>
      </c>
      <c r="D3" s="3252" t="s">
        <v>2872</v>
      </c>
      <c r="E3" s="3252" t="s">
        <v>2814</v>
      </c>
      <c r="F3" s="3252" t="s">
        <v>2873</v>
      </c>
      <c r="G3" s="3252" t="s">
        <v>2632</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2" t="s">
        <v>3237</v>
      </c>
      <c r="B1" s="3782"/>
      <c r="C1" s="3782"/>
      <c r="D1" s="3782"/>
      <c r="E1" s="3782"/>
      <c r="F1" s="3783"/>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0" sqref="H10"/>
    </sheetView>
  </sheetViews>
  <sheetFormatPr defaultRowHeight="13.5"/>
  <cols>
    <col min="1" max="1" width="13.875" customWidth="1"/>
    <col min="11" max="17" width="0" hidden="1" customWidth="1"/>
    <col min="25" max="30" width="0" hidden="1" customWidth="1"/>
  </cols>
  <sheetData>
    <row r="1" spans="1:30">
      <c r="A1" s="3217">
        <f>基准地价修正!G23</f>
        <v>44985</v>
      </c>
      <c r="B1" s="3206" t="s">
        <v>2843</v>
      </c>
      <c r="C1" s="3207"/>
      <c r="D1" s="3207"/>
      <c r="E1" s="3207"/>
      <c r="F1" s="3207"/>
      <c r="G1" s="3207"/>
      <c r="H1" s="3207"/>
      <c r="I1" s="3207"/>
      <c r="J1" s="3161"/>
      <c r="K1" s="3207" t="s">
        <v>454</v>
      </c>
      <c r="L1" s="3207"/>
      <c r="M1" s="3207"/>
      <c r="N1" s="3207"/>
      <c r="O1" s="3207"/>
      <c r="P1" s="3207"/>
      <c r="Q1" s="3161"/>
      <c r="R1" s="3784" t="s">
        <v>456</v>
      </c>
      <c r="S1" s="3785"/>
      <c r="T1" s="3785"/>
      <c r="U1" s="3785"/>
      <c r="V1" s="3785"/>
      <c r="W1" s="3785"/>
      <c r="X1" s="3161"/>
      <c r="Y1" s="3784" t="s">
        <v>457</v>
      </c>
      <c r="Z1" s="3785"/>
      <c r="AA1" s="3785"/>
      <c r="AB1" s="3785"/>
      <c r="AC1" s="3785"/>
      <c r="AD1" s="3785"/>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784" t="s">
        <v>2831</v>
      </c>
      <c r="S21" s="3785"/>
      <c r="T21" s="3785"/>
      <c r="U21" s="3785"/>
      <c r="V21" s="3785"/>
      <c r="W21" s="3785"/>
      <c r="X21" s="3161"/>
      <c r="Y21" s="3784" t="s">
        <v>2832</v>
      </c>
      <c r="Z21" s="3785"/>
      <c r="AA21" s="3785"/>
      <c r="AB21" s="3785"/>
      <c r="AC21" s="3785"/>
      <c r="AD21" s="378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44985</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2" t="s">
        <v>925</v>
      </c>
      <c r="E3" s="852" t="s">
        <v>931</v>
      </c>
      <c r="F3" s="852" t="s">
        <v>925</v>
      </c>
      <c r="G3" s="852" t="s">
        <v>926</v>
      </c>
      <c r="H3" s="852" t="s">
        <v>925</v>
      </c>
      <c r="I3" s="852" t="s">
        <v>926</v>
      </c>
    </row>
    <row r="4" spans="1:9" ht="30">
      <c r="A4" s="1503" t="str">
        <f>项目基本情况!S2</f>
        <v>北京市延庆区康庄镇西桑园南区5号院1号楼01等房地产</v>
      </c>
      <c r="B4" s="852">
        <f>项目基本情况!C17</f>
        <v>5970.96</v>
      </c>
      <c r="C4" s="852">
        <f>项目基本情况!C18</f>
        <v>7248.99</v>
      </c>
      <c r="D4" s="852">
        <f ca="1">结果表!D118</f>
        <v>683</v>
      </c>
      <c r="E4" s="852">
        <f ca="1">结果表!E118</f>
        <v>1144</v>
      </c>
      <c r="F4" s="852">
        <f ca="1">结果表!F118</f>
        <v>3335</v>
      </c>
      <c r="G4" s="852">
        <f ca="1">结果表!G118</f>
        <v>5585</v>
      </c>
      <c r="H4" s="852">
        <f ca="1">结果表!H118</f>
        <v>4018</v>
      </c>
      <c r="I4" s="852">
        <f ca="1">结果表!I118</f>
        <v>6729</v>
      </c>
    </row>
    <row r="5" spans="1:9" ht="30" customHeight="1">
      <c r="A5" s="3472" t="s">
        <v>927</v>
      </c>
      <c r="B5" s="3472"/>
      <c r="C5" s="3472"/>
      <c r="D5" s="3472" t="str">
        <f ca="1">结果表!D119</f>
        <v>陆佰捌拾叁万元整</v>
      </c>
      <c r="E5" s="3472"/>
      <c r="F5" s="3472" t="str">
        <f ca="1">结果表!F119</f>
        <v>叁仟叁佰叁拾伍万元整</v>
      </c>
      <c r="G5" s="3472"/>
      <c r="H5" s="3472" t="str">
        <f ca="1">结果表!H119</f>
        <v>肆仟零壹拾捌万元整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4018</v>
      </c>
      <c r="E8" s="3471"/>
      <c r="F8" s="3471"/>
      <c r="G8" s="3471"/>
      <c r="H8" s="3471"/>
      <c r="I8" s="3471"/>
    </row>
    <row r="9" spans="1:9" ht="15">
      <c r="A9" s="3472" t="s">
        <v>927</v>
      </c>
      <c r="B9" s="3472"/>
      <c r="C9" s="3472"/>
      <c r="D9" s="3472" t="str">
        <f ca="1">结果表!D123</f>
        <v>肆仟零壹拾捌万元整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44998</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1"/>
      <c r="E18" s="3497" t="s">
        <v>2162</v>
      </c>
      <c r="F18" s="3496"/>
      <c r="G18" s="349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2023-03-13T03:08:57Z</dcterms:modified>
</cp:coreProperties>
</file>