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Sheet1" sheetId="94" r:id="rId18"/>
    <sheet name="估价对象房地状况" sheetId="20" r:id="rId19"/>
    <sheet name="系统读取表" sheetId="74" r:id="rId20"/>
    <sheet name="结果表" sheetId="9" r:id="rId21"/>
    <sheet name="比较法-办公出售" sheetId="34" r:id="rId22"/>
    <sheet name="比较办公案例" sheetId="80" r:id="rId23"/>
    <sheet name="典型户型修正-办公" sheetId="31" r:id="rId24"/>
    <sheet name="办公收益法-有租约" sheetId="84" state="hidden" r:id="rId25"/>
    <sheet name="办公收益法-无租约" sheetId="86" r:id="rId26"/>
    <sheet name="收益法（汇总）" sheetId="70" state="hidden" r:id="rId27"/>
    <sheet name="结果表—商业" sheetId="78" r:id="rId28"/>
    <sheet name="比较法-商业出售" sheetId="33" r:id="rId29"/>
    <sheet name="商业出售案例" sheetId="87" r:id="rId30"/>
    <sheet name="典型户型修正-商业" sheetId="89" r:id="rId31"/>
    <sheet name="商业收益法-无租约" sheetId="90" r:id="rId32"/>
    <sheet name="比较法-商业出租" sheetId="92" state="hidden" r:id="rId33"/>
    <sheet name="典型户型修正-商业出租" sheetId="93" state="hidden" r:id="rId34"/>
    <sheet name="商业租赁情况" sheetId="91" r:id="rId35"/>
    <sheet name="收益法" sheetId="15" state="hidden" r:id="rId36"/>
    <sheet name="成本法" sheetId="68" state="hidden" r:id="rId37"/>
    <sheet name="成本法 (元)" sheetId="69" state="hidden" r:id="rId38"/>
    <sheet name="假设开发法" sheetId="12" state="hidden" r:id="rId39"/>
    <sheet name="收益法 (元)" sheetId="67"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 r:id="rId59"/>
    <externalReference r:id="rId60"/>
  </externalReferences>
  <definedNames>
    <definedName name="_xlnm._FilterDatabase" localSheetId="16" hidden="1">写字楼出租情况!$A$3:$U$123</definedName>
    <definedName name="_xlnm._FilterDatabase" localSheetId="21" hidden="1">'比较法-办公出售'!$A$1:$L$50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8" hidden="1">'比较法-商业出售'!$A$1:$L$49</definedName>
    <definedName name="_xlnm._FilterDatabase" localSheetId="32" hidden="1">'比较法-商业出租'!$A$1:$L$49</definedName>
    <definedName name="_xlnm._FilterDatabase" localSheetId="41" hidden="1">'比较法-住宅'!$A$1:$L$49</definedName>
    <definedName name="_xlnm._FilterDatabase" localSheetId="34" hidden="1">商业租赁情况!$A$5:$O$86</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25">'办公收益法-无租约'!$A$1:$F$43,'办公收益法-无租约'!$H$3:$M$29,'办公收益法-无租约'!$A$46:$F$71,'办公收益法-无租约'!$I$46:$N$65</definedName>
    <definedName name="_xlnm.Print_Area" localSheetId="24">'办公收益法-有租约'!$A$1:$F$43,'办公收益法-有租约'!$H$3:$M$29,'办公收益法-有租约'!$A$46:$F$71,'办公收益法-有租约'!$I$46:$N$65</definedName>
    <definedName name="_xlnm.Print_Area" localSheetId="21">'比较法-办公出售'!$A$1:$K$55,'比较法-办公出售'!$A$58:$M$132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8">'比较法-商业出售'!$A$1:$K$54,'比较法-商业出售'!$A$57:$M$131</definedName>
    <definedName name="_xlnm.Print_Area" localSheetId="32">'比较法-商业出租'!$A$1:$K$54,'比较法-商业出租'!$A$57:$M$131</definedName>
    <definedName name="_xlnm.Print_Area" localSheetId="41">'比较法-住宅'!$A$1:$K$54,'比较法-住宅'!$A$57:$M$131</definedName>
    <definedName name="_xlnm.Print_Area" localSheetId="36">成本法!$A$1:$G$57</definedName>
    <definedName name="_xlnm.Print_Area" localSheetId="37">'成本法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47">基准地价修正!$A$1:$J$41,基准地价修正!$A$45:$H$88,基准地价修正!$R$1:$V$16</definedName>
    <definedName name="_xlnm.Print_Area" localSheetId="38">假设开发法!$A$1:$K$32</definedName>
    <definedName name="_xlnm.Print_Area" localSheetId="20">结果表!$A$1:$I$127</definedName>
    <definedName name="_xlnm.Print_Area" localSheetId="27">结果表—商业!$A$1:$I$127</definedName>
    <definedName name="_xlnm.Print_Area" localSheetId="31">'商业收益法-无租约'!$A$1:$F$43,'商业收益法-无租约'!$H$3:$M$29,'商业收益法-无租约'!$A$46:$F$71,'商业收益法-无租约'!$I$46:$N$65</definedName>
    <definedName name="_xlnm.Print_Area" localSheetId="35">收益法!$A$1:$F$43,收益法!$H$3:$M$29,收益法!$A$46:$F$71,收益法!$I$46:$N$65</definedName>
    <definedName name="_xlnm.Print_Area" localSheetId="39">'收益法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19">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2">'比较法-商业出租'!$B$116:$M$116</definedName>
    <definedName name="商业层高" localSheetId="13">'[1]比较法-商业'!$B$116:$M$116</definedName>
    <definedName name="商业层高">'比较法-商业出售'!$B$116:$M$116</definedName>
    <definedName name="商业成新度" localSheetId="32">'比较法-商业出租'!$B$109:$M$109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2">'比较法-商业出租'!$B$107:$M$107</definedName>
    <definedName name="商业公共部分装修" localSheetId="13">'[1]比较法-商业'!$B$107:$M$107</definedName>
    <definedName name="商业公共部分装修">'比较法-商业出售'!$B$107:$M$107</definedName>
    <definedName name="商业基础设施水平" localSheetId="32">'比较法-商业出租'!$B$112:$M$112</definedName>
    <definedName name="商业基础设施水平" localSheetId="13">'[1]比较法-商业'!$B$112:$M$112</definedName>
    <definedName name="商业基础设施水平">'比较法-商业出售'!$B$112:$M$112</definedName>
    <definedName name="商业建筑结构" localSheetId="32">'比较法-商业出租'!$B$105:$M$105</definedName>
    <definedName name="商业建筑结构" localSheetId="13">'[1]比较法-商业'!$B$105:$M$105</definedName>
    <definedName name="商业建筑结构">'比较法-商业出售'!$B$105:$M$105</definedName>
    <definedName name="商业交易情况" localSheetId="32">'比较法-商业出租'!$A$61:$M$61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2">'比较法-商业出租'!$B$120:$M$120</definedName>
    <definedName name="商业进深比" localSheetId="13">'[1]比较法-商业'!$B$120:$M$120</definedName>
    <definedName name="商业进深比">'比较法-商业出售'!$B$120:$M$120</definedName>
    <definedName name="商业类型" localSheetId="32">'比较法-商业出租'!$B$100:$M$100</definedName>
    <definedName name="商业类型" localSheetId="13">'[1]比较法-商业'!$B$100:$M$100</definedName>
    <definedName name="商业类型">'比较法-商业出售'!$B$100:$M$100</definedName>
    <definedName name="商业临街状况" localSheetId="32">'比较法-商业出租'!$B$86:$M$86</definedName>
    <definedName name="商业临街状况" localSheetId="13">'[1]比较法-商业'!$B$86:$M$86</definedName>
    <definedName name="商业临街状况">'比较法-商业出售'!$B$86:$M$86</definedName>
    <definedName name="商业楼层" localSheetId="32">'比较法-商业出租'!$B$92:$M$92</definedName>
    <definedName name="商业楼层" localSheetId="13">'[1]比较法-商业'!$B$92:$M$92</definedName>
    <definedName name="商业楼层">'比较法-商业出售'!$B$92:$M$92</definedName>
    <definedName name="商业内部装修" localSheetId="32">'比较法-商业出租'!$B$122:$M$122</definedName>
    <definedName name="商业内部装修" localSheetId="13">'[1]比较法-商业'!$B$122:$M$122</definedName>
    <definedName name="商业内部装修">'比较法-商业出售'!$B$122:$M$122</definedName>
    <definedName name="商业人流量" localSheetId="32">'比较法-商业出租'!$B$90:$M$90</definedName>
    <definedName name="商业人流量" localSheetId="13">'[1]比较法-商业'!$B$90:$M$90</definedName>
    <definedName name="商业人流量">'比较法-商业出售'!$B$90:$M$90</definedName>
    <definedName name="商业业态" localSheetId="32">'比较法-商业出租'!$B$114:$M$114</definedName>
    <definedName name="商业业态" localSheetId="13">'[1]比较法-商业'!$B$114:$M$114</definedName>
    <definedName name="商业业态">'比较法-商业出售'!$B$114:$M$114</definedName>
    <definedName name="商业用途" localSheetId="32">'比较法-商业出租'!$B$63:$M$63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30">'典型户型修正-商业'!$5:$5</definedName>
    <definedName name="一修多修正项2" localSheetId="33">'典型户型修正-商业出租'!$5:$5</definedName>
    <definedName name="一修多修正项2" localSheetId="13">'[1]典型户型修正-已租'!$5:$5</definedName>
    <definedName name="一修多修正项2">'典型户型修正-办公'!$5:$5</definedName>
    <definedName name="一修多修正项3" localSheetId="30">'典型户型修正-商业'!$7:$7</definedName>
    <definedName name="一修多修正项3" localSheetId="33">'典型户型修正-商业出租'!$7:$7</definedName>
    <definedName name="一修多修正项3" localSheetId="13">'[1]典型户型修正-已租'!$7:$7</definedName>
    <definedName name="一修多修正项3">'典型户型修正-办公'!$7:$7</definedName>
    <definedName name="一修多修正项4" localSheetId="30">'典型户型修正-商业'!$9:$9</definedName>
    <definedName name="一修多修正项4" localSheetId="33">'典型户型修正-商业出租'!$9:$9</definedName>
    <definedName name="一修多修正项4" localSheetId="13">'[1]典型户型修正-已租'!$9:$9</definedName>
    <definedName name="一修多修正项4">'典型户型修正-办公'!$9:$9</definedName>
    <definedName name="一修多修正项5" localSheetId="30">'典型户型修正-商业'!$11:$11</definedName>
    <definedName name="一修多修正项5" localSheetId="33">'典型户型修正-商业出租'!$11:$11</definedName>
    <definedName name="一修多修正项5" localSheetId="13">'[1]典型户型修正-已租'!$11:$11</definedName>
    <definedName name="一修多修正项5">'典型户型修正-办公'!$11:$11</definedName>
    <definedName name="一修多修正项6" localSheetId="30">'典型户型修正-商业'!$13:$13</definedName>
    <definedName name="一修多修正项6" localSheetId="33">'典型户型修正-商业出租'!$13:$13</definedName>
    <definedName name="一修多修正项6" localSheetId="13">'[1]典型户型修正-已租'!$13:$13</definedName>
    <definedName name="一修多修正项6">'典型户型修正-办公'!$13:$13</definedName>
    <definedName name="一修多修正项7" localSheetId="30">'典型户型修正-商业'!$15:$15</definedName>
    <definedName name="一修多修正项7" localSheetId="33">'典型户型修正-商业出租'!$15:$15</definedName>
    <definedName name="一修多修正项7" localSheetId="13">'[1]典型户型修正-已租'!$15:$15</definedName>
    <definedName name="一修多修正项7">'典型户型修正-办公'!$15:$15</definedName>
    <definedName name="一修多修正项8" localSheetId="30">'典型户型修正-商业'!$17:$17</definedName>
    <definedName name="一修多修正项8" localSheetId="33">'典型户型修正-商业出租'!$17:$17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<sst xmlns="http://schemas.openxmlformats.org/spreadsheetml/2006/main" count="11618" uniqueCount="3207">
  <si>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</si>
  <si>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</si>
  <si>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</si>
  <si>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</si>
  <si>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</si>
  <si>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</si>
  <si>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</si>
  <si>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</si>
  <si>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</si>
  <si>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</si>
  <si>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</si>
  <si>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</si>
  <si>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</si>
  <si>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</si>
  <si>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</si>
  <si>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</si>
  <si>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</si>
  <si>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</si>
  <si>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</si>
  <si>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</si>
  <si>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</si>
  <si>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</si>
  <si>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</si>
  <si>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</si>
  <si>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</si>
  <si>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</si>
  <si>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</si>
  <si>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</si>
  <si>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</si>
  <si>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</si>
  <si>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</si>
  <si>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</si>
  <si>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</si>
  <si>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</si>
  <si>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</si>
  <si>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</si>
  <si>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</si>
  <si>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</si>
  <si>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</si>
  <si>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</si>
  <si>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</si>
  <si>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</si>
  <si>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</si>
  <si>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</si>
  <si>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</si>
  <si>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</si>
  <si>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</si>
  <si>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</si>
  <si>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</si>
  <si>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</si>
  <si>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</si>
  <si>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</si>
  <si>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</si>
  <si>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</si>
  <si>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</si>
  <si>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</si>
  <si>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</si>
  <si>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</si>
  <si>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</si>
  <si>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</si>
  <si>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</si>
  <si>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</si>
  <si>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</si>
  <si>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</si>
  <si>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</si>
  <si>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</si>
  <si>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</si>
  <si>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</si>
  <si>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</si>
  <si>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</si>
  <si>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</si>
  <si>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</si>
  <si>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</si>
  <si>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</si>
  <si>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</si>
  <si>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</si>
  <si>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</si>
  <si>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</si>
  <si>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</si>
  <si>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</si>
  <si>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</si>
  <si>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</si>
  <si>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</si>
  <si>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</si>
  <si>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</si>
  <si>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</si>
  <si>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</si>
  <si>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</si>
  <si>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</si>
  <si>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</si>
  <si>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</si>
  <si>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</si>
  <si>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</si>
  <si>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</si>
  <si>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</si>
  <si>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</si>
  <si>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</si>
  <si>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</si>
  <si>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</si>
  <si>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</si>
  <si>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</si>
  <si>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</si>
  <si>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</si>
  <si>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</si>
  <si>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</si>
  <si>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</si>
  <si>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</si>
  <si>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</si>
  <si>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</si>
  <si>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</si>
  <si>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</si>
  <si>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</si>
  <si>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</si>
  <si>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</si>
  <si>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</si>
  <si>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</si>
  <si>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</si>
  <si>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</si>
  <si>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</si>
  <si>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</si>
  <si>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</si>
  <si>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</si>
  <si>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</si>
  <si>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</si>
  <si>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</si>
  <si>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</si>
  <si>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</si>
  <si>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</si>
  <si>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</si>
  <si>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</si>
  <si>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</si>
  <si>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</si>
  <si>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</si>
  <si>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</si>
  <si>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</si>
  <si>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</si>
  <si>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</si>
  <si>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</si>
  <si>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</si>
  <si>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</si>
  <si>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</si>
  <si>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</si>
  <si>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</si>
  <si>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</si>
  <si>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</si>
  <si>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</si>
  <si>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</si>
  <si>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</si>
  <si>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</si>
  <si>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</si>
  <si>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</si>
  <si>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</si>
  <si>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</si>
  <si>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</si>
  <si>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</si>
  <si>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</si>
  <si>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</si>
  <si>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</si>
  <si>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</si>
  <si>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</si>
  <si>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</si>
  <si>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</si>
  <si>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</si>
  <si>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</si>
  <si>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</si>
  <si>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</si>
  <si>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</si>
  <si>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</si>
  <si>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</si>
  <si>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</si>
  <si>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</si>
  <si>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</si>
  <si>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</si>
  <si>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</si>
  <si>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</si>
  <si>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</si>
  <si>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</si>
  <si>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</si>
  <si>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</si>
  <si>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</si>
  <si>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</si>
  <si>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</si>
  <si>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</si>
  <si>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</si>
  <si>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</si>
  <si>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</si>
  <si>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</si>
  <si>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</si>
  <si>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</si>
  <si>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</si>
  <si>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</si>
  <si>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</si>
  <si>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</si>
  <si>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</si>
  <si>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</si>
  <si>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</si>
  <si>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</si>
  <si>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</si>
  <si>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</si>
  <si>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</si>
  <si>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</si>
  <si>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</si>
  <si>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</si>
  <si>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</si>
  <si>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</si>
  <si>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</si>
  <si>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</si>
  <si>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</si>
  <si>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</si>
  <si>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</si>
  <si>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</si>
  <si>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</si>
  <si>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</si>
  <si>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</si>
  <si>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</si>
  <si>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</si>
  <si>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</si>
  <si>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</si>
  <si>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</si>
  <si>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</si>
  <si>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</si>
  <si>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</si>
  <si>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</si>
  <si>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</si>
  <si>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</si>
  <si>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</si>
  <si>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</si>
  <si>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</si>
  <si>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</si>
  <si>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</si>
  <si>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</si>
  <si>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</si>
  <si>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</si>
  <si>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</si>
  <si>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</si>
  <si>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</si>
  <si>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</si>
  <si>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</si>
  <si>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</si>
  <si>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</si>
  <si>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</si>
  <si>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</si>
  <si>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</si>
  <si>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</si>
  <si>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</si>
  <si>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</si>
  <si>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</si>
  <si>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</si>
  <si>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</si>
  <si>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</si>
  <si>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</si>
  <si>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</si>
  <si>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</si>
  <si>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</si>
  <si>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</si>
  <si>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</si>
  <si>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</si>
  <si>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</si>
  <si>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</si>
  <si>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</si>
  <si>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</si>
  <si>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</si>
  <si>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</si>
  <si>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</si>
  <si>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</si>
  <si>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</si>
  <si>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</si>
  <si>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</si>
  <si>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</si>
  <si>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</si>
  <si>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</si>
  <si>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</si>
  <si>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</si>
  <si>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</si>
  <si>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</si>
  <si>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</si>
  <si>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</si>
  <si>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</si>
  <si>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</si>
  <si>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</si>
  <si>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</si>
  <si>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</si>
  <si>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</si>
  <si>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</si>
  <si>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</si>
  <si>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</si>
  <si>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</si>
  <si>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</si>
  <si>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</si>
  <si>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</si>
  <si>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</si>
  <si>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</si>
  <si>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</si>
  <si>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</si>
  <si>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</si>
  <si>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</si>
  <si>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</si>
  <si>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</si>
  <si>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</si>
  <si>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</si>
  <si>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</si>
  <si>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</si>
  <si>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</si>
  <si>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</si>
  <si>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</si>
  <si>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</si>
  <si>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</si>
  <si>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</si>
  <si>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</si>
  <si>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</si>
  <si>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</si>
  <si>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</si>
  <si>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</si>
  <si>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</si>
  <si>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</si>
  <si>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</si>
  <si>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</si>
  <si>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</si>
  <si>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</si>
  <si>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</si>
  <si>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</si>
  <si>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</si>
  <si>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</si>
  <si>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</si>
  <si>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</si>
  <si>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</si>
  <si>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</si>
  <si>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</si>
  <si>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</si>
  <si>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</si>
  <si>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</si>
  <si>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</si>
  <si>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</si>
  <si>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</si>
  <si>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</si>
  <si>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</si>
  <si>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</si>
  <si>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</si>
  <si>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</si>
  <si>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</si>
  <si>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</si>
  <si>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</si>
  <si>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</si>
  <si>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</si>
  <si>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</si>
  <si>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</si>
  <si>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</si>
  <si>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</si>
  <si>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</si>
  <si>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</si>
  <si>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</si>
  <si>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</si>
  <si>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</si>
  <si>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</si>
  <si>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</si>
  <si>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</si>
  <si>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</si>
  <si>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</si>
  <si>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</si>
  <si>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</si>
  <si>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</si>
  <si>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</si>
  <si>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</si>
  <si>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</si>
  <si>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</si>
  <si>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</si>
  <si>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</si>
  <si>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</si>
  <si>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</si>
  <si>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</si>
  <si>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</si>
  <si>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</si>
  <si>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</si>
  <si>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</si>
  <si>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</si>
  <si>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</si>
  <si>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</si>
  <si>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</si>
  <si>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</si>
  <si>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</si>
  <si>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</si>
  <si>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</si>
  <si>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</si>
  <si>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</si>
  <si>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</si>
  <si>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</si>
  <si>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</si>
  <si>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</si>
  <si>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</si>
  <si>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</si>
  <si>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</si>
  <si>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</si>
  <si>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</si>
  <si>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</si>
  <si>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</si>
  <si>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</si>
  <si>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</si>
  <si>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</si>
  <si>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</si>
  <si>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</si>
  <si>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</si>
  <si>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</si>
  <si>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</si>
  <si>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</si>
  <si>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</si>
  <si>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</si>
  <si>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</si>
  <si>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</si>
  <si>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</si>
  <si>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</si>
  <si>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</si>
  <si>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</si>
  <si>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</si>
  <si>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</si>
  <si>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</si>
  <si>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</si>
  <si>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</si>
  <si>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</si>
  <si>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</si>
  <si>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</si>
  <si>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</si>
  <si>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</si>
  <si>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</si>
  <si>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</si>
  <si>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</si>
  <si>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</si>
  <si>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</si>
  <si>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</si>
  <si>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</si>
  <si>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</si>
  <si>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</si>
  <si>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</si>
  <si>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</si>
  <si>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</si>
  <si>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</si>
  <si>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</si>
  <si>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</si>
  <si>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</si>
  <si>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</si>
  <si>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</si>
  <si>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</si>
  <si>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</si>
  <si>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</si>
  <si>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</si>
  <si>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</si>
  <si>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</si>
  <si>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</si>
  <si>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</si>
  <si>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</si>
  <si>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</si>
  <si>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</si>
  <si>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</si>
  <si>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</si>
  <si>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</si>
  <si>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</si>
  <si>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</si>
  <si>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</si>
  <si>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</si>
  <si>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</si>
  <si>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</si>
  <si>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</si>
  <si>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</si>
  <si>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</si>
  <si>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</si>
  <si>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</si>
  <si>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</si>
  <si>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</si>
  <si>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</si>
  <si>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</si>
  <si>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</si>
  <si>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</si>
  <si>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</si>
  <si>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</si>
  <si>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</si>
  <si>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</si>
  <si>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</si>
  <si>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</si>
  <si>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</si>
  <si>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</si>
  <si>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</si>
  <si>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</si>
  <si>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</si>
  <si>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</si>
  <si>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</si>
  <si>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</si>
  <si>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</si>
  <si>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</si>
  <si>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</si>
  <si>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</si>
  <si>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</si>
  <si>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</si>
  <si>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</si>
  <si>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</si>
  <si>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</si>
  <si>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</si>
  <si>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</si>
  <si>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</si>
  <si>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</si>
  <si>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</si>
  <si>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</si>
  <si>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</si>
  <si>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</si>
  <si>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</si>
  <si>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</si>
  <si>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</si>
  <si>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</si>
  <si>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</si>
  <si>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</si>
  <si>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</si>
  <si>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</si>
  <si>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</si>
  <si>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</si>
  <si>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</si>
  <si>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</si>
  <si>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</si>
  <si>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总建筑面积</t>
  </si>
  <si>
    <t>人防</t>
  </si>
  <si>
    <t>去除人防</t>
  </si>
  <si>
    <t>地铁及其他</t>
  </si>
  <si>
    <t>收益建筑面积</t>
  </si>
  <si>
    <t>1层</t>
  </si>
  <si>
    <t>2层</t>
  </si>
  <si>
    <t>地下商业</t>
  </si>
  <si>
    <t>3层</t>
  </si>
  <si>
    <t>附属层</t>
  </si>
  <si>
    <t>地下办公</t>
  </si>
  <si>
    <t>设备用房</t>
  </si>
  <si>
    <r>
      <rPr>
        <sz val="11"/>
        <color theme="1"/>
        <rFont val="宋体"/>
        <charset val="134"/>
        <scheme val="minor"/>
      </rPr>
      <t>2</t>
    </r>
    <r>
      <rPr>
        <sz val="11"/>
        <color theme="1"/>
        <rFont val="宋体"/>
        <charset val="134"/>
        <scheme val="minor"/>
      </rPr>
      <t>2号楼</t>
    </r>
  </si>
  <si>
    <t>楼栋</t>
  </si>
  <si>
    <t>楼层</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</si>
  <si>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</si>
  <si>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</si>
  <si>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</si>
  <si>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</si>
  <si>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</si>
  <si>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</si>
  <si>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</si>
  <si>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</si>
  <si>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</si>
  <si>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</si>
  <si>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</si>
  <si>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</si>
  <si>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</si>
  <si>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</si>
  <si>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</si>
  <si>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</si>
  <si>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</si>
  <si>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</si>
  <si>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</si>
  <si>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</si>
  <si>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</si>
  <si>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</si>
  <si>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</si>
  <si>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</si>
  <si>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</si>
  <si>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</si>
  <si>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</si>
  <si>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</si>
  <si>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</si>
  <si>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</si>
  <si>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</si>
  <si>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</si>
  <si>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</si>
  <si>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</si>
  <si>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</si>
  <si>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</si>
  <si>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</si>
  <si>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</si>
  <si>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</si>
  <si>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</si>
  <si>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</si>
  <si>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</si>
  <si>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</si>
  <si>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</si>
  <si>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</si>
  <si>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</si>
  <si>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</si>
  <si>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</si>
  <si>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</si>
  <si>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</si>
  <si>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</si>
  <si>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</si>
  <si>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</si>
  <si>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</si>
  <si>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</si>
  <si>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</si>
  <si>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</si>
  <si>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</si>
  <si>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</si>
  <si>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</si>
  <si>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</si>
  <si>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</si>
  <si>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</si>
  <si>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</si>
  <si>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</si>
  <si>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</si>
  <si>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</si>
  <si>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</si>
  <si>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</si>
  <si>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</si>
  <si>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</si>
  <si>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</si>
  <si>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</si>
  <si>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</si>
  <si>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</si>
  <si>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</si>
  <si>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</si>
  <si>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</si>
  <si>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</si>
  <si>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</si>
  <si>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</si>
  <si>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</si>
  <si>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</si>
  <si>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</si>
  <si>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</si>
  <si>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</si>
  <si>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</si>
  <si>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</si>
  <si>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</si>
  <si>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</si>
  <si>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</si>
  <si>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</si>
  <si>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</si>
  <si>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</si>
  <si>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</si>
  <si>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</si>
  <si>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</si>
  <si>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</si>
  <si>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</si>
  <si>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</si>
  <si>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</si>
  <si>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</si>
  <si>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</si>
  <si>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</si>
  <si>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</si>
  <si>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</si>
  <si>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</si>
  <si>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</si>
  <si>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</si>
  <si>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</si>
  <si>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</si>
  <si>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</si>
  <si>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</si>
  <si>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</si>
  <si>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</si>
  <si>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</si>
  <si>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</si>
  <si>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</si>
  <si>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</si>
  <si>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</si>
  <si>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</si>
  <si>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</si>
  <si>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</si>
  <si>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</si>
  <si>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</si>
  <si>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</si>
  <si>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</si>
  <si>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</si>
  <si>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</si>
  <si>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</si>
  <si>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</si>
  <si>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</si>
  <si>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</si>
  <si>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</si>
  <si>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</si>
  <si>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</si>
  <si>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</si>
  <si>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</si>
  <si>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</si>
  <si>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</si>
  <si>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</si>
  <si>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</si>
  <si>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</si>
  <si>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</si>
  <si>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</si>
  <si>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</si>
  <si>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</si>
  <si>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</si>
  <si>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</si>
  <si>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</si>
  <si>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</si>
  <si>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</si>
  <si>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</si>
  <si>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</si>
  <si>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</si>
  <si>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</si>
  <si>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</si>
  <si>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</si>
  <si>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</si>
  <si>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</si>
  <si>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</si>
  <si>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</si>
  <si>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</si>
  <si>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</si>
  <si>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</si>
  <si>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</si>
  <si>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</si>
  <si>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</si>
  <si>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</si>
  <si>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</si>
  <si>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</si>
  <si>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</si>
  <si>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</si>
  <si>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</si>
  <si>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</si>
  <si>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</si>
  <si>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</si>
  <si>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</si>
  <si>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</si>
  <si>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</si>
  <si>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</si>
  <si>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</si>
  <si>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</si>
  <si>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</si>
  <si>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</si>
  <si>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</si>
  <si>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</si>
  <si>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</si>
  <si>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</si>
  <si>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</si>
  <si>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</si>
  <si>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</si>
  <si>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</si>
  <si>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</si>
  <si>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</si>
  <si>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</si>
  <si>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</si>
  <si>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</si>
  <si>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</si>
  <si>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</si>
  <si>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</si>
  <si>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</si>
  <si>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</si>
  <si>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</si>
  <si>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</si>
  <si>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</si>
  <si>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</si>
  <si>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</si>
  <si>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</si>
  <si>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</si>
  <si>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</si>
  <si>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</si>
  <si>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</si>
  <si>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</si>
  <si>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</si>
  <si>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</si>
  <si>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</si>
  <si>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</si>
  <si>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</si>
  <si>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</si>
  <si>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</si>
  <si>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</si>
  <si>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</si>
  <si>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</si>
  <si>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</si>
  <si>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</si>
  <si>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</si>
  <si>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</si>
  <si>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</si>
  <si>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</si>
  <si>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</si>
  <si>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</si>
  <si>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</si>
  <si>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</si>
  <si>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</si>
  <si>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</si>
  <si>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</si>
  <si>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</si>
  <si>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</si>
  <si>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</si>
  <si>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</si>
  <si>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</si>
  <si>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</si>
  <si>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</si>
  <si>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</si>
  <si>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</si>
  <si>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</si>
  <si>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</si>
  <si>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</si>
  <si>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</si>
  <si>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</si>
  <si>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</si>
  <si>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</si>
  <si>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</si>
  <si>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</si>
  <si>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</si>
  <si>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</si>
  <si>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</si>
  <si>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</si>
  <si>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</si>
  <si>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</si>
  <si>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</si>
  <si>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</si>
  <si>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</si>
  <si>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</si>
  <si>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</si>
  <si>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</si>
  <si>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</si>
  <si>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</si>
  <si>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</si>
  <si>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</si>
  <si>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</si>
  <si>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</si>
  <si>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</si>
  <si>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</si>
  <si>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</si>
  <si>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</si>
  <si>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</si>
  <si>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</si>
  <si>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</si>
  <si>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</si>
  <si>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</si>
  <si>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</si>
  <si>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</si>
  <si>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</si>
  <si>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</si>
  <si>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</si>
  <si>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</si>
  <si>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</si>
  <si>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</si>
  <si>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</si>
  <si>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</si>
  <si>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</si>
  <si>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</si>
  <si>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</si>
  <si>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</si>
  <si>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</si>
  <si>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</si>
  <si>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</si>
  <si>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</si>
  <si>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</si>
  <si>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</si>
  <si>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</si>
  <si>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</si>
  <si>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</si>
  <si>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</si>
  <si>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</si>
  <si>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</si>
  <si>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</si>
  <si>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</si>
  <si>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</si>
  <si>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</si>
  <si>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</si>
  <si>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</si>
  <si>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</si>
  <si>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</si>
  <si>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</si>
  <si>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</si>
  <si>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</si>
  <si>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</si>
  <si>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</si>
  <si>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</si>
  <si>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</si>
  <si>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</si>
  <si>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</si>
  <si>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</si>
  <si>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</si>
  <si>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</si>
  <si>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</si>
  <si>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</si>
  <si>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</si>
  <si>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</si>
  <si>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</si>
  <si>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</si>
  <si>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</si>
  <si>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</si>
  <si>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</si>
  <si>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</si>
  <si>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</si>
  <si>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</si>
  <si>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</si>
  <si>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</si>
  <si>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</si>
  <si>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</si>
  <si>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</si>
  <si>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</si>
  <si>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</si>
  <si>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</si>
  <si>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</si>
  <si>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</si>
  <si>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</si>
  <si>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</si>
  <si>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</si>
  <si>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</si>
  <si>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</si>
  <si>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</si>
  <si>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</si>
  <si>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</si>
  <si>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</si>
  <si>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</si>
  <si>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</si>
  <si>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</si>
  <si>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</si>
  <si>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</si>
  <si>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</si>
  <si>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</si>
  <si>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</si>
  <si>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</si>
  <si>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</si>
  <si>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</si>
  <si>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</si>
  <si>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</si>
  <si>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</si>
  <si>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</si>
  <si>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</si>
  <si>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</si>
  <si>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</si>
  <si>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</si>
  <si>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</si>
  <si>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</si>
  <si>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</si>
  <si>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</si>
  <si>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</si>
  <si>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</si>
  <si>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</si>
  <si>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</si>
  <si>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</si>
  <si>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</si>
  <si>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</si>
  <si>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</si>
  <si>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</si>
  <si>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</si>
  <si>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</si>
  <si>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</si>
  <si>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</si>
  <si>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</si>
  <si>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</si>
  <si>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</si>
  <si>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</si>
  <si>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</si>
  <si>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</si>
  <si>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</si>
  <si>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</si>
  <si>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</si>
  <si>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</si>
  <si>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</si>
  <si>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</si>
  <si>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</si>
  <si>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</si>
  <si>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</si>
  <si>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</si>
  <si>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</si>
  <si>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</si>
  <si>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</si>
  <si>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</si>
  <si>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</si>
  <si>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</si>
  <si>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</si>
  <si>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</si>
  <si>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</si>
  <si>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</si>
  <si>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</si>
  <si>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</si>
  <si>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</si>
  <si>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</si>
  <si>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</si>
  <si>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</si>
  <si>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</si>
  <si>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</si>
  <si>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</si>
  <si>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</si>
  <si>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</si>
  <si>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</si>
  <si>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</si>
  <si>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</si>
  <si>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</si>
  <si>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</si>
  <si>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</si>
  <si>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</si>
  <si>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</si>
  <si>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</si>
  <si>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</si>
  <si>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</si>
  <si>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</si>
  <si>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</si>
  <si>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</si>
  <si>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</si>
  <si>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</si>
  <si>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</si>
  <si>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</si>
  <si>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</si>
  <si>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</si>
  <si>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</si>
  <si>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</si>
  <si>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</si>
  <si>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</si>
  <si>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</si>
  <si>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</si>
  <si>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</si>
  <si>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</si>
  <si>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</si>
  <si>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</si>
  <si>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</si>
  <si>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</si>
  <si>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</si>
  <si>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</si>
  <si>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</si>
  <si>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</si>
  <si>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</si>
  <si>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</si>
  <si>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</si>
  <si>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</si>
  <si>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</si>
  <si>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</si>
  <si>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</si>
  <si>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</si>
  <si>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</si>
  <si>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</si>
  <si>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</si>
  <si>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</si>
  <si>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</si>
  <si>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</si>
  <si>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</si>
  <si>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</si>
  <si>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</si>
  <si>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</si>
  <si>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</si>
  <si>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</si>
  <si>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</si>
  <si>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</si>
  <si>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</si>
  <si>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</si>
  <si>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</si>
  <si>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</si>
  <si>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</si>
  <si>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</si>
  <si>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</si>
  <si>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</si>
  <si>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</si>
  <si>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</si>
  <si>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</si>
  <si>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</si>
  <si>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</si>
  <si>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</si>
  <si>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</si>
  <si>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</si>
  <si>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</si>
  <si>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t>单位租金</t>
  </si>
  <si>
    <t>年总租金</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</si>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</sst>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_ ;[Red]\-0\ "/>
    <numFmt numFmtId="177" formatCode="0.00_);[Red]\(0.00\)"/>
    <numFmt numFmtId="178" formatCode="yyyy/m/d;@"/>
    <numFmt numFmtId="179" formatCode="0.0%"/>
    <numFmt numFmtId="180" formatCode="0.0_ "/>
    <numFmt numFmtId="181" formatCode="0.00_ "/>
    <numFmt numFmtId="182" formatCode="0_ "/>
    <numFmt numFmtId="183" formatCode="[$-F800]dddd\,\ mmmm\ dd\,\ yyyy"/>
    <numFmt numFmtId="184" formatCode="0.0000%"/>
    <numFmt numFmtId="185" formatCode="_(* #,##0.00_);_(* \(#,##0.00\);_(* &quot;-&quot;??_);_(@_)"/>
    <numFmt numFmtId="186" formatCode="#0.00"/>
    <numFmt numFmtId="187" formatCode="0.0_);[Red]\(0.0\)"/>
    <numFmt numFmtId="188" formatCode="0_);[Red]\(0\)"/>
    <numFmt numFmtId="189" formatCode="[DBNum2][$-804]General"/>
    <numFmt numFmtId="190" formatCode="0.000_ "/>
    <numFmt numFmtId="191" formatCode="0.0000_ "/>
    <numFmt numFmtId="192" formatCode="[DBNum1][$-804]yyyy&quot;年&quot;m&quot;月&quot;d&quot;日&quot;;@"/>
    <numFmt numFmtId="193" formatCode="0.000%"/>
    <numFmt numFmtId="194" formatCode="0.000_);[Red]\(0.000\)"/>
    <numFmt numFmtId="195" formatCode="yyyy&quot;年&quot;m&quot;月&quot;d&quot;日&quot;;@"/>
    <numFmt numFmtId="196" formatCode="[DBNum1][$-804]General"/>
    <numFmt numFmtId="197" formatCode="0;_쐀"/>
    <numFmt numFmtId="198" formatCode="yyyy&quot;年&quot;m&quot;月&quot;;@"/>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8"/>
      <color theme="1"/>
      <name val="华文细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theme="1"/>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sz val="9"/>
      <name val="宋体"/>
      <charset val="134"/>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12"/>
      <name val="宋体"/>
      <charset val="134"/>
    </font>
    <font>
      <b/>
      <sz val="8"/>
      <name val="宋体"/>
      <charset val="134"/>
    </font>
    <font>
      <sz val="11"/>
      <name val="宋体"/>
      <charset val="134"/>
    </font>
    <font>
      <b/>
      <sz val="9"/>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8" borderId="0" applyNumberFormat="0" applyBorder="0" applyAlignment="0" applyProtection="0">
      <alignment vertical="center"/>
    </xf>
    <xf numFmtId="0" fontId="159" fillId="25"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9" borderId="0" applyNumberFormat="0" applyBorder="0" applyAlignment="0" applyProtection="0">
      <alignment vertical="center"/>
    </xf>
    <xf numFmtId="0" fontId="154" fillId="23" borderId="0" applyNumberFormat="0" applyBorder="0" applyAlignment="0" applyProtection="0">
      <alignment vertical="center"/>
    </xf>
    <xf numFmtId="43" fontId="0" fillId="0" borderId="0" applyFont="0" applyFill="0" applyBorder="0" applyAlignment="0" applyProtection="0">
      <alignment vertical="center"/>
    </xf>
    <xf numFmtId="0" fontId="161" fillId="29"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0" fillId="24" borderId="164"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61" fillId="34" borderId="0" applyNumberFormat="0" applyBorder="0" applyAlignment="0" applyProtection="0">
      <alignment vertical="center"/>
    </xf>
    <xf numFmtId="0" fontId="15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7" fillId="0" borderId="162" applyNumberFormat="0" applyFill="0" applyAlignment="0" applyProtection="0">
      <alignment vertical="center"/>
    </xf>
    <xf numFmtId="0" fontId="153" fillId="0" borderId="162" applyNumberFormat="0" applyFill="0" applyAlignment="0" applyProtection="0">
      <alignment vertical="center"/>
    </xf>
    <xf numFmtId="0" fontId="161" fillId="31" borderId="0" applyNumberFormat="0" applyBorder="0" applyAlignment="0" applyProtection="0">
      <alignment vertical="center"/>
    </xf>
    <xf numFmtId="0" fontId="158" fillId="0" borderId="168" applyNumberFormat="0" applyFill="0" applyAlignment="0" applyProtection="0">
      <alignment vertical="center"/>
    </xf>
    <xf numFmtId="0" fontId="161" fillId="33" borderId="0" applyNumberFormat="0" applyBorder="0" applyAlignment="0" applyProtection="0">
      <alignment vertical="center"/>
    </xf>
    <xf numFmtId="0" fontId="162" fillId="30" borderId="166" applyNumberFormat="0" applyAlignment="0" applyProtection="0">
      <alignment vertical="center"/>
    </xf>
    <xf numFmtId="0" fontId="165" fillId="30" borderId="165" applyNumberFormat="0" applyAlignment="0" applyProtection="0">
      <alignment vertical="center"/>
    </xf>
    <xf numFmtId="0" fontId="168" fillId="35" borderId="169" applyNumberFormat="0" applyAlignment="0" applyProtection="0">
      <alignment vertical="center"/>
    </xf>
    <xf numFmtId="0" fontId="155" fillId="0" borderId="163" applyNumberFormat="0" applyFill="0" applyAlignment="0" applyProtection="0">
      <alignment vertical="center"/>
    </xf>
    <xf numFmtId="0" fontId="121" fillId="0" borderId="0">
      <alignment vertical="center"/>
    </xf>
    <xf numFmtId="0" fontId="160" fillId="38" borderId="0" applyNumberFormat="0" applyBorder="0" applyAlignment="0" applyProtection="0">
      <alignment vertical="center"/>
    </xf>
    <xf numFmtId="0" fontId="161" fillId="46" borderId="0" applyNumberFormat="0" applyBorder="0" applyAlignment="0" applyProtection="0">
      <alignment vertical="center"/>
    </xf>
    <xf numFmtId="0" fontId="164" fillId="0" borderId="167" applyNumberFormat="0" applyFill="0" applyAlignment="0" applyProtection="0">
      <alignment vertical="center"/>
    </xf>
    <xf numFmtId="0" fontId="171" fillId="0" borderId="0">
      <alignment vertical="center"/>
    </xf>
    <xf numFmtId="0" fontId="172" fillId="47" borderId="0" applyNumberFormat="0" applyBorder="0" applyAlignment="0" applyProtection="0">
      <alignment vertical="center"/>
    </xf>
    <xf numFmtId="0" fontId="0" fillId="0" borderId="0">
      <alignment vertical="center"/>
    </xf>
    <xf numFmtId="0" fontId="0" fillId="0" borderId="0">
      <alignment vertical="center"/>
    </xf>
    <xf numFmtId="0" fontId="170" fillId="40" borderId="0" applyNumberFormat="0" applyBorder="0" applyAlignment="0" applyProtection="0">
      <alignment vertical="center"/>
    </xf>
    <xf numFmtId="0" fontId="121" fillId="0" borderId="0">
      <alignment vertical="center"/>
    </xf>
    <xf numFmtId="0" fontId="160" fillId="27" borderId="0" applyNumberFormat="0" applyBorder="0" applyAlignment="0" applyProtection="0">
      <alignment vertical="center"/>
    </xf>
    <xf numFmtId="0" fontId="161" fillId="45" borderId="0" applyNumberFormat="0" applyBorder="0" applyAlignment="0" applyProtection="0">
      <alignment vertical="center"/>
    </xf>
    <xf numFmtId="0" fontId="160" fillId="44" borderId="0" applyNumberFormat="0" applyBorder="0" applyAlignment="0" applyProtection="0">
      <alignment vertical="center"/>
    </xf>
    <xf numFmtId="0" fontId="160" fillId="39" borderId="0" applyNumberFormat="0" applyBorder="0" applyAlignment="0" applyProtection="0">
      <alignment vertical="center"/>
    </xf>
    <xf numFmtId="0" fontId="160" fillId="37" borderId="0" applyNumberFormat="0" applyBorder="0" applyAlignment="0" applyProtection="0">
      <alignment vertical="center"/>
    </xf>
    <xf numFmtId="0" fontId="160" fillId="50" borderId="0" applyNumberFormat="0" applyBorder="0" applyAlignment="0" applyProtection="0">
      <alignment vertical="center"/>
    </xf>
    <xf numFmtId="0" fontId="161" fillId="43" borderId="0" applyNumberFormat="0" applyBorder="0" applyAlignment="0" applyProtection="0">
      <alignment vertical="center"/>
    </xf>
    <xf numFmtId="0" fontId="0" fillId="0" borderId="0">
      <alignment vertical="center"/>
    </xf>
    <xf numFmtId="0" fontId="161" fillId="32" borderId="0" applyNumberFormat="0" applyBorder="0" applyAlignment="0" applyProtection="0">
      <alignment vertical="center"/>
    </xf>
    <xf numFmtId="0" fontId="160" fillId="36" borderId="0" applyNumberFormat="0" applyBorder="0" applyAlignment="0" applyProtection="0">
      <alignment vertical="center"/>
    </xf>
    <xf numFmtId="0" fontId="160" fillId="49" borderId="0" applyNumberFormat="0" applyBorder="0" applyAlignment="0" applyProtection="0">
      <alignment vertical="center"/>
    </xf>
    <xf numFmtId="0" fontId="161" fillId="48" borderId="0" applyNumberFormat="0" applyBorder="0" applyAlignment="0" applyProtection="0">
      <alignment vertical="center"/>
    </xf>
    <xf numFmtId="0" fontId="0" fillId="0" borderId="0">
      <alignment vertical="center"/>
    </xf>
    <xf numFmtId="0" fontId="160" fillId="17" borderId="0" applyNumberFormat="0" applyBorder="0" applyAlignment="0" applyProtection="0">
      <alignment vertical="center"/>
    </xf>
    <xf numFmtId="0" fontId="161" fillId="51" borderId="0" applyNumberFormat="0" applyBorder="0" applyAlignment="0" applyProtection="0">
      <alignment vertical="center"/>
    </xf>
    <xf numFmtId="0" fontId="161" fillId="42" borderId="0" applyNumberFormat="0" applyBorder="0" applyAlignment="0" applyProtection="0">
      <alignment vertical="center"/>
    </xf>
    <xf numFmtId="0" fontId="160" fillId="26" borderId="0" applyNumberFormat="0" applyBorder="0" applyAlignment="0" applyProtection="0">
      <alignment vertical="center"/>
    </xf>
    <xf numFmtId="0" fontId="161" fillId="41"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3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7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8"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8" fontId="36" fillId="7" borderId="52" xfId="22" applyNumberFormat="1" applyFont="1" applyFill="1" applyBorder="1" applyAlignment="1" applyProtection="1">
      <alignment horizontal="left" vertical="center" wrapText="1"/>
    </xf>
    <xf numFmtId="188"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8" fontId="36" fillId="7" borderId="52" xfId="22" applyNumberFormat="1" applyFont="1" applyFill="1" applyBorder="1" applyAlignment="1">
      <alignment horizontal="left" vertical="center" wrapText="1"/>
    </xf>
    <xf numFmtId="188"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8" fontId="36" fillId="7" borderId="51" xfId="22" applyNumberFormat="1" applyFont="1" applyFill="1" applyBorder="1" applyAlignment="1">
      <alignment horizontal="left" vertical="center" wrapText="1"/>
    </xf>
    <xf numFmtId="188"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8" fontId="36" fillId="7" borderId="58" xfId="22" applyNumberFormat="1" applyFont="1" applyFill="1" applyBorder="1" applyAlignment="1">
      <alignment horizontal="left" vertical="center" wrapText="1"/>
    </xf>
    <xf numFmtId="188" fontId="36" fillId="7" borderId="60" xfId="22" applyNumberFormat="1" applyFont="1" applyFill="1" applyBorder="1" applyAlignment="1">
      <alignment horizontal="left" vertical="center" wrapText="1"/>
    </xf>
    <xf numFmtId="188" fontId="6" fillId="6"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48" xfId="22" applyNumberFormat="1" applyFont="1" applyBorder="1" applyAlignment="1">
      <alignment horizontal="left" vertical="center"/>
    </xf>
    <xf numFmtId="179"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2"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48"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0" fontId="38" fillId="0" borderId="0" xfId="22" applyNumberFormat="1" applyFont="1" applyAlignment="1">
      <alignment horizontal="left" vertical="center"/>
    </xf>
    <xf numFmtId="190" fontId="38" fillId="0" borderId="48"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1"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1"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1"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1"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1" fontId="29" fillId="2" borderId="81" xfId="0" applyNumberFormat="1" applyFont="1" applyFill="1" applyBorder="1" applyAlignment="1" applyProtection="1">
      <alignment horizontal="center" vertical="center" wrapText="1"/>
    </xf>
    <xf numFmtId="191"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1"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1"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91"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38"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1"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1"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179"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5"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5"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5"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8"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79" fontId="51" fillId="11" borderId="46" xfId="0" applyNumberFormat="1" applyFont="1" applyFill="1" applyBorder="1" applyAlignment="1" applyProtection="1">
      <alignment horizontal="left" vertical="center" wrapText="1"/>
      <protection locked="0"/>
    </xf>
    <xf numFmtId="188"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8"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79" fontId="50" fillId="2" borderId="2" xfId="0" applyNumberFormat="1" applyFont="1" applyFill="1" applyBorder="1" applyAlignment="1" applyProtection="1">
      <alignment horizontal="center" vertical="center"/>
    </xf>
    <xf numFmtId="179"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7" fontId="65" fillId="2" borderId="68" xfId="0" applyNumberFormat="1" applyFont="1" applyFill="1" applyBorder="1" applyAlignment="1" applyProtection="1">
      <alignment horizontal="center" vertical="center"/>
    </xf>
    <xf numFmtId="179"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7" fontId="65" fillId="2" borderId="0" xfId="0" applyNumberFormat="1" applyFont="1" applyFill="1" applyBorder="1" applyAlignment="1" applyProtection="1">
      <alignment horizontal="center" vertical="center"/>
      <protection locked="0"/>
    </xf>
    <xf numFmtId="179"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7" fontId="58" fillId="2" borderId="4" xfId="0" applyNumberFormat="1" applyFont="1" applyFill="1" applyBorder="1" applyAlignment="1" applyProtection="1">
      <alignment horizontal="center" vertical="center" wrapText="1"/>
    </xf>
    <xf numFmtId="17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7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9"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9"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79"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7" fontId="50" fillId="2" borderId="4" xfId="0" applyNumberFormat="1" applyFont="1" applyFill="1" applyBorder="1" applyAlignment="1" applyProtection="1">
      <alignment horizontal="center" vertical="center"/>
    </xf>
    <xf numFmtId="179" fontId="50" fillId="8" borderId="0" xfId="0" applyNumberFormat="1" applyFont="1" applyFill="1" applyBorder="1" applyAlignment="1" applyProtection="1">
      <alignment vertical="center" wrapText="1"/>
      <protection locked="0"/>
    </xf>
    <xf numFmtId="177" fontId="50" fillId="2" borderId="42" xfId="0" applyNumberFormat="1" applyFont="1" applyFill="1" applyBorder="1" applyAlignment="1" applyProtection="1">
      <alignment horizontal="left" vertical="center" wrapText="1"/>
    </xf>
    <xf numFmtId="187"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7" fontId="50" fillId="8" borderId="0" xfId="0" applyNumberFormat="1" applyFont="1" applyFill="1" applyAlignment="1" applyProtection="1">
      <alignment horizontal="center" vertical="center"/>
      <protection locked="0"/>
    </xf>
    <xf numFmtId="179" fontId="50" fillId="8" borderId="0" xfId="0" applyNumberFormat="1" applyFont="1" applyFill="1" applyAlignment="1" applyProtection="1">
      <alignment horizontal="center" vertical="center"/>
      <protection locked="0"/>
    </xf>
    <xf numFmtId="187" fontId="63" fillId="8" borderId="0" xfId="0" applyNumberFormat="1" applyFont="1" applyFill="1" applyAlignment="1" applyProtection="1">
      <alignment horizontal="center" vertical="center"/>
      <protection locked="0"/>
    </xf>
    <xf numFmtId="179"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79" fontId="50" fillId="2" borderId="0" xfId="0" applyNumberFormat="1" applyFont="1" applyFill="1" applyAlignment="1" applyProtection="1">
      <alignment horizontal="center" vertical="center"/>
      <protection locked="0"/>
    </xf>
    <xf numFmtId="187" fontId="50" fillId="2" borderId="0" xfId="0" applyNumberFormat="1" applyFont="1" applyFill="1" applyBorder="1" applyAlignment="1" applyProtection="1">
      <alignment horizontal="center"/>
    </xf>
    <xf numFmtId="179"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4"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4"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4"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8"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8"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7" fontId="50" fillId="2" borderId="0" xfId="0" applyNumberFormat="1" applyFont="1" applyFill="1" applyBorder="1" applyAlignment="1" applyProtection="1">
      <alignment horizontal="center"/>
      <protection locked="0"/>
    </xf>
    <xf numFmtId="179"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7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8" fontId="58" fillId="2" borderId="92" xfId="0" applyNumberFormat="1" applyFont="1" applyFill="1" applyBorder="1" applyAlignment="1" applyProtection="1">
      <alignment horizontal="center" vertical="center" wrapText="1"/>
    </xf>
    <xf numFmtId="198"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7" fontId="65" fillId="2" borderId="114" xfId="0" applyNumberFormat="1" applyFont="1" applyFill="1" applyBorder="1" applyAlignment="1" applyProtection="1">
      <alignment horizontal="center" vertical="center"/>
    </xf>
    <xf numFmtId="179"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7" fontId="50" fillId="0" borderId="0" xfId="0" applyNumberFormat="1" applyFont="1" applyFill="1" applyAlignment="1" applyProtection="1">
      <alignment horizontal="center" vertical="center"/>
    </xf>
    <xf numFmtId="179"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7" fontId="65" fillId="2" borderId="114" xfId="0" applyNumberFormat="1" applyFont="1" applyFill="1" applyBorder="1" applyAlignment="1" applyProtection="1">
      <alignment horizontal="center" vertical="center"/>
      <protection locked="0"/>
    </xf>
    <xf numFmtId="179"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7" fontId="50" fillId="4" borderId="4" xfId="0" applyNumberFormat="1" applyFont="1" applyFill="1" applyBorder="1" applyAlignment="1" applyProtection="1">
      <alignment horizontal="center" vertical="center"/>
      <protection locked="0"/>
    </xf>
    <xf numFmtId="187"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7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7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79"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79" fontId="50" fillId="2" borderId="0" xfId="0" applyNumberFormat="1" applyFont="1" applyFill="1" applyBorder="1" applyAlignment="1" applyProtection="1">
      <alignment vertical="center" wrapText="1"/>
      <protection locked="0"/>
    </xf>
    <xf numFmtId="17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8"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7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58" fillId="2" borderId="39" xfId="0" applyNumberFormat="1" applyFont="1" applyFill="1" applyBorder="1" applyAlignment="1" applyProtection="1">
      <alignment horizontal="center" vertical="center" wrapText="1"/>
    </xf>
    <xf numFmtId="18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7" fontId="50" fillId="2" borderId="42" xfId="0" applyNumberFormat="1" applyFont="1" applyFill="1" applyBorder="1" applyAlignment="1" applyProtection="1">
      <alignment horizontal="center" vertical="center"/>
    </xf>
    <xf numFmtId="177" fontId="50" fillId="11" borderId="42" xfId="0" applyNumberFormat="1" applyFont="1" applyFill="1" applyBorder="1" applyAlignment="1" applyProtection="1">
      <alignment horizontal="left" vertical="center" wrapText="1"/>
    </xf>
    <xf numFmtId="187"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9"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79"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9"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3"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1"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1"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79"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79"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79"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8"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8"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2"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2"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8" fillId="2" borderId="0" xfId="0" applyNumberFormat="1" applyFont="1" applyFill="1" applyBorder="1" applyAlignment="1" applyProtection="1">
      <alignment horizontal="center" vertical="center"/>
    </xf>
    <xf numFmtId="182"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2"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2"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2"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2" fontId="68" fillId="2" borderId="33" xfId="0" applyNumberFormat="1" applyFont="1" applyFill="1" applyBorder="1" applyAlignment="1" applyProtection="1">
      <alignment vertical="center"/>
    </xf>
    <xf numFmtId="182"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8"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86"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86"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5"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85" fontId="92" fillId="0" borderId="1" xfId="8" applyNumberFormat="1" applyFont="1" applyFill="1" applyBorder="1" applyAlignment="1" applyProtection="1">
      <alignment horizontal="center" vertical="center"/>
      <protection locked="0"/>
    </xf>
    <xf numFmtId="185"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5"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85" fontId="92" fillId="16" borderId="1" xfId="8" applyNumberFormat="1" applyFont="1" applyFill="1" applyBorder="1" applyAlignment="1" applyProtection="1">
      <alignment horizontal="center" vertical="center"/>
      <protection locked="0"/>
    </xf>
    <xf numFmtId="186" fontId="91" fillId="14" borderId="9" xfId="0" applyNumberFormat="1" applyFont="1" applyFill="1" applyBorder="1" applyAlignment="1" applyProtection="1">
      <alignment horizontal="center" vertical="center"/>
      <protection locked="0"/>
    </xf>
    <xf numFmtId="186" fontId="91" fillId="14" borderId="11" xfId="0" applyNumberFormat="1" applyFont="1" applyFill="1" applyBorder="1" applyAlignment="1" applyProtection="1">
      <alignment horizontal="center" vertical="center"/>
      <protection locked="0"/>
    </xf>
    <xf numFmtId="185" fontId="92" fillId="15" borderId="11" xfId="8" applyNumberFormat="1" applyFont="1" applyFill="1" applyBorder="1" applyAlignment="1" applyProtection="1">
      <alignment horizontal="center" vertical="center"/>
      <protection locked="0"/>
    </xf>
    <xf numFmtId="185" fontId="92" fillId="0" borderId="11" xfId="8" applyNumberFormat="1" applyFont="1" applyFill="1" applyBorder="1" applyAlignment="1" applyProtection="1">
      <alignment horizontal="center" vertical="center"/>
      <protection locked="0"/>
    </xf>
    <xf numFmtId="185"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5" fontId="92" fillId="16" borderId="15" xfId="8" applyNumberFormat="1" applyFont="1" applyFill="1" applyBorder="1" applyAlignment="1" applyProtection="1">
      <alignment horizontal="center" vertical="center"/>
      <protection locked="0"/>
    </xf>
    <xf numFmtId="185"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5" fontId="91" fillId="10" borderId="13" xfId="8" applyNumberFormat="1" applyFont="1" applyFill="1" applyBorder="1" applyAlignment="1" applyProtection="1">
      <alignment horizontal="center" vertical="center"/>
      <protection locked="0"/>
    </xf>
    <xf numFmtId="185" fontId="92" fillId="16" borderId="40" xfId="8" applyNumberFormat="1" applyFont="1" applyFill="1" applyBorder="1" applyAlignment="1" applyProtection="1">
      <alignment horizontal="center" vertical="center"/>
      <protection locked="0"/>
    </xf>
    <xf numFmtId="185"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50" fillId="18" borderId="41"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1"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79"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3"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79"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9"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9" fontId="58" fillId="2" borderId="2" xfId="0" applyNumberFormat="1" applyFont="1" applyFill="1" applyBorder="1" applyAlignment="1" applyProtection="1">
      <alignment horizontal="left" vertical="center" wrapText="1"/>
    </xf>
    <xf numFmtId="189"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9" fontId="58" fillId="2" borderId="3" xfId="0" applyNumberFormat="1" applyFont="1" applyFill="1" applyBorder="1" applyAlignment="1" applyProtection="1">
      <alignment horizontal="left" vertical="center" wrapText="1"/>
    </xf>
    <xf numFmtId="17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0" fillId="0" borderId="0" xfId="0" applyAlignment="1">
      <alignment vertical="center" wrapText="1"/>
    </xf>
    <xf numFmtId="0" fontId="112" fillId="0" borderId="1" xfId="0" applyFont="1" applyBorder="1" applyAlignment="1">
      <alignment horizontal="left" vertical="center" wrapText="1"/>
    </xf>
    <xf numFmtId="0" fontId="112" fillId="0" borderId="15" xfId="0" applyFont="1" applyBorder="1" applyAlignment="1">
      <alignment horizontal="left" vertical="center" wrapText="1"/>
    </xf>
    <xf numFmtId="0" fontId="112" fillId="0" borderId="16" xfId="0" applyFont="1" applyBorder="1" applyAlignment="1">
      <alignment horizontal="left" vertical="center" wrapText="1"/>
    </xf>
    <xf numFmtId="0" fontId="113" fillId="10" borderId="0" xfId="0" applyFont="1" applyFill="1" applyBorder="1" applyAlignment="1">
      <alignment horizontal="center" vertical="center"/>
    </xf>
    <xf numFmtId="0" fontId="114" fillId="10" borderId="0" xfId="0" applyFont="1" applyFill="1" applyBorder="1" applyAlignment="1">
      <alignment horizontal="center" vertical="center"/>
    </xf>
    <xf numFmtId="0" fontId="115" fillId="0" borderId="0" xfId="0" applyFont="1" applyFill="1" applyBorder="1" applyAlignment="1">
      <alignment horizontal="center" vertical="center"/>
    </xf>
    <xf numFmtId="0" fontId="115" fillId="10" borderId="0" xfId="0" applyFont="1" applyFill="1" applyBorder="1" applyAlignment="1">
      <alignment horizontal="center" vertical="center"/>
    </xf>
    <xf numFmtId="185" fontId="115" fillId="10" borderId="0" xfId="8" applyNumberFormat="1" applyFont="1" applyFill="1" applyAlignment="1">
      <alignment horizontal="center" vertical="center"/>
    </xf>
    <xf numFmtId="0" fontId="116" fillId="10" borderId="0" xfId="0" applyFont="1" applyFill="1" applyBorder="1" applyAlignment="1">
      <alignment horizontal="center" vertical="center"/>
    </xf>
    <xf numFmtId="0" fontId="116" fillId="10" borderId="0" xfId="0" applyFont="1" applyFill="1" applyBorder="1" applyAlignment="1">
      <alignment horizontal="right" vertical="center"/>
    </xf>
    <xf numFmtId="0" fontId="117" fillId="14" borderId="7" xfId="0" applyFont="1" applyFill="1" applyBorder="1" applyAlignment="1" applyProtection="1">
      <alignment horizontal="center" vertical="center"/>
      <protection locked="0"/>
    </xf>
    <xf numFmtId="0" fontId="117" fillId="14" borderId="8" xfId="0" applyFont="1" applyFill="1" applyBorder="1" applyAlignment="1" applyProtection="1">
      <alignment horizontal="center" vertical="center"/>
      <protection locked="0"/>
    </xf>
    <xf numFmtId="185" fontId="117" fillId="14" borderId="8" xfId="8" applyNumberFormat="1" applyFont="1" applyFill="1" applyBorder="1" applyAlignment="1" applyProtection="1">
      <alignment horizontal="center" vertical="center"/>
      <protection locked="0"/>
    </xf>
    <xf numFmtId="185" fontId="117" fillId="14" borderId="35" xfId="8" applyNumberFormat="1" applyFont="1" applyFill="1" applyBorder="1" applyAlignment="1" applyProtection="1">
      <alignment horizontal="center" vertical="center"/>
      <protection locked="0"/>
    </xf>
    <xf numFmtId="0" fontId="117" fillId="14" borderId="10" xfId="0" applyFont="1" applyFill="1" applyBorder="1" applyAlignment="1" applyProtection="1">
      <alignment horizontal="center" vertical="center"/>
      <protection locked="0"/>
    </xf>
    <xf numFmtId="0" fontId="117" fillId="14" borderId="1" xfId="0" applyFont="1" applyFill="1" applyBorder="1" applyAlignment="1" applyProtection="1">
      <alignment horizontal="center" vertical="center"/>
      <protection locked="0"/>
    </xf>
    <xf numFmtId="185" fontId="117" fillId="14" borderId="1" xfId="8" applyNumberFormat="1" applyFont="1" applyFill="1" applyBorder="1" applyAlignment="1" applyProtection="1">
      <alignment horizontal="center" vertical="center"/>
      <protection locked="0"/>
    </xf>
    <xf numFmtId="185" fontId="117"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5"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85"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85"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85"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5" fontId="91" fillId="10" borderId="20" xfId="8" applyNumberFormat="1" applyFont="1" applyFill="1" applyBorder="1" applyAlignment="1">
      <alignment horizontal="center" vertical="center"/>
    </xf>
    <xf numFmtId="0" fontId="115" fillId="10" borderId="0" xfId="0" applyFont="1" applyFill="1" applyBorder="1" applyAlignment="1">
      <alignment horizontal="left" vertical="center"/>
    </xf>
    <xf numFmtId="0" fontId="115" fillId="10" borderId="0" xfId="0" applyFont="1" applyFill="1" applyAlignment="1">
      <alignment horizontal="center" vertical="center"/>
    </xf>
    <xf numFmtId="185" fontId="92" fillId="15" borderId="13" xfId="8" applyNumberFormat="1" applyFont="1" applyFill="1" applyBorder="1" applyAlignment="1" applyProtection="1">
      <alignment horizontal="center" vertical="center"/>
      <protection locked="0"/>
    </xf>
    <xf numFmtId="14" fontId="115"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1"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1"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1"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0"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1" fontId="58"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8" fillId="2" borderId="1" xfId="60" applyNumberFormat="1" applyFont="1" applyFill="1" applyBorder="1" applyAlignment="1" applyProtection="1">
      <alignment vertical="center"/>
    </xf>
    <xf numFmtId="182" fontId="58" fillId="12"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1" fontId="50" fillId="2" borderId="1" xfId="60" applyNumberFormat="1" applyFont="1" applyFill="1" applyBorder="1" applyAlignment="1" applyProtection="1">
      <alignment horizontal="center" vertical="center"/>
    </xf>
    <xf numFmtId="190" fontId="50" fillId="2" borderId="1" xfId="6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58" fillId="0" borderId="1"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left" vertical="center" wrapText="1"/>
      <protection locked="0"/>
    </xf>
    <xf numFmtId="182" fontId="58" fillId="2" borderId="2" xfId="60" applyNumberFormat="1" applyFont="1" applyFill="1" applyBorder="1" applyAlignment="1" applyProtection="1">
      <alignment vertical="center"/>
    </xf>
    <xf numFmtId="179"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79"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1"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1" fontId="58" fillId="8" borderId="0" xfId="0" applyNumberFormat="1" applyFont="1" applyFill="1" applyAlignment="1" applyProtection="1">
      <alignment vertical="center"/>
      <protection locked="0"/>
    </xf>
    <xf numFmtId="177" fontId="50" fillId="2" borderId="7" xfId="60" applyNumberFormat="1" applyFont="1" applyFill="1" applyBorder="1" applyAlignment="1" applyProtection="1">
      <alignment vertical="center" wrapText="1"/>
    </xf>
    <xf numFmtId="177"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77" fontId="50" fillId="2" borderId="10" xfId="60" applyNumberFormat="1" applyFont="1" applyFill="1" applyBorder="1" applyAlignment="1" applyProtection="1">
      <alignment vertical="center" wrapText="1"/>
    </xf>
    <xf numFmtId="17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7" fontId="58" fillId="2" borderId="10" xfId="60" applyNumberFormat="1" applyFont="1" applyFill="1" applyBorder="1" applyAlignment="1" applyProtection="1">
      <alignment vertical="center" wrapText="1"/>
    </xf>
    <xf numFmtId="177" fontId="50" fillId="2" borderId="11" xfId="60" applyNumberFormat="1" applyFont="1" applyFill="1" applyBorder="1" applyAlignment="1" applyProtection="1">
      <alignment horizontal="center" vertical="center"/>
    </xf>
    <xf numFmtId="177" fontId="50" fillId="2" borderId="12" xfId="60" applyNumberFormat="1" applyFont="1" applyFill="1" applyBorder="1" applyAlignment="1" applyProtection="1">
      <alignment vertical="center" wrapText="1"/>
    </xf>
    <xf numFmtId="17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81"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9" fontId="35" fillId="0" borderId="11" xfId="0" applyNumberFormat="1" applyFont="1" applyFill="1" applyBorder="1" applyAlignment="1" applyProtection="1">
      <alignment horizontal="center" vertical="center"/>
      <protection locked="0"/>
    </xf>
    <xf numFmtId="181" fontId="75" fillId="8" borderId="0" xfId="0" applyNumberFormat="1" applyFont="1" applyFill="1" applyAlignment="1" applyProtection="1">
      <alignment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9" fontId="42" fillId="8" borderId="0" xfId="0" applyNumberFormat="1" applyFont="1" applyFill="1" applyAlignment="1" applyProtection="1">
      <alignment horizontal="center" vertical="center"/>
    </xf>
    <xf numFmtId="19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0"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1"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35" fillId="9" borderId="1" xfId="60" applyNumberFormat="1" applyFont="1" applyFill="1" applyBorder="1" applyAlignment="1" applyProtection="1">
      <alignment horizontal="center" vertical="center"/>
      <protection locked="0"/>
    </xf>
    <xf numFmtId="182"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2"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7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center" vertical="center"/>
    </xf>
    <xf numFmtId="181"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9"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79"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9" fontId="58" fillId="2" borderId="1" xfId="0" applyNumberFormat="1" applyFont="1" applyFill="1" applyBorder="1" applyAlignment="1" applyProtection="1">
      <alignment vertical="center"/>
    </xf>
    <xf numFmtId="17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1" fontId="58" fillId="2" borderId="12" xfId="60" applyNumberFormat="1" applyFont="1" applyFill="1" applyBorder="1" applyAlignment="1" applyProtection="1">
      <alignment horizontal="center" vertical="center"/>
    </xf>
    <xf numFmtId="181"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7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79"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79"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17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1"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7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7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7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7" fontId="51" fillId="2" borderId="17" xfId="60" applyNumberFormat="1" applyFont="1" applyFill="1" applyBorder="1" applyAlignment="1" applyProtection="1">
      <alignment horizontal="center" vertical="center"/>
    </xf>
    <xf numFmtId="177" fontId="51" fillId="2" borderId="38" xfId="60" applyNumberFormat="1" applyFont="1" applyFill="1" applyBorder="1" applyAlignment="1" applyProtection="1">
      <alignment horizontal="center" vertical="center"/>
    </xf>
    <xf numFmtId="177"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97" fillId="0" borderId="1" xfId="60" applyNumberFormat="1" applyFont="1" applyFill="1" applyBorder="1" applyAlignment="1" applyProtection="1">
      <alignment vertical="center"/>
      <protection locked="0" hidden="1"/>
    </xf>
    <xf numFmtId="17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2" fontId="93" fillId="0" borderId="1" xfId="60" applyNumberFormat="1" applyFont="1" applyFill="1" applyBorder="1" applyAlignment="1" applyProtection="1">
      <alignment vertical="center"/>
      <protection locked="0"/>
    </xf>
    <xf numFmtId="182"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2" fontId="58" fillId="0" borderId="4" xfId="60" applyNumberFormat="1" applyFont="1" applyFill="1" applyBorder="1" applyAlignment="1" applyProtection="1">
      <alignment vertical="center"/>
      <protection locked="0"/>
    </xf>
    <xf numFmtId="177" fontId="68" fillId="2" borderId="1" xfId="0"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177" fontId="68" fillId="2" borderId="11" xfId="0" applyNumberFormat="1" applyFont="1" applyFill="1" applyBorder="1" applyAlignment="1" applyProtection="1">
      <alignment vertical="center"/>
    </xf>
    <xf numFmtId="17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1" fontId="68" fillId="2" borderId="88"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1" fontId="58" fillId="2" borderId="16" xfId="0" applyNumberFormat="1" applyFont="1" applyFill="1" applyBorder="1" applyProtection="1">
      <alignment vertical="center"/>
    </xf>
    <xf numFmtId="17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1"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1"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7"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1" xfId="0" applyBorder="1" applyAlignment="1">
      <alignment horizontal="lef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0" fontId="0" fillId="0" borderId="4" xfId="0" applyBorder="1" applyAlignment="1">
      <alignment horizontal="center"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1"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177" fontId="58" fillId="0" borderId="16" xfId="0" applyNumberFormat="1" applyFont="1" applyFill="1" applyBorder="1" applyAlignment="1" applyProtection="1">
      <alignment horizontal="center" vertical="center" wrapText="1"/>
      <protection locked="0"/>
    </xf>
    <xf numFmtId="177" fontId="58" fillId="2" borderId="16" xfId="0" applyNumberFormat="1" applyFont="1" applyFill="1" applyBorder="1" applyAlignment="1" applyProtection="1">
      <alignment horizontal="center" vertical="center" wrapText="1"/>
    </xf>
    <xf numFmtId="17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8"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1"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1"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1"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1"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1"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1"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1"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1"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1"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1" borderId="69"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95" fontId="73"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5"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1"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1"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1"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1"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3" fontId="130" fillId="0" borderId="1" xfId="63" applyNumberFormat="1" applyFont="1" applyFill="1" applyBorder="1" applyAlignment="1">
      <alignment horizontal="left" vertical="center"/>
    </xf>
    <xf numFmtId="183"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95"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3"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95"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95"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95"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2"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2"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9"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9" fontId="73" fillId="0" borderId="2" xfId="0" applyNumberFormat="1" applyFont="1" applyFill="1" applyBorder="1" applyAlignment="1" applyProtection="1">
      <alignment horizontal="center" vertical="center" wrapText="1"/>
    </xf>
    <xf numFmtId="189"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9"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89"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5"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2"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有租约 "/>
      <sheetName val="收益法（汇总）"/>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Sheet1"/>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v>156981</v>
          </cell>
        </row>
        <row r="6">
          <cell r="B6">
            <v>156981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24" customWidth="1"/>
    <col min="2" max="2" width="81" style="3425" customWidth="1"/>
    <col min="3" max="16384" width="9" style="3426"/>
  </cols>
  <sheetData>
    <row r="1" s="3421" customFormat="1" ht="16.5" spans="1:2">
      <c r="A1" s="3427" t="s">
        <v>0</v>
      </c>
      <c r="B1" s="3428" t="s">
        <v>1</v>
      </c>
    </row>
    <row r="2" s="3422" customFormat="1" ht="15" spans="1:2">
      <c r="A2" s="3429" t="s">
        <v>2</v>
      </c>
      <c r="B2" s="3430" t="str">
        <f>'预评函-封皮'!B37:I37</f>
        <v>北京市房地产抵押价值预评估</v>
      </c>
    </row>
    <row r="3" s="3423" customFormat="1" spans="1:2">
      <c r="A3" s="3431" t="s">
        <v>3</v>
      </c>
      <c r="B3" s="3432">
        <f>'预评函-封皮'!B40</f>
        <v>0</v>
      </c>
    </row>
    <row r="4" s="3423" customFormat="1" spans="1:2">
      <c r="A4" s="3431" t="s">
        <v>4</v>
      </c>
      <c r="B4" s="3432" t="str">
        <f ca="1">'预评函-封皮'!B46</f>
        <v>（注册号：0)、（注册号：0)</v>
      </c>
    </row>
    <row r="5" s="3421" customFormat="1" ht="15" spans="1:2">
      <c r="A5" s="3433" t="s">
        <v>5</v>
      </c>
      <c r="B5" s="3434" t="str">
        <f>'预评函-封皮'!B49</f>
        <v>康正预评字号</v>
      </c>
    </row>
    <row r="6" s="3422" customFormat="1" ht="15" spans="1:2">
      <c r="A6" s="3429" t="s">
        <v>6</v>
      </c>
      <c r="B6" s="3430" t="str">
        <f>'预评函-1'!A4</f>
        <v>受贵公司委托，我公司对北京市房地产抵押价值进行了预评估。</v>
      </c>
    </row>
    <row r="7" s="3423" customFormat="1" spans="1:2">
      <c r="A7" s="3431" t="s">
        <v>7</v>
      </c>
      <c r="B7" s="3432" t="str">
        <f>'预评函-1'!A7</f>
        <v>估价对象为北京市房地产，为所有。根据《国有土地使用证》[]，估价对象（分摊）出让国有建设用地使用权面积为9082.33平方米，建筑面积为66448.33平方米。</v>
      </c>
    </row>
    <row r="8" s="3423" customFormat="1" spans="1:2">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3423" customFormat="1" spans="1:2">
      <c r="A9" s="3431" t="s">
        <v>9</v>
      </c>
      <c r="B9" s="3432" t="str">
        <f>'预评函-1'!A10</f>
        <v>估价对象为北京市房地产,属开发建设的，该项目尚在开发建设中。根据《国有土地使用证》[]，估价对象（分摊）出让国有建设用地使用权面积为9082.33平方米，规划建筑面积为66448.33平方米。</v>
      </c>
    </row>
    <row r="10" s="3423" customFormat="1" spans="1:2">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23" customFormat="1" spans="1:2">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23" customFormat="1" spans="1:2">
      <c r="A12" s="3431" t="s">
        <v>12</v>
      </c>
      <c r="B12" s="3432" t="str">
        <f>'预评函-1'!A15</f>
        <v>2020年12月10日（评估专业人员实地查勘之日）</v>
      </c>
    </row>
    <row r="13" s="3423" customFormat="1" spans="1:2">
      <c r="A13" s="3431" t="s">
        <v>13</v>
      </c>
      <c r="B13" s="3432"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23" customFormat="1" spans="1:2">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23" customFormat="1" spans="1:2">
      <c r="A15" s="3431" t="s">
        <v>15</v>
      </c>
      <c r="B15" s="343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23" customFormat="1" spans="1:2">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3423" customFormat="1" spans="1:2">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3421" customFormat="1" ht="15" spans="1:2">
      <c r="A18" s="3433" t="s">
        <v>18</v>
      </c>
      <c r="B18" s="3434" t="str">
        <f>'预评函-1'!A24</f>
        <v>本次评估采用的主估价方法为基准地价系数修正法和收益法。</v>
      </c>
    </row>
    <row r="19" s="3422" customFormat="1" ht="15" spans="1:2">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23" customFormat="1" spans="1:2">
      <c r="A20" s="3431" t="s">
        <v>20</v>
      </c>
      <c r="B20" s="3432">
        <f ca="1">'预评函-2'!D5</f>
        <v>328107</v>
      </c>
    </row>
    <row r="21" s="3423" customFormat="1" spans="1:2">
      <c r="A21" s="3431" t="s">
        <v>21</v>
      </c>
      <c r="B21" s="3432">
        <f ca="1">'预评函-2'!D7</f>
        <v>51828</v>
      </c>
    </row>
    <row r="22" s="3423" customFormat="1" spans="1:2">
      <c r="A22" s="3431" t="s">
        <v>22</v>
      </c>
      <c r="B22" s="3432" t="str">
        <f ca="1">'预评函-2'!D6</f>
        <v>叁拾贰亿捌仟壹佰零柒万元整</v>
      </c>
    </row>
    <row r="23" s="3423" customFormat="1" spans="1:2">
      <c r="A23" s="3431" t="s">
        <v>23</v>
      </c>
      <c r="B23" s="3432" t="str">
        <f>'预评函-2'!B8</f>
        <v>2.估价师知悉的法定优先受偿款</v>
      </c>
    </row>
    <row r="24" s="3423" customFormat="1" spans="1:2">
      <c r="A24" s="3431" t="s">
        <v>24</v>
      </c>
      <c r="B24" s="3432">
        <f>'预评函-2'!D8</f>
        <v>0</v>
      </c>
    </row>
    <row r="25" s="3423" customFormat="1" spans="1:2">
      <c r="A25" s="3431" t="s">
        <v>25</v>
      </c>
      <c r="B25" s="3432" t="str">
        <f>'预评函-2'!D9</f>
        <v>零元整</v>
      </c>
    </row>
    <row r="26" s="3423" customFormat="1" spans="1:2">
      <c r="A26" s="3431" t="s">
        <v>26</v>
      </c>
      <c r="B26" s="3432">
        <f>'预评函-2'!D10</f>
        <v>0</v>
      </c>
    </row>
    <row r="27" s="3423" customFormat="1" spans="1:2">
      <c r="A27" s="3431" t="s">
        <v>27</v>
      </c>
      <c r="B27" s="3432">
        <f>'预评函-2'!D11</f>
        <v>0</v>
      </c>
    </row>
    <row r="28" s="3423" customFormat="1" spans="1:2">
      <c r="A28" s="3431" t="s">
        <v>28</v>
      </c>
      <c r="B28" s="3432">
        <f>'预评函-2'!D12</f>
        <v>0</v>
      </c>
    </row>
    <row r="29" s="3423" customFormat="1" spans="1:2">
      <c r="A29" s="3431" t="s">
        <v>29</v>
      </c>
      <c r="B29" s="3432" t="str">
        <f>'预评函-2'!B13</f>
        <v>3.房地产抵押价值</v>
      </c>
    </row>
    <row r="30" s="3423" customFormat="1" spans="1:2">
      <c r="A30" s="3431" t="s">
        <v>30</v>
      </c>
      <c r="B30" s="3432">
        <f ca="1">'预评函-2'!D13</f>
        <v>328107</v>
      </c>
    </row>
    <row r="31" s="3423" customFormat="1" spans="1:2">
      <c r="A31" s="3431" t="s">
        <v>31</v>
      </c>
      <c r="B31" s="3432">
        <f ca="1">'预评函-2'!D15</f>
        <v>49378</v>
      </c>
    </row>
    <row r="32" s="3423" customFormat="1" spans="1:2">
      <c r="A32" s="3431" t="s">
        <v>32</v>
      </c>
      <c r="B32" s="3432" t="str">
        <f ca="1">'预评函-2'!D14</f>
        <v>叁拾贰亿捌仟壹佰零柒万元整</v>
      </c>
    </row>
    <row r="33" s="3423" customFormat="1" spans="1:2">
      <c r="A33" s="3431" t="s">
        <v>33</v>
      </c>
      <c r="B33" s="3432" t="str">
        <f>'预评函-2'!B16</f>
        <v>——</v>
      </c>
    </row>
    <row r="34" s="3423" customFormat="1" spans="1:2">
      <c r="A34" s="3431" t="s">
        <v>34</v>
      </c>
      <c r="B34" s="3432" t="str">
        <f ca="1">'预评函-2'!D16</f>
        <v>——</v>
      </c>
    </row>
    <row r="35" s="3423" customFormat="1" spans="1:2">
      <c r="A35" s="3431" t="s">
        <v>35</v>
      </c>
      <c r="B35" s="3432" t="str">
        <f ca="1">'预评函-2'!D18</f>
        <v>——</v>
      </c>
    </row>
    <row r="36" s="3423" customFormat="1" spans="1:2">
      <c r="A36" s="3431" t="s">
        <v>36</v>
      </c>
      <c r="B36" s="3432" t="e">
        <f ca="1">'预评函-2'!D17</f>
        <v>#VALUE!</v>
      </c>
    </row>
    <row r="37" s="3423" customFormat="1" spans="1:2">
      <c r="A37" s="3431" t="s">
        <v>37</v>
      </c>
      <c r="B37" s="3432" t="str">
        <f>'预评函-2'!B19</f>
        <v>——</v>
      </c>
    </row>
    <row r="38" s="3423" customFormat="1" spans="1:2">
      <c r="A38" s="3431" t="s">
        <v>38</v>
      </c>
      <c r="B38" s="3432" t="str">
        <f ca="1">'预评函-2'!D19</f>
        <v>——</v>
      </c>
    </row>
    <row r="39" s="3423" customFormat="1" spans="1:2">
      <c r="A39" s="3431" t="s">
        <v>39</v>
      </c>
      <c r="B39" s="3432" t="str">
        <f ca="1">'预评函-2'!D21</f>
        <v>——</v>
      </c>
    </row>
    <row r="40" s="3423" customFormat="1" spans="1:2">
      <c r="A40" s="3431" t="s">
        <v>40</v>
      </c>
      <c r="B40" s="3432" t="e">
        <f ca="1">'预评函-2'!D20</f>
        <v>#VALUE!</v>
      </c>
    </row>
    <row r="41" s="3423" customFormat="1" spans="1:2">
      <c r="A41" s="3431" t="s">
        <v>41</v>
      </c>
      <c r="B41" s="3432" t="str">
        <f>'预评函-3'!A4</f>
        <v>北京市房地产</v>
      </c>
    </row>
    <row r="42" s="3423" customFormat="1" spans="1:2">
      <c r="A42" s="3431" t="s">
        <v>42</v>
      </c>
      <c r="B42" s="3432" t="str">
        <f>'预评函-3'!B2</f>
        <v>建筑面积</v>
      </c>
    </row>
    <row r="43" s="3423" customFormat="1" spans="1:2">
      <c r="A43" s="3431" t="s">
        <v>43</v>
      </c>
      <c r="B43" s="3432">
        <f>'预评函-3'!B4</f>
        <v>66448.33</v>
      </c>
    </row>
    <row r="44" s="3423" customFormat="1" spans="1:2">
      <c r="A44" s="3431" t="s">
        <v>44</v>
      </c>
      <c r="B44" s="3432" t="str">
        <f>'预评函-3'!C2</f>
        <v>(分摊)土地面积</v>
      </c>
    </row>
    <row r="45" s="3423" customFormat="1" spans="1:2">
      <c r="A45" s="3431" t="s">
        <v>45</v>
      </c>
      <c r="B45" s="3432">
        <f>'预评函-3'!C4</f>
        <v>9082.33</v>
      </c>
    </row>
    <row r="46" s="3423" customFormat="1" spans="1:2">
      <c r="A46" s="3431" t="s">
        <v>46</v>
      </c>
      <c r="B46" s="3432" t="str">
        <f>'预评函-3'!D2</f>
        <v>出让国有建设用地使用权价值</v>
      </c>
    </row>
    <row r="47" s="3423" customFormat="1" spans="1:2">
      <c r="A47" s="3431" t="s">
        <v>47</v>
      </c>
      <c r="B47" s="3432">
        <f ca="1">'预评函-3'!D4</f>
        <v>272985</v>
      </c>
    </row>
    <row r="48" s="3423" customFormat="1" spans="1:2">
      <c r="A48" s="3431" t="s">
        <v>48</v>
      </c>
      <c r="B48" s="3432">
        <f ca="1">'预评函-3'!E4</f>
        <v>43121</v>
      </c>
    </row>
    <row r="49" s="3423" customFormat="1" spans="1:2">
      <c r="A49" s="3431" t="s">
        <v>49</v>
      </c>
      <c r="B49" s="3432" t="str">
        <f ca="1">'预评函-3'!D5</f>
        <v>贰拾柒亿贰仟玖佰捌拾伍万元整</v>
      </c>
    </row>
    <row r="50" s="3423" customFormat="1" spans="1:2">
      <c r="A50" s="3431" t="s">
        <v>50</v>
      </c>
      <c r="B50" s="3432" t="str">
        <f>'预评函-3'!F2</f>
        <v>在建建筑物价值</v>
      </c>
    </row>
    <row r="51" s="3423" customFormat="1" spans="1:2">
      <c r="A51" s="3431" t="s">
        <v>51</v>
      </c>
      <c r="B51" s="3432">
        <f ca="1">'预评函-3'!F4</f>
        <v>55122</v>
      </c>
    </row>
    <row r="52" s="3423" customFormat="1" spans="1:2">
      <c r="A52" s="3431" t="s">
        <v>52</v>
      </c>
      <c r="B52" s="3432">
        <f ca="1">'预评函-3'!G4</f>
        <v>8707</v>
      </c>
    </row>
    <row r="53" s="3423" customFormat="1" spans="1:2">
      <c r="A53" s="3431" t="s">
        <v>53</v>
      </c>
      <c r="B53" s="3432" t="str">
        <f ca="1">'预评函-3'!F5</f>
        <v>伍亿伍仟壹佰贰拾贰万元整</v>
      </c>
    </row>
    <row r="54" s="3423" customFormat="1" spans="1:2">
      <c r="A54" s="3431" t="s">
        <v>54</v>
      </c>
      <c r="B54" s="3432" t="str">
        <f>'预评函-3'!A8</f>
        <v>房地产抵押价值</v>
      </c>
    </row>
    <row r="55" s="3423" customFormat="1" spans="1:2">
      <c r="A55" s="3431" t="s">
        <v>55</v>
      </c>
      <c r="B55" s="3432" t="str">
        <f>'预评函-3'!A10</f>
        <v/>
      </c>
    </row>
    <row r="56" s="3423" customFormat="1" spans="1:2">
      <c r="A56" s="3431" t="s">
        <v>56</v>
      </c>
      <c r="B56" s="3432" t="str">
        <f>'预评函-3'!A12</f>
        <v/>
      </c>
    </row>
    <row r="57" s="3421" customFormat="1" ht="15" spans="1:2">
      <c r="A57" s="3433" t="s">
        <v>57</v>
      </c>
      <c r="B57" s="3434" t="str">
        <f>'预评函-3'!A6</f>
        <v>估价师知悉的法定优先受偿款</v>
      </c>
    </row>
    <row r="58" s="3422" customFormat="1" ht="15" spans="1:2">
      <c r="A58" s="3429" t="s">
        <v>58</v>
      </c>
      <c r="B58" s="3430" t="str">
        <f>'预评函-4'!A12</f>
        <v>2.本《评估意见函》仅供金融机构进行内部审核使用，不做其他目的之用。</v>
      </c>
    </row>
    <row r="59" s="3423" customFormat="1" spans="1:2">
      <c r="A59" s="3431" t="s">
        <v>59</v>
      </c>
      <c r="B59" s="3432" t="str">
        <f>'预评函-4'!A13</f>
        <v>3.抵押双方在办理抵押登记手续时，应使用本公司出具的正式《房地产评估报告》，特提醒报告使用者注意。</v>
      </c>
    </row>
    <row r="60" s="3423" customFormat="1" spans="1:2">
      <c r="A60" s="3431" t="s">
        <v>60</v>
      </c>
      <c r="B60" s="3432" t="str">
        <f>'预评函-4'!A14</f>
        <v>4.本次评估估价师所知悉的法定优先受偿款情况说明如下：</v>
      </c>
    </row>
    <row r="61" s="3423" customFormat="1" spans="1:2">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23" customFormat="1" spans="1:2">
      <c r="A62" s="3431" t="s">
        <v>62</v>
      </c>
      <c r="B62" s="3432" t="str">
        <f>'预评函-4'!A16</f>
        <v>（2）根据《工程款支付情况说明》，截至价值时点，估价对象不存在应付未付工程款项。（只要没有施工方盖章的，均“设定”进行表述）</v>
      </c>
    </row>
    <row r="63" s="3423" customFormat="1" spans="1:2">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23" customFormat="1" spans="1:2">
      <c r="A64" s="3431" t="s">
        <v>64</v>
      </c>
      <c r="B64" s="3432" t="str">
        <f>'预评函-4'!A18</f>
        <v>故，本次评估不存在估价师知悉的法定优先受偿款</v>
      </c>
    </row>
    <row r="65" s="3423" customFormat="1" spans="1:2">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23" customFormat="1" spans="1:2">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23" customFormat="1" spans="1:2">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23" customFormat="1" spans="1:2">
      <c r="A68" s="3431" t="s">
        <v>68</v>
      </c>
      <c r="B68" s="3432" t="str">
        <f>'预评函-4'!A22</f>
        <v>8.其他需特殊说明事项：无（注意调整序号）</v>
      </c>
    </row>
    <row r="69" s="3421" customFormat="1" ht="15" spans="1:2">
      <c r="A69" s="3433" t="s">
        <v>69</v>
      </c>
      <c r="B69" s="3435">
        <f>'预评函-4'!C31</f>
        <v>42551</v>
      </c>
    </row>
    <row r="70" ht="15" spans="1:2">
      <c r="A70" s="3436" t="s">
        <v>70</v>
      </c>
      <c r="B70" s="3437">
        <f>'预评函-4'!A4</f>
        <v>0</v>
      </c>
    </row>
    <row r="71" spans="1:2">
      <c r="A71" s="3431" t="s">
        <v>71</v>
      </c>
      <c r="B71" s="3432">
        <f ca="1">'预评函-4'!B4</f>
        <v>0</v>
      </c>
    </row>
    <row r="72" spans="1:2">
      <c r="A72" s="3431" t="s">
        <v>72</v>
      </c>
      <c r="B72" s="3438">
        <f>'预评函-4'!A5</f>
        <v>0</v>
      </c>
    </row>
    <row r="73" s="3421" customFormat="1" ht="15" spans="1:2">
      <c r="A73" s="3433" t="s">
        <v>73</v>
      </c>
      <c r="B73" s="3434">
        <f ca="1">'预评函-4'!B5</f>
        <v>0</v>
      </c>
    </row>
    <row r="74" ht="15" spans="1:2">
      <c r="A74" s="3424" t="s">
        <v>74</v>
      </c>
      <c r="B74" s="34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61" customWidth="1"/>
    <col min="2" max="2" width="23.25" style="3262" customWidth="1"/>
    <col min="3" max="3" width="13" style="3263" customWidth="1"/>
    <col min="4" max="4" width="5.75" style="3264" customWidth="1"/>
    <col min="5" max="5" width="7.125" style="3264" customWidth="1"/>
    <col min="6" max="6" width="10.625" style="3264" customWidth="1"/>
    <col min="7" max="7" width="7.5" style="3264" customWidth="1"/>
    <col min="8" max="8" width="9" style="3263" customWidth="1"/>
    <col min="9" max="9" width="11.625" style="3263" customWidth="1"/>
    <col min="10" max="10" width="9" style="3263" customWidth="1"/>
    <col min="11" max="19" width="9" style="3264" customWidth="1"/>
    <col min="20" max="23" width="9" style="3263" customWidth="1"/>
    <col min="24" max="24" width="21.125" style="3262" customWidth="1"/>
    <col min="25" max="16384" width="9" style="3262"/>
  </cols>
  <sheetData>
    <row r="1" s="3260" customFormat="1" ht="27" spans="1:23">
      <c r="A1" s="3265" t="s">
        <v>208</v>
      </c>
      <c r="B1" s="3266" t="s">
        <v>209</v>
      </c>
      <c r="C1" s="3267" t="s">
        <v>210</v>
      </c>
      <c r="D1" s="3268" t="s">
        <v>211</v>
      </c>
      <c r="E1" s="3268" t="s">
        <v>212</v>
      </c>
      <c r="F1" s="3268" t="s">
        <v>213</v>
      </c>
      <c r="G1" s="3268" t="s">
        <v>214</v>
      </c>
      <c r="H1" s="3268" t="s">
        <v>215</v>
      </c>
      <c r="I1" s="3268" t="s">
        <v>216</v>
      </c>
      <c r="J1" s="3268" t="s">
        <v>217</v>
      </c>
      <c r="K1" s="3268" t="s">
        <v>218</v>
      </c>
      <c r="L1" s="3268" t="s">
        <v>219</v>
      </c>
      <c r="M1" s="3268" t="s">
        <v>220</v>
      </c>
      <c r="N1" s="3268" t="s">
        <v>221</v>
      </c>
      <c r="O1" s="3268" t="s">
        <v>222</v>
      </c>
      <c r="P1" s="3277" t="s">
        <v>223</v>
      </c>
      <c r="Q1" s="3277" t="s">
        <v>224</v>
      </c>
      <c r="R1" s="3268" t="s">
        <v>225</v>
      </c>
      <c r="S1" s="3268" t="s">
        <v>226</v>
      </c>
      <c r="T1" s="3278" t="s">
        <v>227</v>
      </c>
      <c r="U1" s="3268" t="s">
        <v>228</v>
      </c>
      <c r="V1" s="3268" t="s">
        <v>229</v>
      </c>
      <c r="W1" s="3268" t="s">
        <v>230</v>
      </c>
    </row>
    <row r="2" spans="1:23">
      <c r="A2" s="3269" t="s">
        <v>124</v>
      </c>
      <c r="B2" s="3269" t="s">
        <v>231</v>
      </c>
      <c r="C2" s="3270" t="s">
        <v>232</v>
      </c>
      <c r="D2" s="3264" t="s">
        <v>233</v>
      </c>
      <c r="E2" s="3264" t="s">
        <v>234</v>
      </c>
      <c r="F2" s="3264" t="s">
        <v>159</v>
      </c>
      <c r="G2" s="3264">
        <v>40</v>
      </c>
      <c r="H2" s="3264" t="s">
        <v>159</v>
      </c>
      <c r="I2" s="3264" t="s">
        <v>235</v>
      </c>
      <c r="J2" s="3264" t="s">
        <v>236</v>
      </c>
      <c r="K2" s="3264" t="s">
        <v>237</v>
      </c>
      <c r="L2" s="3264" t="s">
        <v>237</v>
      </c>
      <c r="M2" s="3264" t="s">
        <v>237</v>
      </c>
      <c r="N2" s="3264" t="s">
        <v>237</v>
      </c>
      <c r="O2" s="3264" t="s">
        <v>237</v>
      </c>
      <c r="P2" s="3264" t="s">
        <v>237</v>
      </c>
      <c r="Q2" s="3264" t="s">
        <v>237</v>
      </c>
      <c r="R2" s="3264" t="s">
        <v>238</v>
      </c>
      <c r="S2" s="3264" t="s">
        <v>237</v>
      </c>
      <c r="T2" s="3264" t="s">
        <v>239</v>
      </c>
      <c r="U2" s="3264" t="s">
        <v>237</v>
      </c>
      <c r="V2" s="3264" t="s">
        <v>240</v>
      </c>
      <c r="W2" s="3264" t="s">
        <v>237</v>
      </c>
    </row>
    <row r="3" spans="1:23">
      <c r="A3" s="3269" t="s">
        <v>241</v>
      </c>
      <c r="B3" s="3271" t="s">
        <v>242</v>
      </c>
      <c r="C3" s="3272" t="s">
        <v>243</v>
      </c>
      <c r="D3" s="3264" t="s">
        <v>244</v>
      </c>
      <c r="E3" s="3264" t="s">
        <v>124</v>
      </c>
      <c r="F3" s="3264" t="s">
        <v>160</v>
      </c>
      <c r="G3" s="3264">
        <v>50</v>
      </c>
      <c r="H3" s="3264" t="s">
        <v>160</v>
      </c>
      <c r="I3" s="3264" t="s">
        <v>245</v>
      </c>
      <c r="J3" s="3264" t="s">
        <v>246</v>
      </c>
      <c r="K3" s="3264" t="s">
        <v>247</v>
      </c>
      <c r="L3" s="3264" t="s">
        <v>247</v>
      </c>
      <c r="M3" s="3264" t="s">
        <v>247</v>
      </c>
      <c r="N3" s="3264" t="s">
        <v>247</v>
      </c>
      <c r="O3" s="3264" t="s">
        <v>247</v>
      </c>
      <c r="P3" s="3264" t="s">
        <v>247</v>
      </c>
      <c r="Q3" s="3264" t="s">
        <v>247</v>
      </c>
      <c r="R3" s="3264" t="s">
        <v>248</v>
      </c>
      <c r="S3" s="3264" t="s">
        <v>247</v>
      </c>
      <c r="T3" s="3264" t="s">
        <v>249</v>
      </c>
      <c r="U3" s="3264" t="s">
        <v>247</v>
      </c>
      <c r="V3" s="3264" t="s">
        <v>250</v>
      </c>
      <c r="W3" s="3264" t="s">
        <v>247</v>
      </c>
    </row>
    <row r="4" spans="1:23">
      <c r="A4" s="3269" t="s">
        <v>251</v>
      </c>
      <c r="B4" s="3269" t="s">
        <v>252</v>
      </c>
      <c r="C4" s="3270" t="s">
        <v>253</v>
      </c>
      <c r="D4" s="3264" t="s">
        <v>124</v>
      </c>
      <c r="E4" s="3264" t="s">
        <v>254</v>
      </c>
      <c r="F4" s="3264" t="s">
        <v>161</v>
      </c>
      <c r="G4" s="3264">
        <v>70</v>
      </c>
      <c r="H4" s="3264" t="s">
        <v>161</v>
      </c>
      <c r="I4" s="3264" t="s">
        <v>255</v>
      </c>
      <c r="K4" s="3264" t="s">
        <v>256</v>
      </c>
      <c r="L4" s="3264" t="s">
        <v>256</v>
      </c>
      <c r="M4" s="3264" t="s">
        <v>256</v>
      </c>
      <c r="N4" s="3264" t="s">
        <v>256</v>
      </c>
      <c r="O4" s="3264" t="s">
        <v>256</v>
      </c>
      <c r="P4" s="3264" t="s">
        <v>256</v>
      </c>
      <c r="Q4" s="3264" t="s">
        <v>256</v>
      </c>
      <c r="R4" s="3264" t="s">
        <v>257</v>
      </c>
      <c r="S4" s="3264" t="s">
        <v>256</v>
      </c>
      <c r="T4" s="3264" t="s">
        <v>258</v>
      </c>
      <c r="U4" s="3264" t="s">
        <v>256</v>
      </c>
      <c r="W4" s="3264" t="s">
        <v>256</v>
      </c>
    </row>
    <row r="5" spans="1:23">
      <c r="A5" s="3269" t="s">
        <v>259</v>
      </c>
      <c r="B5" s="3269" t="s">
        <v>260</v>
      </c>
      <c r="C5" s="3270" t="s">
        <v>261</v>
      </c>
      <c r="F5" s="3264" t="s">
        <v>162</v>
      </c>
      <c r="H5" s="3264" t="s">
        <v>262</v>
      </c>
      <c r="I5" s="3264" t="s">
        <v>263</v>
      </c>
      <c r="K5" s="3264" t="s">
        <v>264</v>
      </c>
      <c r="L5" s="3264" t="s">
        <v>264</v>
      </c>
      <c r="M5" s="3264" t="s">
        <v>264</v>
      </c>
      <c r="N5" s="3264" t="s">
        <v>264</v>
      </c>
      <c r="O5" s="3264" t="s">
        <v>264</v>
      </c>
      <c r="P5" s="3264" t="s">
        <v>264</v>
      </c>
      <c r="Q5" s="3264" t="s">
        <v>264</v>
      </c>
      <c r="R5" s="3264" t="s">
        <v>265</v>
      </c>
      <c r="S5" s="3264" t="s">
        <v>264</v>
      </c>
      <c r="T5" s="3264" t="s">
        <v>266</v>
      </c>
      <c r="U5" s="3264" t="s">
        <v>264</v>
      </c>
      <c r="W5" s="3264" t="s">
        <v>264</v>
      </c>
    </row>
    <row r="6" spans="1:23">
      <c r="A6" s="3269" t="s">
        <v>267</v>
      </c>
      <c r="B6" s="3271" t="s">
        <v>268</v>
      </c>
      <c r="C6" s="3273" t="s">
        <v>269</v>
      </c>
      <c r="F6" s="3264" t="s">
        <v>262</v>
      </c>
      <c r="H6" s="3264" t="s">
        <v>164</v>
      </c>
      <c r="I6" s="3264" t="s">
        <v>270</v>
      </c>
      <c r="K6" s="3264" t="s">
        <v>271</v>
      </c>
      <c r="L6" s="3264" t="s">
        <v>271</v>
      </c>
      <c r="M6" s="3264" t="s">
        <v>271</v>
      </c>
      <c r="N6" s="3264" t="s">
        <v>271</v>
      </c>
      <c r="O6" s="3264" t="s">
        <v>271</v>
      </c>
      <c r="P6" s="3264" t="s">
        <v>271</v>
      </c>
      <c r="Q6" s="3264" t="s">
        <v>271</v>
      </c>
      <c r="R6" s="3264" t="s">
        <v>272</v>
      </c>
      <c r="S6" s="3264" t="s">
        <v>271</v>
      </c>
      <c r="T6" s="3264"/>
      <c r="U6" s="3264" t="s">
        <v>271</v>
      </c>
      <c r="W6" s="3264" t="s">
        <v>271</v>
      </c>
    </row>
    <row r="7" spans="1:9">
      <c r="A7" s="3269" t="s">
        <v>273</v>
      </c>
      <c r="B7" s="3271" t="s">
        <v>274</v>
      </c>
      <c r="C7" s="3270" t="s">
        <v>275</v>
      </c>
      <c r="F7" s="3264" t="s">
        <v>276</v>
      </c>
      <c r="H7" s="3264" t="s">
        <v>162</v>
      </c>
      <c r="I7" s="3264" t="s">
        <v>277</v>
      </c>
    </row>
    <row r="8" spans="1:9">
      <c r="A8" s="3269" t="s">
        <v>278</v>
      </c>
      <c r="B8" s="3269" t="s">
        <v>279</v>
      </c>
      <c r="C8" s="3270" t="s">
        <v>280</v>
      </c>
      <c r="F8" s="3264" t="s">
        <v>281</v>
      </c>
      <c r="H8" s="3264"/>
      <c r="I8" s="3264" t="s">
        <v>282</v>
      </c>
    </row>
    <row r="9" spans="1:8">
      <c r="A9" s="3269" t="s">
        <v>283</v>
      </c>
      <c r="B9" s="3269" t="s">
        <v>284</v>
      </c>
      <c r="C9" s="3270" t="s">
        <v>285</v>
      </c>
      <c r="F9" s="3264" t="s">
        <v>164</v>
      </c>
      <c r="H9" s="3264"/>
    </row>
    <row r="10" spans="1:6">
      <c r="A10" s="3269" t="s">
        <v>286</v>
      </c>
      <c r="B10" s="3269" t="s">
        <v>287</v>
      </c>
      <c r="C10" s="3270" t="s">
        <v>288</v>
      </c>
      <c r="F10" s="3264" t="s">
        <v>124</v>
      </c>
    </row>
    <row r="11" spans="1:3">
      <c r="A11" s="3269" t="s">
        <v>289</v>
      </c>
      <c r="B11" s="3269" t="s">
        <v>290</v>
      </c>
      <c r="C11" s="3270" t="s">
        <v>291</v>
      </c>
    </row>
    <row r="12" spans="1:3">
      <c r="A12" s="3269" t="s">
        <v>292</v>
      </c>
      <c r="B12" s="3269" t="s">
        <v>293</v>
      </c>
      <c r="C12" s="3270" t="s">
        <v>294</v>
      </c>
    </row>
    <row r="13" spans="1:3">
      <c r="A13" s="3269" t="s">
        <v>295</v>
      </c>
      <c r="B13" s="3269" t="s">
        <v>296</v>
      </c>
      <c r="C13" s="3270" t="s">
        <v>297</v>
      </c>
    </row>
    <row r="14" spans="1:3">
      <c r="A14" s="3269" t="s">
        <v>298</v>
      </c>
      <c r="B14" s="3269" t="s">
        <v>299</v>
      </c>
      <c r="C14" s="3264" t="s">
        <v>124</v>
      </c>
    </row>
    <row r="15" spans="1:3">
      <c r="A15" s="3269" t="s">
        <v>300</v>
      </c>
      <c r="B15" s="3269" t="s">
        <v>301</v>
      </c>
      <c r="C15" s="3270"/>
    </row>
    <row r="16" spans="1:3">
      <c r="A16" s="3269" t="s">
        <v>302</v>
      </c>
      <c r="B16" s="3269" t="s">
        <v>303</v>
      </c>
      <c r="C16" s="3270"/>
    </row>
    <row r="17" spans="1:3">
      <c r="A17" s="3269" t="s">
        <v>304</v>
      </c>
      <c r="B17" s="3269" t="s">
        <v>305</v>
      </c>
      <c r="C17" s="3270"/>
    </row>
    <row r="18" spans="1:3">
      <c r="A18" s="3269" t="s">
        <v>306</v>
      </c>
      <c r="B18" s="3269" t="s">
        <v>307</v>
      </c>
      <c r="C18" s="3270"/>
    </row>
    <row r="19" spans="1:3">
      <c r="A19" s="3269" t="s">
        <v>308</v>
      </c>
      <c r="B19" s="3269" t="s">
        <v>309</v>
      </c>
      <c r="C19" s="3270"/>
    </row>
    <row r="20" spans="1:3">
      <c r="A20" s="3269" t="s">
        <v>310</v>
      </c>
      <c r="B20" s="3269" t="s">
        <v>305</v>
      </c>
      <c r="C20" s="3270"/>
    </row>
    <row r="21" spans="1:3">
      <c r="A21" s="3269" t="s">
        <v>262</v>
      </c>
      <c r="B21" s="3269" t="s">
        <v>311</v>
      </c>
      <c r="C21" s="3270"/>
    </row>
    <row r="22" spans="1:3">
      <c r="A22" s="3269" t="s">
        <v>312</v>
      </c>
      <c r="B22" s="3269" t="s">
        <v>313</v>
      </c>
      <c r="C22" s="3270"/>
    </row>
    <row r="23" spans="1:3">
      <c r="A23" s="3269" t="s">
        <v>314</v>
      </c>
      <c r="B23" s="3269" t="s">
        <v>315</v>
      </c>
      <c r="C23" s="3270"/>
    </row>
    <row r="24" spans="1:3">
      <c r="A24" s="3269" t="s">
        <v>316</v>
      </c>
      <c r="B24" s="3269" t="s">
        <v>317</v>
      </c>
      <c r="C24" s="3270"/>
    </row>
    <row r="25" spans="1:3">
      <c r="A25" s="3269" t="s">
        <v>318</v>
      </c>
      <c r="B25" s="3269" t="s">
        <v>311</v>
      </c>
      <c r="C25" s="3270"/>
    </row>
    <row r="26" spans="1:3">
      <c r="A26" s="3269" t="s">
        <v>319</v>
      </c>
      <c r="B26" s="3269" t="s">
        <v>320</v>
      </c>
      <c r="C26" s="3270"/>
    </row>
    <row r="27" spans="1:3">
      <c r="A27" s="3269" t="s">
        <v>320</v>
      </c>
      <c r="B27" s="3269" t="s">
        <v>320</v>
      </c>
      <c r="C27" s="3270"/>
    </row>
    <row r="28" spans="1:3">
      <c r="A28" s="3269" t="s">
        <v>320</v>
      </c>
      <c r="B28" s="3269" t="s">
        <v>320</v>
      </c>
      <c r="C28" s="3270"/>
    </row>
    <row r="29" spans="1:3">
      <c r="A29" s="3269" t="s">
        <v>320</v>
      </c>
      <c r="B29" s="3269" t="s">
        <v>320</v>
      </c>
      <c r="C29" s="3270"/>
    </row>
    <row r="30" spans="1:3">
      <c r="A30" s="3269" t="s">
        <v>320</v>
      </c>
      <c r="B30" s="3269" t="s">
        <v>320</v>
      </c>
      <c r="C30" s="3270"/>
    </row>
    <row r="31" spans="1:3">
      <c r="A31" s="3269" t="s">
        <v>320</v>
      </c>
      <c r="B31" s="3269" t="s">
        <v>320</v>
      </c>
      <c r="C31" s="3270"/>
    </row>
    <row r="32" spans="1:3">
      <c r="A32" s="3269" t="s">
        <v>320</v>
      </c>
      <c r="B32" s="3269" t="s">
        <v>320</v>
      </c>
      <c r="C32" s="3270"/>
    </row>
    <row r="33" spans="1:3">
      <c r="A33" s="3269" t="s">
        <v>320</v>
      </c>
      <c r="B33" s="3269" t="s">
        <v>320</v>
      </c>
      <c r="C33" s="3270"/>
    </row>
    <row r="34" spans="1:3">
      <c r="A34" s="3269" t="s">
        <v>320</v>
      </c>
      <c r="B34" s="3269" t="s">
        <v>320</v>
      </c>
      <c r="C34" s="3270"/>
    </row>
    <row r="35" spans="1:3">
      <c r="A35" s="3269" t="s">
        <v>320</v>
      </c>
      <c r="B35" s="3269" t="s">
        <v>320</v>
      </c>
      <c r="C35" s="3270"/>
    </row>
    <row r="36" spans="1:3">
      <c r="A36" s="3269" t="s">
        <v>320</v>
      </c>
      <c r="B36" s="3269" t="s">
        <v>320</v>
      </c>
      <c r="C36" s="3270"/>
    </row>
    <row r="37" spans="1:3">
      <c r="A37" s="3269" t="s">
        <v>320</v>
      </c>
      <c r="B37" s="3269" t="s">
        <v>320</v>
      </c>
      <c r="C37" s="3270"/>
    </row>
    <row r="38" spans="1:3">
      <c r="A38" s="3269" t="s">
        <v>320</v>
      </c>
      <c r="B38" s="3269" t="s">
        <v>320</v>
      </c>
      <c r="C38" s="3270"/>
    </row>
    <row r="39" spans="1:3">
      <c r="A39" s="3269" t="s">
        <v>320</v>
      </c>
      <c r="B39" s="3269" t="s">
        <v>320</v>
      </c>
      <c r="C39" s="3270"/>
    </row>
    <row r="40" spans="1:3">
      <c r="A40" s="3269" t="s">
        <v>320</v>
      </c>
      <c r="B40" s="3269" t="s">
        <v>320</v>
      </c>
      <c r="C40" s="3270"/>
    </row>
    <row r="41" spans="1:3">
      <c r="A41" s="3269" t="s">
        <v>320</v>
      </c>
      <c r="B41" s="3269" t="s">
        <v>320</v>
      </c>
      <c r="C41" s="3270"/>
    </row>
    <row r="42" spans="1:3">
      <c r="A42" s="3269" t="s">
        <v>320</v>
      </c>
      <c r="B42" s="3269" t="s">
        <v>320</v>
      </c>
      <c r="C42" s="3270"/>
    </row>
    <row r="43" spans="1:3">
      <c r="A43" s="3269" t="s">
        <v>320</v>
      </c>
      <c r="B43" s="3269" t="s">
        <v>320</v>
      </c>
      <c r="C43" s="3270"/>
    </row>
    <row r="44" spans="1:3">
      <c r="A44" s="3269" t="s">
        <v>320</v>
      </c>
      <c r="B44" s="3269" t="s">
        <v>320</v>
      </c>
      <c r="C44" s="3270"/>
    </row>
    <row r="45" spans="1:3">
      <c r="A45" s="3269" t="s">
        <v>320</v>
      </c>
      <c r="B45" s="3269" t="s">
        <v>320</v>
      </c>
      <c r="C45" s="3270"/>
    </row>
    <row r="46" spans="1:3">
      <c r="A46" s="3269" t="s">
        <v>320</v>
      </c>
      <c r="B46" s="3269" t="s">
        <v>320</v>
      </c>
      <c r="C46" s="3270"/>
    </row>
    <row r="47" spans="1:3">
      <c r="A47" s="3269" t="s">
        <v>320</v>
      </c>
      <c r="B47" s="3269" t="s">
        <v>320</v>
      </c>
      <c r="C47" s="3270"/>
    </row>
    <row r="48" spans="1:3">
      <c r="A48" s="3269" t="s">
        <v>320</v>
      </c>
      <c r="B48" s="3269" t="s">
        <v>320</v>
      </c>
      <c r="C48" s="3270"/>
    </row>
    <row r="49" spans="1:3">
      <c r="A49" s="3269" t="s">
        <v>320</v>
      </c>
      <c r="B49" s="3269" t="s">
        <v>320</v>
      </c>
      <c r="C49" s="3270"/>
    </row>
    <row r="50" spans="1:3">
      <c r="A50" s="3269" t="s">
        <v>320</v>
      </c>
      <c r="B50" s="3269" t="s">
        <v>320</v>
      </c>
      <c r="C50" s="3270"/>
    </row>
    <row r="51" spans="1:4">
      <c r="A51" s="3274" t="s">
        <v>321</v>
      </c>
      <c r="B51" s="32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5" t="s">
        <v>322</v>
      </c>
    </row>
    <row r="52" spans="1:4">
      <c r="A52" s="3274" t="s">
        <v>323</v>
      </c>
      <c r="B52" s="3274" t="s">
        <v>324</v>
      </c>
      <c r="C52" s="3263" t="s">
        <v>325</v>
      </c>
      <c r="D52" s="3263" t="s">
        <v>326</v>
      </c>
    </row>
    <row r="53" spans="1:3">
      <c r="A53" s="3267" t="s">
        <v>327</v>
      </c>
      <c r="B53" s="3275" t="s">
        <v>328</v>
      </c>
      <c r="C53" s="3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7"/>
      <c r="B54" s="3275" t="s">
        <v>329</v>
      </c>
      <c r="C54" s="3263" t="s">
        <v>330</v>
      </c>
    </row>
    <row r="55" spans="1:3">
      <c r="A55" s="3267"/>
      <c r="B55" s="3275" t="s">
        <v>331</v>
      </c>
      <c r="C55" s="3263" t="s">
        <v>332</v>
      </c>
    </row>
    <row r="56" spans="1:3">
      <c r="A56" s="3267"/>
      <c r="B56" s="3275" t="s">
        <v>333</v>
      </c>
      <c r="C56" s="3263" t="s">
        <v>334</v>
      </c>
    </row>
    <row r="57" spans="1:3">
      <c r="A57" s="3267"/>
      <c r="B57" s="3275" t="s">
        <v>335</v>
      </c>
      <c r="C57" s="3263" t="s">
        <v>336</v>
      </c>
    </row>
    <row r="58" spans="1:2">
      <c r="A58" s="3276"/>
      <c r="B58" s="3263"/>
    </row>
    <row r="59" spans="1:2">
      <c r="A59" s="3276"/>
      <c r="B59" s="3263"/>
    </row>
    <row r="60" spans="1:2">
      <c r="A60" s="3276"/>
      <c r="B60" s="3263"/>
    </row>
    <row r="61" spans="1:2">
      <c r="A61" s="3276"/>
      <c r="B61" s="3263"/>
    </row>
    <row r="62" spans="1:2">
      <c r="A62" s="3276"/>
      <c r="B62" s="3263"/>
    </row>
    <row r="63" spans="1:2">
      <c r="A63" s="3276"/>
      <c r="B63" s="3263"/>
    </row>
    <row r="64" spans="1:2">
      <c r="A64" s="3276"/>
      <c r="B64" s="3263"/>
    </row>
    <row r="65" spans="1:2">
      <c r="A65" s="3276"/>
      <c r="B65" s="3263"/>
    </row>
    <row r="66" spans="1:2">
      <c r="A66" s="3276"/>
      <c r="B66" s="3263"/>
    </row>
    <row r="67" spans="1:2">
      <c r="A67" s="3276"/>
      <c r="B67" s="3263"/>
    </row>
    <row r="68" spans="1:2">
      <c r="A68" s="3276"/>
      <c r="B68" s="3263"/>
    </row>
    <row r="69" spans="1:2">
      <c r="A69" s="3276"/>
      <c r="B69" s="3263"/>
    </row>
    <row r="70" spans="1:2">
      <c r="A70" s="3276"/>
      <c r="B70" s="3263"/>
    </row>
    <row r="71" spans="1:2">
      <c r="A71" s="3276"/>
      <c r="B71" s="3263"/>
    </row>
    <row r="72" spans="1:2">
      <c r="A72" s="3276"/>
      <c r="B72" s="3263"/>
    </row>
    <row r="73" spans="1:2">
      <c r="A73" s="3276"/>
      <c r="B73" s="3263"/>
    </row>
    <row r="74" spans="1:2">
      <c r="A74" s="3276"/>
      <c r="B74" s="3263"/>
    </row>
    <row r="75" spans="1:2">
      <c r="A75" s="3276"/>
      <c r="B75" s="3263"/>
    </row>
    <row r="76" spans="1:2">
      <c r="A76" s="3276"/>
      <c r="B76" s="3263"/>
    </row>
    <row r="77" spans="1:2">
      <c r="A77" s="3276"/>
      <c r="B77" s="3263"/>
    </row>
    <row r="78" spans="1:2">
      <c r="A78" s="3276"/>
      <c r="B78" s="3263"/>
    </row>
    <row r="79" spans="1:2">
      <c r="A79" s="3276"/>
      <c r="B79" s="3263"/>
    </row>
    <row r="80" spans="1:2">
      <c r="A80" s="3276"/>
      <c r="B80" s="3263"/>
    </row>
    <row r="81" spans="1:2">
      <c r="A81" s="3276"/>
      <c r="B81" s="3263"/>
    </row>
    <row r="82" spans="1:2">
      <c r="A82" s="3276"/>
      <c r="B82" s="3263"/>
    </row>
    <row r="83" spans="1:2">
      <c r="A83" s="3276"/>
      <c r="B83" s="3263"/>
    </row>
    <row r="84" spans="1:2">
      <c r="A84" s="3276"/>
      <c r="B84" s="3263"/>
    </row>
    <row r="85" spans="1:2">
      <c r="A85" s="3276"/>
      <c r="B85" s="3263"/>
    </row>
    <row r="86" spans="1:2">
      <c r="A86" s="3276"/>
      <c r="B86" s="3263"/>
    </row>
    <row r="87" spans="1:2">
      <c r="A87" s="3276"/>
      <c r="B87" s="3263"/>
    </row>
    <row r="88" spans="1:2">
      <c r="A88" s="3276"/>
      <c r="B88" s="3263"/>
    </row>
    <row r="89" spans="1:2">
      <c r="A89" s="3276"/>
      <c r="B89" s="3263"/>
    </row>
    <row r="90" spans="1:2">
      <c r="A90" s="3276"/>
      <c r="B90" s="3263"/>
    </row>
    <row r="91" spans="1:2">
      <c r="A91" s="3276"/>
      <c r="B91" s="3263"/>
    </row>
    <row r="92" spans="1:2">
      <c r="A92" s="3276"/>
      <c r="B92" s="3263"/>
    </row>
    <row r="93" spans="1:2">
      <c r="A93" s="3276"/>
      <c r="B93" s="3263"/>
    </row>
    <row r="94" spans="1:2">
      <c r="A94" s="3276"/>
      <c r="B94" s="3263"/>
    </row>
    <row r="95" spans="1:2">
      <c r="A95" s="3276"/>
      <c r="B95" s="3263"/>
    </row>
    <row r="96" spans="1:2">
      <c r="A96" s="3276"/>
      <c r="B96" s="3263"/>
    </row>
    <row r="97" spans="1:2">
      <c r="A97" s="3276"/>
      <c r="B97" s="3263"/>
    </row>
    <row r="98" spans="1:2">
      <c r="A98" s="3276"/>
      <c r="B98" s="3263"/>
    </row>
    <row r="99" spans="1:2">
      <c r="A99" s="3276"/>
      <c r="B99" s="3263"/>
    </row>
    <row r="100" spans="1:2">
      <c r="A100" s="3276"/>
      <c r="B100" s="3263"/>
    </row>
    <row r="101" spans="1:2">
      <c r="A101" s="3276"/>
      <c r="B101" s="3263"/>
    </row>
    <row r="102" spans="1:2">
      <c r="A102" s="3276"/>
      <c r="B102" s="3263"/>
    </row>
    <row r="103" spans="1:2">
      <c r="A103" s="3276"/>
      <c r="B103" s="3263"/>
    </row>
    <row r="104" spans="1:2">
      <c r="A104" s="3276"/>
      <c r="B104" s="3263"/>
    </row>
    <row r="105" spans="1:2">
      <c r="A105" s="3276"/>
      <c r="B105" s="3263"/>
    </row>
    <row r="106" spans="1:2">
      <c r="A106" s="3276"/>
      <c r="B106" s="3263"/>
    </row>
    <row r="107" spans="1:2">
      <c r="A107" s="3276"/>
      <c r="B107" s="3263"/>
    </row>
    <row r="108" spans="1:2">
      <c r="A108" s="3276"/>
      <c r="B108" s="3263"/>
    </row>
    <row r="109" spans="1:2">
      <c r="A109" s="3276"/>
      <c r="B109" s="3263"/>
    </row>
    <row r="110" spans="1:2">
      <c r="A110" s="3276"/>
      <c r="B110" s="3263"/>
    </row>
    <row r="111" spans="1:2">
      <c r="A111" s="3276"/>
      <c r="B111" s="3263"/>
    </row>
    <row r="112" spans="1:2">
      <c r="A112" s="3276"/>
      <c r="B112" s="3263"/>
    </row>
    <row r="113" spans="1:2">
      <c r="A113" s="3276"/>
      <c r="B113" s="3263"/>
    </row>
    <row r="114" spans="1:2">
      <c r="A114" s="3276"/>
      <c r="B114" s="3263"/>
    </row>
    <row r="115" spans="1:2">
      <c r="A115" s="3276"/>
      <c r="B115" s="3263"/>
    </row>
    <row r="116" spans="1:2">
      <c r="A116" s="3276"/>
      <c r="B116" s="3263"/>
    </row>
    <row r="117" spans="1:2">
      <c r="A117" s="3276"/>
      <c r="B117" s="3263"/>
    </row>
    <row r="118" spans="1:2">
      <c r="A118" s="3276"/>
      <c r="B118" s="3263"/>
    </row>
    <row r="119" spans="1:2">
      <c r="A119" s="3276"/>
      <c r="B119" s="3263"/>
    </row>
    <row r="120" spans="1:2">
      <c r="A120" s="3276"/>
      <c r="B120" s="3263"/>
    </row>
    <row r="121" spans="1:2">
      <c r="A121" s="3276"/>
      <c r="B121" s="3263"/>
    </row>
    <row r="122" spans="1:2">
      <c r="A122" s="3276"/>
      <c r="B122" s="3263"/>
    </row>
    <row r="123" spans="1:2">
      <c r="A123" s="3276"/>
      <c r="B123" s="3263"/>
    </row>
    <row r="124" spans="1:2">
      <c r="A124" s="3276"/>
      <c r="B124" s="3263"/>
    </row>
    <row r="125" spans="1:2">
      <c r="A125" s="3276"/>
      <c r="B125" s="3263"/>
    </row>
    <row r="126" spans="1:2">
      <c r="A126" s="3276"/>
      <c r="B126" s="3263"/>
    </row>
    <row r="127" spans="1:2">
      <c r="A127" s="3276"/>
      <c r="B127" s="32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2693" customWidth="1"/>
    <col min="2" max="2" width="10" style="2693" customWidth="1"/>
    <col min="3" max="3" width="11.5" style="2693" customWidth="1"/>
    <col min="4" max="4" width="10" style="2693" customWidth="1"/>
    <col min="5" max="5" width="12.625" style="2693" customWidth="1"/>
    <col min="6" max="6" width="10" style="2693" customWidth="1"/>
    <col min="7" max="7" width="10.75" style="2693" customWidth="1"/>
    <col min="8" max="8" width="10" style="2693" customWidth="1"/>
    <col min="9" max="9" width="11.125" style="3008" customWidth="1"/>
    <col min="10" max="10" width="10" style="2886" customWidth="1"/>
    <col min="11" max="11" width="10" style="3106" customWidth="1"/>
    <col min="12" max="13" width="10" style="3107" customWidth="1"/>
    <col min="14" max="14" width="10" style="2886" customWidth="1"/>
    <col min="15" max="15" width="10" style="1980" customWidth="1"/>
    <col min="16" max="17" width="10" style="2886"/>
    <col min="18" max="18" width="10" style="2886" customWidth="1"/>
    <col min="19" max="30" width="10" style="2886"/>
    <col min="31" max="16384" width="10" style="2693"/>
  </cols>
  <sheetData>
    <row r="1" ht="13.5" spans="1:28">
      <c r="A1" s="3108" t="s">
        <v>337</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228"/>
      <c r="J1" s="2601"/>
      <c r="K1" s="3229"/>
      <c r="L1" s="3230"/>
      <c r="M1" s="3230"/>
      <c r="N1" s="3154"/>
      <c r="O1" s="3016"/>
      <c r="P1" s="3154"/>
      <c r="Q1" s="3154"/>
      <c r="R1" s="3154"/>
      <c r="S1" s="2694" t="str">
        <f>IF(B10="北京市","北京市",C10)&amp;F10&amp;IF(结果表!G1="在建","出让国有建设用地使用权及在建建筑物房地产抵押价值",IF(结果表!G1="土地","出让国有建设用地使用权抵押价值",B9))</f>
        <v>北京市房地产抵押价值</v>
      </c>
      <c r="T1" s="2693"/>
      <c r="U1" s="2693"/>
      <c r="V1" s="2693"/>
      <c r="W1" s="2693"/>
      <c r="X1" s="2693"/>
      <c r="Y1" s="2693"/>
      <c r="Z1" s="2693"/>
      <c r="AA1" s="2693"/>
      <c r="AB1" s="2693"/>
    </row>
    <row r="2" spans="1:28">
      <c r="A2" s="3111" t="s">
        <v>338</v>
      </c>
      <c r="B2" s="3112"/>
      <c r="C2" s="3113"/>
      <c r="D2" s="3114"/>
      <c r="E2" s="3115"/>
      <c r="F2" s="3115"/>
      <c r="G2" s="3116"/>
      <c r="H2" s="3116"/>
      <c r="I2" s="3116"/>
      <c r="J2" s="2601"/>
      <c r="K2" s="3229"/>
      <c r="L2" s="3230"/>
      <c r="M2" s="3230"/>
      <c r="N2" s="3154"/>
      <c r="O2" s="3016"/>
      <c r="P2" s="3154"/>
      <c r="Q2" s="3154"/>
      <c r="R2" s="3154"/>
      <c r="S2" s="2694" t="str">
        <f>IF(B10="北京市","北京市",C10)&amp;F10&amp;IF(结果表!G1="在建","出让国有建设用地使用权及在建建筑物房地产",IF(结果表!G1="土地","出让国有建设用地使用权","房地产"))</f>
        <v>北京市房地产</v>
      </c>
      <c r="T2" s="2693"/>
      <c r="U2" s="2693"/>
      <c r="V2" s="2693"/>
      <c r="W2" s="2693"/>
      <c r="X2" s="2693"/>
      <c r="Y2" s="2693"/>
      <c r="Z2" s="2693"/>
      <c r="AA2" s="2693"/>
      <c r="AB2" s="2693"/>
    </row>
    <row r="3" spans="1:28">
      <c r="A3" s="1561" t="s">
        <v>339</v>
      </c>
      <c r="B3" s="3117">
        <v>44175</v>
      </c>
      <c r="C3" s="3118" t="s">
        <v>340</v>
      </c>
      <c r="D3" s="3117">
        <f>B3</f>
        <v>44175</v>
      </c>
      <c r="E3" s="3116"/>
      <c r="F3" s="3116"/>
      <c r="G3" s="3116"/>
      <c r="H3" s="3116"/>
      <c r="I3" s="3116"/>
      <c r="J3" s="2601"/>
      <c r="K3" s="3229"/>
      <c r="L3" s="3230"/>
      <c r="M3" s="3230"/>
      <c r="N3" s="3154"/>
      <c r="O3" s="3016"/>
      <c r="P3" s="3154"/>
      <c r="Q3" s="3154"/>
      <c r="R3" s="3154"/>
      <c r="S3" s="2694"/>
      <c r="T3" s="2693"/>
      <c r="U3" s="2693"/>
      <c r="V3" s="2693"/>
      <c r="W3" s="2693"/>
      <c r="X3" s="2693"/>
      <c r="Y3" s="2693"/>
      <c r="Z3" s="2693"/>
      <c r="AA3" s="2693"/>
      <c r="AB3" s="2693"/>
    </row>
    <row r="4" ht="13.5" spans="1:28">
      <c r="A4" s="1586" t="s">
        <v>341</v>
      </c>
      <c r="B4" s="3119"/>
      <c r="C4" s="3120">
        <f ca="1">SUMIF(注册房地产估价师,B4,估价师及机构信息!B3:B24)</f>
        <v>0</v>
      </c>
      <c r="D4" s="3119"/>
      <c r="E4" s="3121">
        <f ca="1">SUMIF(注册房地产估价师,D4,估价师及机构信息!B3:B24)</f>
        <v>0</v>
      </c>
      <c r="F4" s="3119"/>
      <c r="G4" s="3121">
        <f ca="1">SUMIF(注册房地产估价师,F4,估价师及机构信息!B3:B24)</f>
        <v>0</v>
      </c>
      <c r="H4" s="3119"/>
      <c r="I4" s="3121">
        <f ca="1">SUMIF(注册房地产估价师,H4,估价师及机构信息!B3:B24)</f>
        <v>0</v>
      </c>
      <c r="J4" s="2635"/>
      <c r="K4" s="3231" t="str">
        <f ca="1">CONCATENATE(B4,"（注册号：",C4,")、",D4,"（注册号：",E4,")")</f>
        <v>（注册号：0)、（注册号：0)</v>
      </c>
      <c r="L4" s="3230"/>
      <c r="M4" s="3230"/>
      <c r="N4" s="3154"/>
      <c r="O4" s="3016"/>
      <c r="P4" s="3154"/>
      <c r="Q4" s="3154"/>
      <c r="R4" s="3154"/>
      <c r="S4" s="2694"/>
      <c r="T4" s="2693"/>
      <c r="U4" s="2693"/>
      <c r="V4" s="2693"/>
      <c r="W4" s="2693"/>
      <c r="X4" s="2693"/>
      <c r="Y4" s="2693"/>
      <c r="Z4" s="2693"/>
      <c r="AA4" s="2693"/>
      <c r="AB4" s="2693"/>
    </row>
    <row r="5" ht="13.5" spans="1:28">
      <c r="A5" s="3122" t="s">
        <v>342</v>
      </c>
      <c r="B5" s="3123"/>
      <c r="C5" s="3124"/>
      <c r="D5" s="3125"/>
      <c r="E5" s="2796"/>
      <c r="F5" s="2796"/>
      <c r="G5" s="2796"/>
      <c r="H5" s="2796"/>
      <c r="I5" s="2796"/>
      <c r="J5" s="2635"/>
      <c r="K5" s="3231" t="str">
        <f ca="1">IF(F4="——","",IF(H4="——",F4&amp;"（注册号："&amp;G4&amp;")",CONCATENATE(F4,"（注册号：",G4,")、",H4,"（注册号：",I4,")")))</f>
        <v>（注册号：0)、（注册号：0)</v>
      </c>
      <c r="L5" s="3230"/>
      <c r="M5" s="3230"/>
      <c r="N5" s="3154"/>
      <c r="O5" s="3016"/>
      <c r="P5" s="3154"/>
      <c r="Q5" s="3154"/>
      <c r="R5" s="3154"/>
      <c r="S5" s="2693"/>
      <c r="T5" s="2693"/>
      <c r="U5" s="2693"/>
      <c r="V5" s="2693"/>
      <c r="W5" s="2693"/>
      <c r="X5" s="2693"/>
      <c r="Y5" s="2693"/>
      <c r="Z5" s="2693"/>
      <c r="AA5" s="2693"/>
      <c r="AB5" s="2693"/>
    </row>
    <row r="6" spans="1:18">
      <c r="A6" s="3126" t="s">
        <v>343</v>
      </c>
      <c r="B6" s="3127"/>
      <c r="C6" s="3128"/>
      <c r="D6" s="3129"/>
      <c r="E6" s="3115"/>
      <c r="F6" s="2796"/>
      <c r="G6" s="2796"/>
      <c r="H6" s="2796"/>
      <c r="I6" s="2796"/>
      <c r="J6" s="2635"/>
      <c r="K6" s="3232" t="str">
        <f>IF(COUNTIF(B6,"*上海银行*"),"上海银行","")</f>
        <v/>
      </c>
      <c r="L6" s="3233"/>
      <c r="M6" s="3233"/>
      <c r="N6" s="2635"/>
      <c r="O6" s="3234"/>
      <c r="P6" s="2635"/>
      <c r="Q6" s="2635"/>
      <c r="R6" s="2635"/>
    </row>
    <row r="7" spans="1:18">
      <c r="A7" s="3126" t="s">
        <v>344</v>
      </c>
      <c r="B7" s="3130"/>
      <c r="C7" s="3128"/>
      <c r="D7" s="3129"/>
      <c r="E7" s="3115"/>
      <c r="F7" s="2796"/>
      <c r="G7" s="2796"/>
      <c r="H7" s="2796"/>
      <c r="I7" s="2796"/>
      <c r="J7" s="2635"/>
      <c r="K7" s="3235"/>
      <c r="L7" s="3233"/>
      <c r="M7" s="3233"/>
      <c r="N7" s="2635"/>
      <c r="O7" s="3234"/>
      <c r="P7" s="2635"/>
      <c r="Q7" s="2635"/>
      <c r="R7" s="2635"/>
    </row>
    <row r="8" spans="1:18">
      <c r="A8" s="3131" t="s">
        <v>345</v>
      </c>
      <c r="B8" s="3132" t="s">
        <v>324</v>
      </c>
      <c r="C8" s="3133"/>
      <c r="D8" s="3134" t="s">
        <v>346</v>
      </c>
      <c r="E8" s="3135"/>
      <c r="F8" s="3136"/>
      <c r="G8" s="3116"/>
      <c r="H8" s="3116"/>
      <c r="I8" s="3116"/>
      <c r="J8" s="2635"/>
      <c r="K8" s="3236"/>
      <c r="L8" s="3233"/>
      <c r="M8" s="3233"/>
      <c r="N8" s="2635"/>
      <c r="O8" s="3234"/>
      <c r="P8" s="2635"/>
      <c r="Q8" s="2635"/>
      <c r="R8" s="2635"/>
    </row>
    <row r="9" ht="13.5" spans="1:18">
      <c r="A9" s="3137" t="s">
        <v>347</v>
      </c>
      <c r="B9" s="3138" t="s">
        <v>329</v>
      </c>
      <c r="C9" s="3139"/>
      <c r="D9" s="3140"/>
      <c r="E9" s="3138"/>
      <c r="F9" s="3141"/>
      <c r="G9" s="3142"/>
      <c r="H9" s="3142"/>
      <c r="I9" s="3142"/>
      <c r="J9" s="2635"/>
      <c r="K9" s="3235"/>
      <c r="L9" s="3233"/>
      <c r="M9" s="3233"/>
      <c r="N9" s="2635"/>
      <c r="O9" s="3234"/>
      <c r="P9" s="2635"/>
      <c r="Q9" s="2635"/>
      <c r="R9" s="2635"/>
    </row>
    <row r="10" ht="13.5" spans="1:18">
      <c r="A10" s="3143" t="s">
        <v>348</v>
      </c>
      <c r="B10" s="3144" t="s">
        <v>349</v>
      </c>
      <c r="C10" s="3145"/>
      <c r="D10" s="3125"/>
      <c r="E10" s="3146" t="s">
        <v>350</v>
      </c>
      <c r="F10" s="3147"/>
      <c r="G10" s="3148"/>
      <c r="H10" s="3149"/>
      <c r="I10" s="3237"/>
      <c r="J10" s="2635"/>
      <c r="K10" s="3235"/>
      <c r="L10" s="3233"/>
      <c r="M10" s="3233"/>
      <c r="N10" s="2635"/>
      <c r="O10" s="3234"/>
      <c r="P10" s="2635"/>
      <c r="Q10" s="2635"/>
      <c r="R10" s="2635"/>
    </row>
    <row r="11" spans="1:18">
      <c r="A11" s="3150" t="s">
        <v>351</v>
      </c>
      <c r="B11" s="3151" t="s">
        <v>352</v>
      </c>
      <c r="C11" s="3152"/>
      <c r="D11" s="3153"/>
      <c r="E11" s="3154"/>
      <c r="F11" s="3154"/>
      <c r="G11" s="3154"/>
      <c r="H11" s="3154"/>
      <c r="I11" s="3154"/>
      <c r="J11" s="2635"/>
      <c r="K11" s="3235"/>
      <c r="L11" s="3233"/>
      <c r="M11" s="3233"/>
      <c r="N11" s="2635"/>
      <c r="O11" s="3234"/>
      <c r="P11" s="2635"/>
      <c r="Q11" s="2635"/>
      <c r="R11" s="2635"/>
    </row>
    <row r="12" spans="1:18">
      <c r="A12" s="3155" t="s">
        <v>353</v>
      </c>
      <c r="B12" s="3151" t="s">
        <v>354</v>
      </c>
      <c r="C12" s="1607" t="s">
        <v>355</v>
      </c>
      <c r="D12" s="3156" t="s">
        <v>356</v>
      </c>
      <c r="E12" s="3156" t="s">
        <v>357</v>
      </c>
      <c r="F12" s="3156" t="s">
        <v>358</v>
      </c>
      <c r="G12" s="3156" t="s">
        <v>359</v>
      </c>
      <c r="H12" s="3156" t="s">
        <v>360</v>
      </c>
      <c r="I12" s="3156" t="s">
        <v>361</v>
      </c>
      <c r="J12" s="2635"/>
      <c r="K12" s="3235"/>
      <c r="L12" s="3233"/>
      <c r="M12" s="3233"/>
      <c r="N12" s="2635"/>
      <c r="O12" s="3234"/>
      <c r="P12" s="2635"/>
      <c r="Q12" s="2635"/>
      <c r="R12" s="2635"/>
    </row>
    <row r="13" ht="15" spans="1:18">
      <c r="A13" s="1591"/>
      <c r="B13" s="3157"/>
      <c r="C13" s="3158" t="s">
        <v>362</v>
      </c>
      <c r="D13" s="3159"/>
      <c r="E13" s="3160">
        <v>52550</v>
      </c>
      <c r="F13" s="3160">
        <v>56203</v>
      </c>
      <c r="G13" s="3160">
        <v>56203</v>
      </c>
      <c r="H13" s="3159"/>
      <c r="I13" s="3159"/>
      <c r="J13" s="2635"/>
      <c r="K13" s="3235"/>
      <c r="L13" s="3233"/>
      <c r="M13" s="3233"/>
      <c r="N13" s="2635"/>
      <c r="O13" s="3234"/>
      <c r="P13" s="2635"/>
      <c r="Q13" s="2635"/>
      <c r="R13" s="2635"/>
    </row>
    <row r="14" spans="1:18">
      <c r="A14" s="1591"/>
      <c r="B14" s="3157"/>
      <c r="C14" s="3158" t="s">
        <v>363</v>
      </c>
      <c r="D14" s="3161"/>
      <c r="E14" s="3161">
        <v>40</v>
      </c>
      <c r="F14" s="3161">
        <v>50</v>
      </c>
      <c r="G14" s="3161">
        <v>50</v>
      </c>
      <c r="H14" s="3161"/>
      <c r="I14" s="3161"/>
      <c r="J14" s="2635"/>
      <c r="K14" s="3238"/>
      <c r="L14" s="3233"/>
      <c r="M14" s="3233"/>
      <c r="N14" s="2635"/>
      <c r="O14" s="3234"/>
      <c r="P14" s="2635"/>
      <c r="Q14" s="2635"/>
      <c r="R14" s="2635"/>
    </row>
    <row r="15" spans="1:18">
      <c r="A15" s="1599"/>
      <c r="B15" s="3162"/>
      <c r="C15" s="3163" t="s">
        <v>364</v>
      </c>
      <c r="D15" s="3164" t="str">
        <f>IF(B12="出让",IF(D13="","",ROUNDDOWN(MIN((D13-$D$3)/365,D14),2)),D14)</f>
        <v/>
      </c>
      <c r="E15" s="3164">
        <f>IF(B12="出让",IF(E13="","",ROUNDDOWN(MIN((E13-$D$3)/365,E14),2)),E14)</f>
        <v>22.94</v>
      </c>
      <c r="F15" s="3164">
        <f>IF(B12="出让",IF(F13="","",ROUNDDOWN(MIN((F13-$D$3)/365,F14),2)),F14)</f>
        <v>32.95</v>
      </c>
      <c r="G15" s="3164">
        <f>IF(B12="出让",IF(G13="","",ROUNDDOWN(MIN((G13-$D$3)/365,G14),2)),G14)</f>
        <v>32.95</v>
      </c>
      <c r="H15" s="3164" t="str">
        <f>IF(B12="出让",IF(H13="","",ROUNDDOWN(MIN((H13-$D$3)/365,H14),2)),H14)</f>
        <v/>
      </c>
      <c r="I15" s="3164" t="str">
        <f>IF(B12="出让",IF(I13="","",ROUNDDOWN(MIN((I13-$D$3)/365,I14),2)),I14)</f>
        <v/>
      </c>
      <c r="J15" s="2635"/>
      <c r="K15" s="3239"/>
      <c r="L15" s="3240"/>
      <c r="M15" s="3240"/>
      <c r="N15" s="2636"/>
      <c r="O15" s="3240"/>
      <c r="P15" s="2636"/>
      <c r="Q15" s="2635"/>
      <c r="R15" s="2635"/>
    </row>
    <row r="16" spans="1:18">
      <c r="A16" s="3146" t="s">
        <v>365</v>
      </c>
      <c r="B16" s="3165"/>
      <c r="C16" s="3166"/>
      <c r="D16" s="3167"/>
      <c r="E16" s="3168" t="s">
        <v>366</v>
      </c>
      <c r="F16" s="3169"/>
      <c r="G16" s="3170"/>
      <c r="H16" s="3170"/>
      <c r="I16" s="3241"/>
      <c r="J16" s="2635"/>
      <c r="K16" s="3239"/>
      <c r="L16" s="3240"/>
      <c r="M16" s="3240"/>
      <c r="N16" s="2636"/>
      <c r="O16" s="3240"/>
      <c r="P16" s="2636"/>
      <c r="Q16" s="2635"/>
      <c r="R16" s="2635"/>
    </row>
    <row r="17" spans="1:22">
      <c r="A17" s="1575" t="s">
        <v>367</v>
      </c>
      <c r="B17" s="1561" t="s">
        <v>368</v>
      </c>
      <c r="C17" s="2036">
        <f>'数据-汇总表'!E3</f>
        <v>66448.33</v>
      </c>
      <c r="D17" s="1620" t="s">
        <v>369</v>
      </c>
      <c r="E17" s="3171" t="s">
        <v>370</v>
      </c>
      <c r="F17" s="3172"/>
      <c r="G17" s="3172"/>
      <c r="H17" s="3172"/>
      <c r="I17" s="3242"/>
      <c r="J17" s="2635"/>
      <c r="K17" s="3243"/>
      <c r="L17" s="3240"/>
      <c r="M17" s="3240"/>
      <c r="N17" s="2636"/>
      <c r="O17" s="3240"/>
      <c r="P17" s="2636"/>
      <c r="Q17" s="2635"/>
      <c r="R17" s="2635"/>
      <c r="S17" s="2635"/>
      <c r="T17" s="2635"/>
      <c r="U17" s="2635"/>
      <c r="V17" s="2635"/>
    </row>
    <row r="18" ht="24.75" spans="1:22">
      <c r="A18" s="3173" t="s">
        <v>371</v>
      </c>
      <c r="B18" s="1586" t="s">
        <v>372</v>
      </c>
      <c r="C18" s="3174">
        <f>'数据-汇总表'!D3</f>
        <v>9082.33</v>
      </c>
      <c r="D18" s="1613" t="s">
        <v>369</v>
      </c>
      <c r="E18" s="3175" t="s">
        <v>373</v>
      </c>
      <c r="F18" s="3176"/>
      <c r="G18" s="3176"/>
      <c r="H18" s="3176"/>
      <c r="I18" s="3244"/>
      <c r="J18" s="2635"/>
      <c r="K18" s="3243"/>
      <c r="L18" s="3240"/>
      <c r="M18" s="3240"/>
      <c r="N18" s="2636"/>
      <c r="O18" s="3240"/>
      <c r="P18" s="2636"/>
      <c r="Q18" s="2635"/>
      <c r="R18" s="2635"/>
      <c r="S18" s="2635"/>
      <c r="T18" s="2635"/>
      <c r="U18" s="2635"/>
      <c r="V18" s="2635"/>
    </row>
    <row r="19" ht="37.5" spans="1:22">
      <c r="A19" s="1630" t="s">
        <v>374</v>
      </c>
      <c r="B19" s="1566" t="s">
        <v>375</v>
      </c>
      <c r="C19" s="3177"/>
      <c r="D19" s="3178" t="s">
        <v>376</v>
      </c>
      <c r="E19" s="3179"/>
      <c r="F19" s="3180" t="str">
        <f>IF(AND(C19="是",E19="否"),"是否提供他项权证或相关说明","")</f>
        <v/>
      </c>
      <c r="G19" s="3181"/>
      <c r="H19" s="2796"/>
      <c r="I19" s="2796"/>
      <c r="J19" s="2635"/>
      <c r="K19" s="3235"/>
      <c r="L19" s="3233"/>
      <c r="M19" s="3233"/>
      <c r="N19" s="2636"/>
      <c r="O19" s="3240"/>
      <c r="P19" s="2636"/>
      <c r="Q19" s="2635"/>
      <c r="R19" s="2635"/>
      <c r="S19" s="2635"/>
      <c r="T19" s="2635"/>
      <c r="U19" s="2635"/>
      <c r="V19" s="2635"/>
    </row>
    <row r="20" spans="1:28">
      <c r="A20" s="3182" t="s">
        <v>377</v>
      </c>
      <c r="B20" s="3183" t="s">
        <v>378</v>
      </c>
      <c r="C20" s="3184"/>
      <c r="D20" s="3185" t="s">
        <v>379</v>
      </c>
      <c r="E20" s="3186"/>
      <c r="F20" s="3187" t="s">
        <v>380</v>
      </c>
      <c r="G20" s="2796"/>
      <c r="H20" s="2796"/>
      <c r="I20" s="2796"/>
      <c r="J20" s="2635"/>
      <c r="K20" s="3027"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5"/>
      <c r="O20" s="3246"/>
      <c r="P20" s="3245"/>
      <c r="Q20" s="3154"/>
      <c r="R20" s="3154"/>
      <c r="S20" s="3154"/>
      <c r="T20" s="3154"/>
      <c r="U20" s="3154"/>
      <c r="V20" s="3154"/>
      <c r="W20" s="2693"/>
      <c r="X20" s="2693"/>
      <c r="Y20" s="2693"/>
      <c r="Z20" s="2693"/>
      <c r="AA20" s="2693"/>
      <c r="AB20" s="2693"/>
    </row>
    <row r="21" ht="24.75" spans="1:28">
      <c r="A21" s="3182"/>
      <c r="B21" s="3188" t="s">
        <v>382</v>
      </c>
      <c r="C21" s="3189" t="s">
        <v>383</v>
      </c>
      <c r="D21" s="3190" t="s">
        <v>384</v>
      </c>
      <c r="E21" s="3191" t="s">
        <v>383</v>
      </c>
      <c r="F21" s="3192"/>
      <c r="G21" s="2796"/>
      <c r="H21" s="2796"/>
      <c r="I21" s="2796"/>
      <c r="J21" s="2635"/>
      <c r="K21" s="3027"/>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5"/>
      <c r="O21" s="3246"/>
      <c r="P21" s="3245"/>
      <c r="Q21" s="3154"/>
      <c r="R21" s="3154"/>
      <c r="S21" s="3154"/>
      <c r="T21" s="3154"/>
      <c r="U21" s="3154"/>
      <c r="V21" s="3154"/>
      <c r="W21" s="2693"/>
      <c r="X21" s="2693"/>
      <c r="Y21" s="2693"/>
      <c r="Z21" s="2693"/>
      <c r="AA21" s="2693"/>
      <c r="AB21" s="2693"/>
    </row>
    <row r="22" ht="24.75" spans="1:28">
      <c r="A22" s="3182"/>
      <c r="B22" s="3193" t="s">
        <v>385</v>
      </c>
      <c r="C22" s="3189" t="s">
        <v>386</v>
      </c>
      <c r="D22" s="3116"/>
      <c r="E22" s="3116"/>
      <c r="F22" s="3116"/>
      <c r="G22" s="2796"/>
      <c r="H22" s="2796"/>
      <c r="I22" s="2796"/>
      <c r="J22" s="2635"/>
      <c r="K22" s="3027"/>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5"/>
      <c r="O22" s="3246"/>
      <c r="P22" s="3245"/>
      <c r="Q22" s="3154"/>
      <c r="R22" s="3154"/>
      <c r="S22" s="3154"/>
      <c r="T22" s="3154"/>
      <c r="U22" s="3154"/>
      <c r="V22" s="3154"/>
      <c r="W22" s="2693"/>
      <c r="X22" s="2693"/>
      <c r="Y22" s="2693"/>
      <c r="Z22" s="2693"/>
      <c r="AA22" s="2693"/>
      <c r="AB22" s="2693"/>
    </row>
    <row r="23" spans="1:22">
      <c r="A23" s="3194" t="s">
        <v>387</v>
      </c>
      <c r="B23" s="2626" t="s">
        <v>388</v>
      </c>
      <c r="C23" s="3195"/>
      <c r="D23" s="3196" t="s">
        <v>388</v>
      </c>
      <c r="E23" s="3197"/>
      <c r="F23" s="3116"/>
      <c r="G23" s="2796"/>
      <c r="H23" s="2796"/>
      <c r="I23" s="2796"/>
      <c r="J23" s="2635"/>
      <c r="K23" s="3247"/>
      <c r="L23" s="1730"/>
      <c r="M23" s="3233"/>
      <c r="N23" s="2636"/>
      <c r="O23" s="3240"/>
      <c r="P23" s="2636"/>
      <c r="Q23" s="2635"/>
      <c r="R23" s="2635"/>
      <c r="S23" s="2635"/>
      <c r="T23" s="2635"/>
      <c r="U23" s="2635"/>
      <c r="V23" s="2635"/>
    </row>
    <row r="24" spans="1:22">
      <c r="A24" s="3194"/>
      <c r="B24" s="2626" t="s">
        <v>389</v>
      </c>
      <c r="C24" s="3198"/>
      <c r="D24" s="3194" t="s">
        <v>389</v>
      </c>
      <c r="E24" s="3199"/>
      <c r="F24" s="3116"/>
      <c r="G24" s="2796"/>
      <c r="H24" s="2796"/>
      <c r="I24" s="2796"/>
      <c r="J24" s="2635"/>
      <c r="K24" s="3247"/>
      <c r="L24" s="1730"/>
      <c r="M24" s="3233"/>
      <c r="N24" s="2636"/>
      <c r="O24" s="3240"/>
      <c r="P24" s="2636"/>
      <c r="Q24" s="2635"/>
      <c r="R24" s="2635"/>
      <c r="S24" s="2635"/>
      <c r="T24" s="2635"/>
      <c r="U24" s="2635"/>
      <c r="V24" s="2635"/>
    </row>
    <row r="25" spans="1:22">
      <c r="A25" s="3194"/>
      <c r="B25" s="2626" t="s">
        <v>390</v>
      </c>
      <c r="C25" s="3198"/>
      <c r="D25" s="3194" t="s">
        <v>390</v>
      </c>
      <c r="E25" s="3199"/>
      <c r="F25" s="3116"/>
      <c r="G25" s="2796"/>
      <c r="H25" s="2796"/>
      <c r="I25" s="2796"/>
      <c r="J25" s="2635"/>
      <c r="K25" s="3235"/>
      <c r="L25" s="3233"/>
      <c r="M25" s="3233"/>
      <c r="N25" s="2636"/>
      <c r="O25" s="3240"/>
      <c r="P25" s="2636"/>
      <c r="Q25" s="2635"/>
      <c r="R25" s="2635"/>
      <c r="S25" s="2635"/>
      <c r="T25" s="2635"/>
      <c r="U25" s="2635"/>
      <c r="V25" s="2635"/>
    </row>
    <row r="26" ht="13.5" spans="1:22">
      <c r="A26" s="3200"/>
      <c r="B26" s="3201" t="s">
        <v>391</v>
      </c>
      <c r="C26" s="3202"/>
      <c r="D26" s="3200" t="s">
        <v>391</v>
      </c>
      <c r="E26" s="3203"/>
      <c r="F26" s="3142"/>
      <c r="G26" s="3142"/>
      <c r="H26" s="3142"/>
      <c r="I26" s="3142"/>
      <c r="J26" s="2635"/>
      <c r="K26" s="3235"/>
      <c r="L26" s="3233"/>
      <c r="M26" s="3233"/>
      <c r="N26" s="2636"/>
      <c r="O26" s="3240"/>
      <c r="P26" s="2636"/>
      <c r="Q26" s="2635"/>
      <c r="R26" s="2635"/>
      <c r="S26" s="2635"/>
      <c r="T26" s="2635"/>
      <c r="U26" s="2635"/>
      <c r="V26" s="2635"/>
    </row>
    <row r="27" ht="13.5" spans="1:22">
      <c r="A27" s="1591" t="s">
        <v>392</v>
      </c>
      <c r="B27" s="1599" t="s">
        <v>393</v>
      </c>
      <c r="C27" s="3204"/>
      <c r="D27" s="3205"/>
      <c r="E27" s="2796"/>
      <c r="F27" s="2796"/>
      <c r="G27" s="2796"/>
      <c r="H27" s="2796"/>
      <c r="I27" s="2796"/>
      <c r="J27" s="2635"/>
      <c r="K27" s="3239"/>
      <c r="L27" s="3240"/>
      <c r="M27" s="3240"/>
      <c r="N27" s="2636"/>
      <c r="O27" s="3240"/>
      <c r="P27" s="2636"/>
      <c r="Q27" s="2635"/>
      <c r="R27" s="2635"/>
      <c r="S27" s="2635"/>
      <c r="T27" s="2635"/>
      <c r="U27" s="2635"/>
      <c r="V27" s="2635"/>
    </row>
    <row r="28" spans="1:22">
      <c r="A28" s="1591"/>
      <c r="B28" s="1561" t="s">
        <v>394</v>
      </c>
      <c r="C28" s="3206"/>
      <c r="D28" s="3207"/>
      <c r="E28" s="2796"/>
      <c r="F28" s="2796"/>
      <c r="G28" s="2796"/>
      <c r="H28" s="2796"/>
      <c r="I28" s="2796"/>
      <c r="J28" s="2635"/>
      <c r="K28" s="3235"/>
      <c r="L28" s="3233"/>
      <c r="M28" s="3233"/>
      <c r="N28" s="2635"/>
      <c r="O28" s="3234"/>
      <c r="P28" s="2635"/>
      <c r="Q28" s="2635"/>
      <c r="R28" s="2635"/>
      <c r="S28" s="2635"/>
      <c r="T28" s="2635"/>
      <c r="U28" s="2635"/>
      <c r="V28" s="2635"/>
    </row>
    <row r="29" spans="1:22">
      <c r="A29" s="1591"/>
      <c r="B29" s="1561" t="s">
        <v>395</v>
      </c>
      <c r="C29" s="3208"/>
      <c r="D29" s="3209"/>
      <c r="E29" s="2796"/>
      <c r="F29" s="2796"/>
      <c r="G29" s="2796"/>
      <c r="H29" s="2796"/>
      <c r="I29" s="2796"/>
      <c r="J29" s="2635"/>
      <c r="K29" s="3235"/>
      <c r="L29" s="3233"/>
      <c r="M29" s="3233"/>
      <c r="N29" s="2635"/>
      <c r="O29" s="3234"/>
      <c r="P29" s="2635"/>
      <c r="Q29" s="2635"/>
      <c r="R29" s="2635"/>
      <c r="S29" s="2635"/>
      <c r="T29" s="2635"/>
      <c r="U29" s="2635"/>
      <c r="V29" s="2635"/>
    </row>
    <row r="30" spans="1:22">
      <c r="A30" s="1599"/>
      <c r="B30" s="1561" t="s">
        <v>396</v>
      </c>
      <c r="C30" s="3210"/>
      <c r="D30" s="3211"/>
      <c r="E30" s="2796"/>
      <c r="F30" s="2796"/>
      <c r="G30" s="2796"/>
      <c r="H30" s="2796"/>
      <c r="I30" s="2796"/>
      <c r="J30" s="2635"/>
      <c r="K30" s="3235"/>
      <c r="L30" s="3233"/>
      <c r="M30" s="3233"/>
      <c r="N30" s="2635"/>
      <c r="O30" s="3234"/>
      <c r="P30" s="2635"/>
      <c r="Q30" s="2635"/>
      <c r="R30" s="2635"/>
      <c r="S30" s="2635"/>
      <c r="T30" s="2635"/>
      <c r="U30" s="2635"/>
      <c r="V30" s="2635"/>
    </row>
    <row r="31" spans="1:22">
      <c r="A31" s="3212" t="s">
        <v>397</v>
      </c>
      <c r="B31" s="3213"/>
      <c r="C31" s="1721" t="str">
        <f>IF(B31="现房","成新及维护状况正常否",IF(B31="在建","工程状态是否正常",IF(B31="土地","是否闲置","-")))</f>
        <v>-</v>
      </c>
      <c r="D31" s="1936"/>
      <c r="E31" s="3214"/>
      <c r="F31" s="2796"/>
      <c r="G31" s="2796"/>
      <c r="H31" s="2796"/>
      <c r="I31" s="2796"/>
      <c r="J31" s="2635"/>
      <c r="K31" s="3232"/>
      <c r="L31" s="3233"/>
      <c r="M31" s="3233"/>
      <c r="N31" s="2635"/>
      <c r="O31" s="3234"/>
      <c r="P31" s="2635"/>
      <c r="Q31" s="2635"/>
      <c r="R31" s="2635"/>
      <c r="S31" s="2635"/>
      <c r="T31" s="2635"/>
      <c r="U31" s="2635"/>
      <c r="V31" s="2635"/>
    </row>
    <row r="32" spans="1:22">
      <c r="A32" s="2274"/>
      <c r="B32" s="3213"/>
      <c r="C32" s="1721" t="str">
        <f>IF(B32="现房","成新及维护状况是否正常",IF(B32="在建","工程状态是否正常",IF(B32="土地","是否闲置","-")))</f>
        <v>-</v>
      </c>
      <c r="D32" s="1936"/>
      <c r="E32" s="3214"/>
      <c r="F32" s="2796"/>
      <c r="G32" s="2796"/>
      <c r="H32" s="2796"/>
      <c r="I32" s="2796"/>
      <c r="J32" s="2635"/>
      <c r="K32" s="3235"/>
      <c r="L32" s="3233"/>
      <c r="M32" s="3233"/>
      <c r="N32" s="2635"/>
      <c r="O32" s="3234"/>
      <c r="P32" s="2635"/>
      <c r="Q32" s="2635"/>
      <c r="R32" s="2635"/>
      <c r="S32" s="2635"/>
      <c r="T32" s="2635"/>
      <c r="U32" s="2635"/>
      <c r="V32" s="2635"/>
    </row>
    <row r="33" spans="1:22">
      <c r="A33" s="2274"/>
      <c r="B33" s="3215"/>
      <c r="C33" s="2273" t="str">
        <f>IF(B33="现房","成新及维护状况是否正常",IF(B33="在建","工程状态是否正常",IF(B33="土地","是否闲置","-")))</f>
        <v>-</v>
      </c>
      <c r="D33" s="1572"/>
      <c r="E33" s="3216"/>
      <c r="F33" s="2796"/>
      <c r="G33" s="2796"/>
      <c r="H33" s="2796"/>
      <c r="I33" s="2796"/>
      <c r="J33" s="2635"/>
      <c r="K33" s="3235"/>
      <c r="L33" s="3233"/>
      <c r="M33" s="3233"/>
      <c r="N33" s="2635"/>
      <c r="O33" s="3234"/>
      <c r="P33" s="2635"/>
      <c r="Q33" s="2635"/>
      <c r="R33" s="2635"/>
      <c r="S33" s="2635"/>
      <c r="T33" s="2635"/>
      <c r="U33" s="2635"/>
      <c r="V33" s="2635"/>
    </row>
    <row r="34" spans="1:22">
      <c r="A34" s="1561" t="s">
        <v>398</v>
      </c>
      <c r="B34" s="483"/>
      <c r="C34" s="483"/>
      <c r="D34" s="483"/>
      <c r="E34" s="483"/>
      <c r="F34" s="483"/>
      <c r="G34" s="483"/>
      <c r="H34" s="483"/>
      <c r="I34" s="2796"/>
      <c r="J34" s="2635"/>
      <c r="K34" s="2036">
        <f>COUNTIF(B34:H34,"——")</f>
        <v>0</v>
      </c>
      <c r="L34" s="1607" t="s">
        <v>399</v>
      </c>
      <c r="M34" s="1607" t="s">
        <v>400</v>
      </c>
      <c r="N34" s="1607" t="s">
        <v>401</v>
      </c>
      <c r="O34" s="1607" t="s">
        <v>402</v>
      </c>
      <c r="P34" s="1607" t="s">
        <v>403</v>
      </c>
      <c r="Q34" s="1607" t="s">
        <v>404</v>
      </c>
      <c r="R34" s="1607" t="s">
        <v>405</v>
      </c>
      <c r="S34" s="2036" t="s">
        <v>406</v>
      </c>
      <c r="T34" s="3257" t="str">
        <f>NUMBERSTRING(7-K34,1)&amp;"通"</f>
        <v>七通</v>
      </c>
      <c r="U34" s="2635"/>
      <c r="V34" s="2635"/>
    </row>
    <row r="35" spans="1:22">
      <c r="A35" s="3217"/>
      <c r="B35" s="2096" t="s">
        <v>407</v>
      </c>
      <c r="C35" s="2096"/>
      <c r="D35" s="2096"/>
      <c r="E35" s="2096"/>
      <c r="F35" s="2096">
        <f>C10</f>
        <v>0</v>
      </c>
      <c r="G35" s="2796"/>
      <c r="H35" s="2796"/>
      <c r="I35" s="2796"/>
      <c r="J35" s="2635"/>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5"/>
      <c r="V35" s="2635"/>
    </row>
    <row r="36" spans="1:22">
      <c r="A36" s="3218"/>
      <c r="B36" s="2096" t="s">
        <v>357</v>
      </c>
      <c r="C36" s="2096" t="s">
        <v>358</v>
      </c>
      <c r="D36" s="2096" t="s">
        <v>356</v>
      </c>
      <c r="E36" s="2096" t="s">
        <v>361</v>
      </c>
      <c r="F36" s="3219"/>
      <c r="G36" s="2796"/>
      <c r="H36" s="2796"/>
      <c r="I36" s="2796"/>
      <c r="J36" s="2635"/>
      <c r="K36" s="3235"/>
      <c r="L36" s="3233"/>
      <c r="M36" s="3233"/>
      <c r="N36" s="2635"/>
      <c r="O36" s="3234"/>
      <c r="P36" s="2635"/>
      <c r="Q36" s="2635"/>
      <c r="R36" s="2635"/>
      <c r="S36" s="2635"/>
      <c r="T36" s="2635"/>
      <c r="U36" s="2635"/>
      <c r="V36" s="2635"/>
    </row>
    <row r="37" spans="1:22">
      <c r="A37" s="3220" t="s">
        <v>408</v>
      </c>
      <c r="B37" s="3221" t="s">
        <v>253</v>
      </c>
      <c r="C37" s="3221" t="s">
        <v>253</v>
      </c>
      <c r="D37" s="3221"/>
      <c r="E37" s="3221"/>
      <c r="F37" s="3219"/>
      <c r="G37" s="2796"/>
      <c r="H37" s="2796"/>
      <c r="I37" s="2796"/>
      <c r="J37" s="2635"/>
      <c r="K37" s="3235"/>
      <c r="L37" s="3233"/>
      <c r="M37" s="3233"/>
      <c r="N37" s="2635"/>
      <c r="O37" s="3234"/>
      <c r="P37" s="2635"/>
      <c r="Q37" s="2635"/>
      <c r="R37" s="2635"/>
      <c r="S37" s="2635"/>
      <c r="T37" s="2635"/>
      <c r="U37" s="2635"/>
      <c r="V37" s="2635"/>
    </row>
    <row r="38" ht="13.5" spans="1:22">
      <c r="A38" s="3222" t="s">
        <v>409</v>
      </c>
      <c r="B38" s="3223" t="s">
        <v>410</v>
      </c>
      <c r="C38" s="3223" t="s">
        <v>411</v>
      </c>
      <c r="D38" s="3223"/>
      <c r="E38" s="3223"/>
      <c r="F38" s="3224"/>
      <c r="G38" s="3142"/>
      <c r="H38" s="3142"/>
      <c r="I38" s="3142"/>
      <c r="J38" s="2635"/>
      <c r="K38" s="3235"/>
      <c r="L38" s="3233"/>
      <c r="M38" s="3233"/>
      <c r="N38" s="2635"/>
      <c r="O38" s="3234"/>
      <c r="P38" s="2635"/>
      <c r="Q38" s="2635"/>
      <c r="R38" s="2635"/>
      <c r="S38" s="2635"/>
      <c r="T38" s="2635"/>
      <c r="U38" s="2635"/>
      <c r="V38" s="2635"/>
    </row>
    <row r="39" s="3105" customFormat="1" ht="14.25" spans="1:30">
      <c r="A39" s="3225" t="s">
        <v>412</v>
      </c>
      <c r="B39" s="3226"/>
      <c r="C39" s="3226"/>
      <c r="D39" s="3226"/>
      <c r="E39" s="3226"/>
      <c r="F39" s="3226"/>
      <c r="G39" s="3226"/>
      <c r="H39" s="3226"/>
      <c r="I39" s="3226"/>
      <c r="J39" s="3248"/>
      <c r="K39" s="3249"/>
      <c r="L39" s="3248"/>
      <c r="M39" s="3248"/>
      <c r="N39" s="3248"/>
      <c r="O39" s="3250"/>
      <c r="P39" s="3248"/>
      <c r="Q39" s="3248"/>
      <c r="R39" s="3248"/>
      <c r="S39" s="3248"/>
      <c r="T39" s="3248"/>
      <c r="U39" s="3248"/>
      <c r="V39" s="3248"/>
      <c r="W39" s="3258"/>
      <c r="X39" s="3258"/>
      <c r="Y39" s="3258"/>
      <c r="Z39" s="3258"/>
      <c r="AA39" s="3258"/>
      <c r="AB39" s="3258"/>
      <c r="AC39" s="3258"/>
      <c r="AD39" s="3258"/>
    </row>
    <row r="40" spans="1:22">
      <c r="A40" s="3154"/>
      <c r="B40" s="3154"/>
      <c r="C40" s="3154"/>
      <c r="D40" s="3154"/>
      <c r="E40" s="3154"/>
      <c r="F40" s="3154"/>
      <c r="G40" s="3154"/>
      <c r="H40" s="3154"/>
      <c r="I40" s="2299"/>
      <c r="J40" s="2636"/>
      <c r="K40" s="3232"/>
      <c r="L40" s="3240"/>
      <c r="M40" s="3240"/>
      <c r="N40" s="2636"/>
      <c r="O40" s="3240"/>
      <c r="P40" s="2635"/>
      <c r="Q40" s="2635"/>
      <c r="R40" s="2635"/>
      <c r="S40" s="2635"/>
      <c r="T40" s="2635"/>
      <c r="U40" s="2635"/>
      <c r="V40" s="2635"/>
    </row>
    <row r="41" spans="1:22">
      <c r="A41" s="3227" t="s">
        <v>413</v>
      </c>
      <c r="B41" s="2164"/>
      <c r="C41" s="1936"/>
      <c r="D41" s="3154"/>
      <c r="E41" s="3154"/>
      <c r="F41" s="3154"/>
      <c r="G41" s="3154"/>
      <c r="H41" s="3154"/>
      <c r="I41" s="3016"/>
      <c r="J41" s="2635"/>
      <c r="K41" s="3235"/>
      <c r="L41" s="3233"/>
      <c r="M41" s="3233"/>
      <c r="N41" s="2635"/>
      <c r="O41" s="3234"/>
      <c r="P41" s="2635"/>
      <c r="Q41" s="2635"/>
      <c r="R41" s="2635"/>
      <c r="S41" s="2635"/>
      <c r="T41" s="2635"/>
      <c r="U41" s="2635"/>
      <c r="V41" s="2635"/>
    </row>
    <row r="42" ht="24.75" spans="1:22">
      <c r="A42" s="1607" t="s">
        <v>414</v>
      </c>
      <c r="B42" s="2036" t="s">
        <v>415</v>
      </c>
      <c r="C42" s="2036" t="s">
        <v>416</v>
      </c>
      <c r="D42" s="2036" t="s">
        <v>417</v>
      </c>
      <c r="E42" s="2036" t="s">
        <v>418</v>
      </c>
      <c r="F42" s="2036" t="s">
        <v>419</v>
      </c>
      <c r="G42" s="2036" t="s">
        <v>420</v>
      </c>
      <c r="H42" s="2036" t="s">
        <v>421</v>
      </c>
      <c r="I42" s="2036" t="s">
        <v>422</v>
      </c>
      <c r="J42" s="3251" t="s">
        <v>423</v>
      </c>
      <c r="K42" s="3252" t="s">
        <v>424</v>
      </c>
      <c r="L42" s="3252" t="s">
        <v>425</v>
      </c>
      <c r="M42" s="3252" t="s">
        <v>426</v>
      </c>
      <c r="N42" s="3253" t="s">
        <v>427</v>
      </c>
      <c r="O42" s="3253" t="s">
        <v>428</v>
      </c>
      <c r="P42" s="3253" t="s">
        <v>429</v>
      </c>
      <c r="Q42" s="3259" t="s">
        <v>430</v>
      </c>
      <c r="R42" s="3259" t="s">
        <v>431</v>
      </c>
      <c r="S42" s="2635"/>
      <c r="T42" s="2635"/>
      <c r="U42" s="2635"/>
      <c r="V42" s="2635"/>
    </row>
    <row r="43" s="2886" customFormat="1" spans="1:22">
      <c r="A43" s="3042"/>
      <c r="B43" s="3037"/>
      <c r="C43" s="3037"/>
      <c r="D43" s="3037"/>
      <c r="E43" s="3037"/>
      <c r="F43" s="3037"/>
      <c r="G43" s="3037"/>
      <c r="H43" s="3037"/>
      <c r="I43" s="3037"/>
      <c r="J43" s="3254"/>
      <c r="K43" s="3255"/>
      <c r="L43" s="3255"/>
      <c r="M43" s="3037"/>
      <c r="N43" s="3037"/>
      <c r="O43" s="3037"/>
      <c r="P43" s="3037"/>
      <c r="Q43" s="3037"/>
      <c r="R43" s="3037"/>
      <c r="S43" s="2635"/>
      <c r="T43" s="2635"/>
      <c r="U43" s="2635"/>
      <c r="V43" s="2635"/>
    </row>
    <row r="44" s="2886" customFormat="1" spans="1:22">
      <c r="A44" s="3042"/>
      <c r="B44" s="3042"/>
      <c r="C44" s="3037"/>
      <c r="D44" s="3037"/>
      <c r="E44" s="3037"/>
      <c r="F44" s="3037"/>
      <c r="G44" s="3037"/>
      <c r="H44" s="3037"/>
      <c r="I44" s="3037"/>
      <c r="J44" s="3254"/>
      <c r="K44" s="3255"/>
      <c r="L44" s="3255"/>
      <c r="M44" s="3037"/>
      <c r="N44" s="3037"/>
      <c r="O44" s="3037"/>
      <c r="P44" s="3037"/>
      <c r="Q44" s="3037"/>
      <c r="R44" s="3037"/>
      <c r="S44" s="2635"/>
      <c r="T44" s="2635"/>
      <c r="U44" s="2635"/>
      <c r="V44" s="2635"/>
    </row>
    <row r="45" s="2886" customFormat="1" spans="1:22">
      <c r="A45" s="3042"/>
      <c r="B45" s="3042"/>
      <c r="C45" s="3037"/>
      <c r="D45" s="3037"/>
      <c r="E45" s="3037"/>
      <c r="F45" s="3037"/>
      <c r="G45" s="3037"/>
      <c r="H45" s="3037"/>
      <c r="I45" s="3037"/>
      <c r="J45" s="3254"/>
      <c r="K45" s="3255"/>
      <c r="L45" s="3255"/>
      <c r="M45" s="3037"/>
      <c r="N45" s="3037"/>
      <c r="O45" s="3037"/>
      <c r="P45" s="3037"/>
      <c r="Q45" s="3037"/>
      <c r="R45" s="3037"/>
      <c r="S45" s="2635"/>
      <c r="T45" s="2635"/>
      <c r="U45" s="2635"/>
      <c r="V45" s="2635"/>
    </row>
    <row r="46" s="2886" customFormat="1" spans="1:22">
      <c r="A46" s="3042"/>
      <c r="B46" s="3042"/>
      <c r="C46" s="3037"/>
      <c r="D46" s="3037"/>
      <c r="E46" s="3037"/>
      <c r="F46" s="3037"/>
      <c r="G46" s="3037"/>
      <c r="H46" s="3037"/>
      <c r="I46" s="3037"/>
      <c r="J46" s="3254"/>
      <c r="K46" s="3255"/>
      <c r="L46" s="3255"/>
      <c r="M46" s="3037"/>
      <c r="N46" s="3037"/>
      <c r="O46" s="3037"/>
      <c r="P46" s="3037"/>
      <c r="Q46" s="3037"/>
      <c r="R46" s="3037"/>
      <c r="S46" s="2635"/>
      <c r="T46" s="2635"/>
      <c r="U46" s="2635"/>
      <c r="V46" s="2635"/>
    </row>
    <row r="47" s="2886" customFormat="1" spans="1:22">
      <c r="A47" s="3042"/>
      <c r="B47" s="3042"/>
      <c r="C47" s="3037"/>
      <c r="D47" s="3037"/>
      <c r="E47" s="3037"/>
      <c r="F47" s="3037"/>
      <c r="G47" s="3037"/>
      <c r="H47" s="3037"/>
      <c r="I47" s="3037"/>
      <c r="J47" s="3254"/>
      <c r="K47" s="3255"/>
      <c r="L47" s="3255"/>
      <c r="M47" s="3037"/>
      <c r="N47" s="3037"/>
      <c r="O47" s="3037"/>
      <c r="P47" s="3037"/>
      <c r="Q47" s="3037"/>
      <c r="R47" s="3037"/>
      <c r="S47" s="2635"/>
      <c r="T47" s="2635"/>
      <c r="U47" s="2635"/>
      <c r="V47" s="2635"/>
    </row>
    <row r="48" s="2886" customFormat="1" spans="1:22">
      <c r="A48" s="3042"/>
      <c r="B48" s="3042"/>
      <c r="C48" s="3037"/>
      <c r="D48" s="3037"/>
      <c r="E48" s="3037"/>
      <c r="F48" s="3037"/>
      <c r="G48" s="3037"/>
      <c r="H48" s="3037"/>
      <c r="I48" s="3037"/>
      <c r="J48" s="3254"/>
      <c r="K48" s="3255"/>
      <c r="L48" s="3255"/>
      <c r="M48" s="3037"/>
      <c r="N48" s="3037"/>
      <c r="O48" s="3037"/>
      <c r="P48" s="3037"/>
      <c r="Q48" s="3037"/>
      <c r="R48" s="3037"/>
      <c r="S48" s="2635"/>
      <c r="T48" s="2635"/>
      <c r="U48" s="2635"/>
      <c r="V48" s="2635"/>
    </row>
    <row r="49" s="2886" customFormat="1" spans="1:22">
      <c r="A49" s="3042"/>
      <c r="B49" s="3042"/>
      <c r="C49" s="3037"/>
      <c r="D49" s="3037"/>
      <c r="E49" s="3037"/>
      <c r="F49" s="3037"/>
      <c r="G49" s="3037"/>
      <c r="H49" s="3037"/>
      <c r="I49" s="3037"/>
      <c r="J49" s="3254"/>
      <c r="K49" s="3255"/>
      <c r="L49" s="3255"/>
      <c r="M49" s="3037"/>
      <c r="N49" s="3037"/>
      <c r="O49" s="3037"/>
      <c r="P49" s="3037"/>
      <c r="Q49" s="3037"/>
      <c r="R49" s="3037"/>
      <c r="S49" s="2635"/>
      <c r="T49" s="2635"/>
      <c r="U49" s="2635"/>
      <c r="V49" s="2635"/>
    </row>
    <row r="50" s="2886" customFormat="1" spans="1:22">
      <c r="A50" s="3042"/>
      <c r="B50" s="3042"/>
      <c r="C50" s="3037"/>
      <c r="D50" s="3037"/>
      <c r="E50" s="3037"/>
      <c r="F50" s="3037"/>
      <c r="G50" s="3037"/>
      <c r="H50" s="3037"/>
      <c r="I50" s="3037"/>
      <c r="J50" s="3254"/>
      <c r="K50" s="3255"/>
      <c r="L50" s="3255"/>
      <c r="M50" s="3037"/>
      <c r="N50" s="3037"/>
      <c r="O50" s="3037"/>
      <c r="P50" s="3037"/>
      <c r="Q50" s="3037"/>
      <c r="R50" s="3037"/>
      <c r="S50" s="2635"/>
      <c r="T50" s="2635"/>
      <c r="U50" s="2635"/>
      <c r="V50" s="2635"/>
    </row>
    <row r="51" s="2886" customFormat="1" spans="1:18">
      <c r="A51" s="3042"/>
      <c r="B51" s="3042"/>
      <c r="C51" s="3037"/>
      <c r="D51" s="3037"/>
      <c r="E51" s="3037"/>
      <c r="F51" s="3037"/>
      <c r="G51" s="3037"/>
      <c r="H51" s="3037"/>
      <c r="I51" s="3037"/>
      <c r="J51" s="3254"/>
      <c r="K51" s="3255"/>
      <c r="L51" s="3255"/>
      <c r="M51" s="3037"/>
      <c r="N51" s="3037"/>
      <c r="O51" s="3037"/>
      <c r="P51" s="3037"/>
      <c r="Q51" s="3037"/>
      <c r="R51" s="3037"/>
    </row>
    <row r="52" s="2886" customFormat="1" spans="1:18">
      <c r="A52" s="3042"/>
      <c r="B52" s="3042"/>
      <c r="C52" s="3042"/>
      <c r="D52" s="3042"/>
      <c r="E52" s="3042"/>
      <c r="F52" s="3037"/>
      <c r="G52" s="3042"/>
      <c r="H52" s="3042"/>
      <c r="I52" s="3042"/>
      <c r="J52" s="3256"/>
      <c r="K52" s="3255"/>
      <c r="L52" s="3255"/>
      <c r="M52" s="3255"/>
      <c r="N52" s="3042"/>
      <c r="O52" s="3042"/>
      <c r="P52" s="3042"/>
      <c r="Q52" s="3042"/>
      <c r="R52" s="3042"/>
    </row>
    <row r="53" s="2886" customFormat="1" spans="1:18">
      <c r="A53" s="3042"/>
      <c r="B53" s="3042"/>
      <c r="C53" s="3042"/>
      <c r="D53" s="3042"/>
      <c r="E53" s="3042"/>
      <c r="F53" s="3037"/>
      <c r="G53" s="3042"/>
      <c r="H53" s="3042"/>
      <c r="I53" s="3042"/>
      <c r="J53" s="3256"/>
      <c r="K53" s="3255"/>
      <c r="L53" s="3255"/>
      <c r="M53" s="3255"/>
      <c r="N53" s="3042"/>
      <c r="O53" s="3042"/>
      <c r="P53" s="3042"/>
      <c r="Q53" s="3042"/>
      <c r="R53" s="3042"/>
    </row>
    <row r="54" s="2886" customFormat="1" spans="1:18">
      <c r="A54" s="3042"/>
      <c r="B54" s="3042"/>
      <c r="C54" s="3042"/>
      <c r="D54" s="3042"/>
      <c r="E54" s="3042"/>
      <c r="F54" s="3037"/>
      <c r="G54" s="3042"/>
      <c r="H54" s="3042"/>
      <c r="I54" s="3042"/>
      <c r="J54" s="3256"/>
      <c r="K54" s="3255"/>
      <c r="L54" s="3255"/>
      <c r="M54" s="3255"/>
      <c r="N54" s="3042"/>
      <c r="O54" s="3042"/>
      <c r="P54" s="3042"/>
      <c r="Q54" s="3042"/>
      <c r="R54" s="3042"/>
    </row>
    <row r="55" s="2886" customFormat="1" spans="1:18">
      <c r="A55" s="3042"/>
      <c r="B55" s="3042"/>
      <c r="C55" s="3042"/>
      <c r="D55" s="3042"/>
      <c r="E55" s="3042"/>
      <c r="F55" s="3037"/>
      <c r="G55" s="3042"/>
      <c r="H55" s="3042"/>
      <c r="I55" s="3042"/>
      <c r="J55" s="3256"/>
      <c r="K55" s="3255"/>
      <c r="L55" s="3255"/>
      <c r="M55" s="3255"/>
      <c r="N55" s="3042"/>
      <c r="O55" s="3042"/>
      <c r="P55" s="3042"/>
      <c r="Q55" s="3042"/>
      <c r="R55" s="3042"/>
    </row>
    <row r="56" s="2886" customFormat="1" spans="1:18">
      <c r="A56" s="3042"/>
      <c r="B56" s="3042"/>
      <c r="C56" s="3042"/>
      <c r="D56" s="3042"/>
      <c r="E56" s="3042"/>
      <c r="F56" s="3037"/>
      <c r="G56" s="3042"/>
      <c r="H56" s="3042"/>
      <c r="I56" s="3042"/>
      <c r="J56" s="3256"/>
      <c r="K56" s="3255"/>
      <c r="L56" s="3255"/>
      <c r="M56" s="3255"/>
      <c r="N56" s="3042"/>
      <c r="O56" s="3042"/>
      <c r="P56" s="3042"/>
      <c r="Q56" s="3042"/>
      <c r="R56" s="30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38" sqref="K38"/>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6" width="10" style="3011" customWidth="1"/>
    <col min="7" max="8" width="10" style="3013" customWidth="1"/>
    <col min="9" max="9" width="10.625" style="3013" customWidth="1"/>
    <col min="10" max="10" width="9.5" style="3013" hidden="1" customWidth="1"/>
    <col min="11" max="11" width="11" style="3013" customWidth="1"/>
    <col min="12" max="12" width="9.5" style="3013" hidden="1" customWidth="1"/>
    <col min="13" max="13" width="9.5" style="3013" customWidth="1"/>
    <col min="14" max="14" width="9.5" style="3013" hidden="1" customWidth="1"/>
    <col min="15" max="15" width="9.875" style="3013" customWidth="1"/>
    <col min="16" max="16" width="9.75" style="3013" hidden="1"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ht="20.25" spans="1:72">
      <c r="A1" s="3014" t="s">
        <v>432</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8" t="s">
        <v>433</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3008" customFormat="1" ht="24" spans="1:72">
      <c r="A2" s="2036" t="s">
        <v>372</v>
      </c>
      <c r="B2" s="2036" t="s">
        <v>368</v>
      </c>
      <c r="C2" s="2036" t="s">
        <v>434</v>
      </c>
      <c r="D2" s="3016"/>
      <c r="E2" s="2247"/>
      <c r="F2" s="2299"/>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78" t="s">
        <v>435</v>
      </c>
      <c r="AZ2" s="3079" t="s">
        <v>436</v>
      </c>
      <c r="BA2" s="2036" t="s">
        <v>437</v>
      </c>
      <c r="BB2" s="3016"/>
      <c r="BC2" s="3016"/>
      <c r="BD2" s="3016"/>
      <c r="BE2" s="3016"/>
      <c r="BF2" s="3016"/>
      <c r="BG2" s="3016"/>
      <c r="BH2" s="3016"/>
      <c r="BI2" s="3016"/>
      <c r="BJ2" s="3016"/>
      <c r="BK2" s="3016"/>
      <c r="BL2" s="3016"/>
      <c r="BM2" s="3016"/>
      <c r="BN2" s="3016"/>
      <c r="BO2" s="3016"/>
      <c r="BP2" s="3016"/>
      <c r="BQ2" s="3016"/>
      <c r="BR2" s="3016"/>
      <c r="BS2" s="3016"/>
      <c r="BT2" s="3016"/>
    </row>
    <row r="3" s="3008" customFormat="1" ht="12.75" spans="1:72">
      <c r="A3" s="3017">
        <v>14609.11</v>
      </c>
      <c r="B3" s="3018">
        <f>IF(C3="否",G5-AT5,G5)</f>
        <v>106883.51</v>
      </c>
      <c r="C3" s="3019" t="s">
        <v>438</v>
      </c>
      <c r="D3" s="3016"/>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80"/>
      <c r="AZ3" s="3037"/>
      <c r="BA3" s="3081"/>
      <c r="BB3" s="3016"/>
      <c r="BC3" s="3016"/>
      <c r="BD3" s="3016"/>
      <c r="BE3" s="3016"/>
      <c r="BF3" s="3016"/>
      <c r="BG3" s="3016"/>
      <c r="BH3" s="3016"/>
      <c r="BI3" s="3016"/>
      <c r="BJ3" s="3016"/>
      <c r="BK3" s="3016"/>
      <c r="BL3" s="3016"/>
      <c r="BM3" s="3016"/>
      <c r="BN3" s="3016"/>
      <c r="BO3" s="3016"/>
      <c r="BP3" s="3016"/>
      <c r="BQ3" s="3016"/>
      <c r="BR3" s="3016"/>
      <c r="BS3" s="3016"/>
      <c r="BT3" s="3016"/>
    </row>
    <row r="4" s="3009" customFormat="1" ht="13.5" spans="1:72">
      <c r="A4" s="3020"/>
      <c r="B4" s="3021"/>
      <c r="C4" s="3022"/>
      <c r="D4" s="3016"/>
      <c r="E4" s="3016"/>
      <c r="F4" s="3016"/>
      <c r="G4" s="3016"/>
      <c r="H4" s="3016"/>
      <c r="I4" s="3016"/>
      <c r="J4" s="3016"/>
      <c r="K4" s="3016"/>
      <c r="L4" s="3016"/>
      <c r="M4" s="3016"/>
      <c r="N4" s="3016"/>
      <c r="O4" s="3016"/>
      <c r="P4" s="3016"/>
      <c r="Q4" s="3016"/>
      <c r="R4" s="3016"/>
      <c r="S4" s="3016"/>
      <c r="T4" s="3016"/>
      <c r="U4" s="3016"/>
      <c r="V4" s="3016"/>
      <c r="W4" s="3016"/>
      <c r="X4" s="3016"/>
      <c r="Y4" s="3016"/>
      <c r="Z4" s="3016"/>
      <c r="AA4" s="3016"/>
      <c r="AB4" s="3016"/>
      <c r="AC4" s="3016"/>
      <c r="AD4" s="3016"/>
      <c r="AE4" s="3016"/>
      <c r="AF4" s="3016"/>
      <c r="AG4" s="3016"/>
      <c r="AH4" s="3016"/>
      <c r="AI4" s="3016"/>
      <c r="AJ4" s="3016"/>
      <c r="AK4" s="3016"/>
      <c r="AL4" s="3016"/>
      <c r="AM4" s="3016"/>
      <c r="AN4" s="3016"/>
      <c r="AO4" s="3016"/>
      <c r="AP4" s="3016"/>
      <c r="AQ4" s="3016"/>
      <c r="AR4" s="3016"/>
      <c r="AS4" s="3016"/>
      <c r="AT4" s="3016"/>
      <c r="AU4" s="3016"/>
      <c r="AV4" s="3016"/>
      <c r="AW4" s="3016"/>
      <c r="AX4" s="3016"/>
      <c r="AY4" s="3016"/>
      <c r="AZ4" s="3016"/>
      <c r="BA4" s="3082"/>
      <c r="BB4" s="3016"/>
      <c r="BC4" s="3016"/>
      <c r="BD4" s="3016"/>
      <c r="BE4" s="3016"/>
      <c r="BF4" s="3016"/>
      <c r="BG4" s="3016"/>
      <c r="BH4" s="3016"/>
      <c r="BI4" s="3016"/>
      <c r="BJ4" s="3016"/>
      <c r="BK4" s="3016"/>
      <c r="BL4" s="3016"/>
      <c r="BM4" s="3016"/>
      <c r="BN4" s="3016"/>
      <c r="BO4" s="3016"/>
      <c r="BP4" s="3016"/>
      <c r="BQ4" s="3016"/>
      <c r="BR4" s="3016"/>
      <c r="BS4" s="3016"/>
      <c r="BT4" s="3016"/>
    </row>
    <row r="5" s="3008" customFormat="1" ht="12.75" spans="1:72">
      <c r="A5" s="1721" t="s">
        <v>439</v>
      </c>
      <c r="B5" s="2160"/>
      <c r="C5" s="2160"/>
      <c r="D5" s="2314"/>
      <c r="E5" s="3023" t="s">
        <v>124</v>
      </c>
      <c r="F5" s="3023">
        <f>SUM(F13:F587)</f>
        <v>0</v>
      </c>
      <c r="G5" s="3023">
        <f>SUM(G13:G587)</f>
        <v>106883.51</v>
      </c>
      <c r="H5" s="3023">
        <f t="shared" ref="H5:AT5" si="0">SUM(H13:H656)</f>
        <v>102184.94</v>
      </c>
      <c r="I5" s="3023">
        <f t="shared" si="0"/>
        <v>19940.44</v>
      </c>
      <c r="J5" s="3023">
        <f t="shared" si="0"/>
        <v>0</v>
      </c>
      <c r="K5" s="3023">
        <f t="shared" si="0"/>
        <v>63306.74</v>
      </c>
      <c r="L5" s="3023">
        <f t="shared" si="0"/>
        <v>0</v>
      </c>
      <c r="M5" s="3023">
        <f t="shared" si="0"/>
        <v>11676.87</v>
      </c>
      <c r="N5" s="3023">
        <f t="shared" si="0"/>
        <v>0</v>
      </c>
      <c r="O5" s="3023">
        <f t="shared" si="0"/>
        <v>302.83</v>
      </c>
      <c r="P5" s="3023">
        <f t="shared" si="0"/>
        <v>0</v>
      </c>
      <c r="Q5" s="3023">
        <f t="shared" si="0"/>
        <v>6958.06</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4698.57</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4698.57</v>
      </c>
      <c r="AO5" s="3023">
        <f t="shared" si="0"/>
        <v>0</v>
      </c>
      <c r="AP5" s="3023">
        <f t="shared" si="0"/>
        <v>0</v>
      </c>
      <c r="AQ5" s="3023">
        <f t="shared" si="0"/>
        <v>0</v>
      </c>
      <c r="AR5" s="3023">
        <f t="shared" si="0"/>
        <v>0</v>
      </c>
      <c r="AS5" s="3023">
        <f t="shared" si="0"/>
        <v>0</v>
      </c>
      <c r="AT5" s="3023">
        <f t="shared" si="0"/>
        <v>0</v>
      </c>
      <c r="AU5" s="2159"/>
      <c r="AV5" s="1721" t="s">
        <v>439</v>
      </c>
      <c r="AW5" s="2160"/>
      <c r="AX5" s="2160"/>
      <c r="AY5" s="3083" t="s">
        <v>124</v>
      </c>
      <c r="AZ5" s="3084">
        <f t="shared" ref="AZ5:BT5" si="1">SUM(AZ13:AZ656)</f>
        <v>66448.33</v>
      </c>
      <c r="BA5" s="3084">
        <f t="shared" si="1"/>
        <v>66448.33</v>
      </c>
      <c r="BB5" s="3084">
        <f t="shared" si="1"/>
        <v>3141.59</v>
      </c>
      <c r="BC5" s="3084">
        <f t="shared" si="1"/>
        <v>63306.74</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3010" customFormat="1" ht="12.75" spans="1:72">
      <c r="A6" s="1721" t="s">
        <v>440</v>
      </c>
      <c r="B6" s="3024"/>
      <c r="C6" s="3024"/>
      <c r="D6" s="3025"/>
      <c r="E6" s="3023">
        <f>H6+AC6+AT6</f>
        <v>14609.11</v>
      </c>
      <c r="F6" s="3023" t="s">
        <v>124</v>
      </c>
      <c r="G6" s="3023" t="s">
        <v>124</v>
      </c>
      <c r="H6" s="3026">
        <f>SUMIF(I$12:AB$12,"总值",I6:AB6)</f>
        <v>13966.9</v>
      </c>
      <c r="I6" s="3023">
        <f t="shared" ref="I6:AB6" si="2">ROUND($A$3*I5/$B$3,2)</f>
        <v>2725.51</v>
      </c>
      <c r="J6" s="3023">
        <f t="shared" si="2"/>
        <v>0</v>
      </c>
      <c r="K6" s="3023">
        <f t="shared" si="2"/>
        <v>8652.93</v>
      </c>
      <c r="L6" s="3023">
        <f t="shared" si="2"/>
        <v>0</v>
      </c>
      <c r="M6" s="3023">
        <f t="shared" si="2"/>
        <v>1596.02</v>
      </c>
      <c r="N6" s="3023">
        <f t="shared" si="2"/>
        <v>0</v>
      </c>
      <c r="O6" s="3023">
        <f t="shared" si="2"/>
        <v>41.39</v>
      </c>
      <c r="P6" s="3023">
        <f t="shared" si="2"/>
        <v>0</v>
      </c>
      <c r="Q6" s="3023">
        <f t="shared" si="2"/>
        <v>951.05</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642.21</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642.21</v>
      </c>
      <c r="AO6" s="3023">
        <f t="shared" si="3"/>
        <v>0</v>
      </c>
      <c r="AP6" s="3023">
        <f t="shared" si="3"/>
        <v>0</v>
      </c>
      <c r="AQ6" s="3023">
        <f t="shared" si="3"/>
        <v>0</v>
      </c>
      <c r="AR6" s="3023">
        <f t="shared" si="3"/>
        <v>0</v>
      </c>
      <c r="AS6" s="3023">
        <f t="shared" si="3"/>
        <v>0</v>
      </c>
      <c r="AT6" s="3026">
        <f>IF(C3="是",ROUND($A$3*AT5/$B$3,2),0)</f>
        <v>0</v>
      </c>
      <c r="AU6" s="3069"/>
      <c r="AV6" s="1721" t="s">
        <v>440</v>
      </c>
      <c r="AW6" s="3024"/>
      <c r="AX6" s="3024"/>
      <c r="AY6" s="3085">
        <f>IF(AY3&gt;0,AY3,ROUND($A$3*AZ5/$B$3,2))</f>
        <v>9082.33</v>
      </c>
      <c r="AZ6" s="3023" t="s">
        <v>124</v>
      </c>
      <c r="BA6" s="3023">
        <f>ROUND($AY$6*BA5/$AZ$5,2)</f>
        <v>9082.33</v>
      </c>
      <c r="BB6" s="3023">
        <f>ROUND($AY$6*BB5/$AZ$5,2)</f>
        <v>429.4</v>
      </c>
      <c r="BC6" s="3023">
        <f t="shared" ref="BC6:BH6" si="4">ROUND($AY$6*BC5/$AZ$5,2)</f>
        <v>8652.93</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94">
        <f t="shared" si="5"/>
        <v>0</v>
      </c>
    </row>
    <row r="7" s="3008" customFormat="1" ht="24.75" spans="1:72">
      <c r="A7" s="3027" t="s">
        <v>441</v>
      </c>
      <c r="B7" s="3027" t="s">
        <v>442</v>
      </c>
      <c r="C7" s="3027" t="s">
        <v>415</v>
      </c>
      <c r="D7" s="3027" t="s">
        <v>443</v>
      </c>
      <c r="E7" s="3027" t="s">
        <v>440</v>
      </c>
      <c r="F7" s="3027" t="s">
        <v>444</v>
      </c>
      <c r="G7" s="2273" t="s">
        <v>445</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314"/>
      <c r="AU7" s="3028" t="s">
        <v>446</v>
      </c>
      <c r="AV7" s="3070" t="s">
        <v>441</v>
      </c>
      <c r="AW7" s="2299" t="s">
        <v>442</v>
      </c>
      <c r="AX7" s="3070" t="s">
        <v>415</v>
      </c>
      <c r="AY7" s="2160" t="s">
        <v>447</v>
      </c>
      <c r="AZ7" s="3061"/>
      <c r="BA7" s="3028"/>
      <c r="BB7" s="3028"/>
      <c r="BC7" s="3028"/>
      <c r="BD7" s="3028"/>
      <c r="BE7" s="3028"/>
      <c r="BF7" s="3028"/>
      <c r="BG7" s="3028"/>
      <c r="BH7" s="3028"/>
      <c r="BI7" s="3028"/>
      <c r="BJ7" s="3028"/>
      <c r="BK7" s="3028"/>
      <c r="BL7" s="3028"/>
      <c r="BM7" s="3028"/>
      <c r="BN7" s="3028"/>
      <c r="BO7" s="3028"/>
      <c r="BP7" s="3028"/>
      <c r="BQ7" s="3028"/>
      <c r="BR7" s="3028"/>
      <c r="BS7" s="3028"/>
      <c r="BT7" s="3095"/>
    </row>
    <row r="8" s="2696" customFormat="1" ht="24" spans="1:72">
      <c r="A8" s="3029"/>
      <c r="B8" s="3029"/>
      <c r="C8" s="3029"/>
      <c r="D8" s="3029"/>
      <c r="E8" s="3029"/>
      <c r="F8" s="3029"/>
      <c r="G8" s="3030" t="s">
        <v>448</v>
      </c>
      <c r="H8" s="3031" t="s">
        <v>449</v>
      </c>
      <c r="I8" s="3050"/>
      <c r="J8" s="1606"/>
      <c r="K8" s="1606"/>
      <c r="L8" s="1606"/>
      <c r="M8" s="1606"/>
      <c r="N8" s="1606"/>
      <c r="O8" s="1606"/>
      <c r="P8" s="1606"/>
      <c r="Q8" s="1606"/>
      <c r="R8" s="1606"/>
      <c r="S8" s="1606"/>
      <c r="T8" s="1606"/>
      <c r="U8" s="1606"/>
      <c r="V8" s="3057"/>
      <c r="W8" s="1606"/>
      <c r="X8" s="1606"/>
      <c r="Y8" s="1606"/>
      <c r="Z8" s="1606"/>
      <c r="AA8" s="3057"/>
      <c r="AB8" s="3059"/>
      <c r="AC8" s="1866" t="s">
        <v>450</v>
      </c>
      <c r="AD8" s="3060"/>
      <c r="AE8" s="3061"/>
      <c r="AF8" s="1606"/>
      <c r="AG8" s="1606"/>
      <c r="AH8" s="1606"/>
      <c r="AI8" s="1606"/>
      <c r="AJ8" s="1606"/>
      <c r="AK8" s="1606"/>
      <c r="AL8" s="1606"/>
      <c r="AM8" s="1606"/>
      <c r="AN8" s="1606"/>
      <c r="AO8" s="1606"/>
      <c r="AP8" s="1606"/>
      <c r="AQ8" s="1606"/>
      <c r="AR8" s="1606"/>
      <c r="AS8" s="1606"/>
      <c r="AT8" s="1553" t="s">
        <v>451</v>
      </c>
      <c r="AU8" s="3029" t="s">
        <v>452</v>
      </c>
      <c r="AV8" s="1553"/>
      <c r="AW8" s="2247"/>
      <c r="AX8" s="1553"/>
      <c r="AY8" s="2299"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6" customFormat="1" ht="12.75" spans="1:72">
      <c r="A9" s="3029"/>
      <c r="B9" s="3029"/>
      <c r="C9" s="3029"/>
      <c r="D9" s="3029"/>
      <c r="E9" s="3029"/>
      <c r="F9" s="3029"/>
      <c r="G9" s="1553"/>
      <c r="H9" s="3032" t="s">
        <v>453</v>
      </c>
      <c r="I9" s="3051" t="s">
        <v>454</v>
      </c>
      <c r="J9" s="1866"/>
      <c r="K9" s="3051" t="s">
        <v>454</v>
      </c>
      <c r="L9" s="1866"/>
      <c r="M9" s="3051" t="s">
        <v>455</v>
      </c>
      <c r="N9" s="1866"/>
      <c r="O9" s="3051" t="s">
        <v>455</v>
      </c>
      <c r="P9" s="1866"/>
      <c r="Q9" s="3051" t="s">
        <v>455</v>
      </c>
      <c r="R9" s="1866"/>
      <c r="S9" s="3051"/>
      <c r="T9" s="1866"/>
      <c r="U9" s="3051"/>
      <c r="V9" s="1866"/>
      <c r="W9" s="3051"/>
      <c r="X9" s="3058"/>
      <c r="Y9" s="3051"/>
      <c r="Z9" s="1866"/>
      <c r="AA9" s="3051"/>
      <c r="AB9" s="1866"/>
      <c r="AC9" s="3030"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71"/>
      <c r="AT9" s="3029"/>
      <c r="AU9" s="3029" t="s">
        <v>458</v>
      </c>
      <c r="AV9" s="1553"/>
      <c r="AW9" s="2247"/>
      <c r="AX9" s="1553"/>
      <c r="AY9" s="3033"/>
      <c r="AZ9" s="3033" t="s">
        <v>448</v>
      </c>
      <c r="BA9" s="3086" t="s">
        <v>459</v>
      </c>
      <c r="BB9" s="3087"/>
      <c r="BC9" s="1617"/>
      <c r="BD9" s="1617"/>
      <c r="BE9" s="1617"/>
      <c r="BF9" s="1617"/>
      <c r="BG9" s="1617"/>
      <c r="BH9" s="1617"/>
      <c r="BI9" s="1617"/>
      <c r="BJ9" s="1617"/>
      <c r="BK9" s="3092"/>
      <c r="BL9" s="1721" t="s">
        <v>460</v>
      </c>
      <c r="BM9" s="1606"/>
      <c r="BN9" s="3050"/>
      <c r="BO9" s="1606"/>
      <c r="BP9" s="1606"/>
      <c r="BQ9" s="1606"/>
      <c r="BR9" s="1606"/>
      <c r="BS9" s="1606"/>
      <c r="BT9" s="1604"/>
    </row>
    <row r="10" s="2696" customFormat="1" ht="12.75" spans="1:72">
      <c r="A10" s="3029"/>
      <c r="B10" s="3029"/>
      <c r="C10" s="3029"/>
      <c r="D10" s="3029"/>
      <c r="E10" s="3029"/>
      <c r="F10" s="3029"/>
      <c r="G10" s="1553"/>
      <c r="H10" s="3033"/>
      <c r="I10" s="3051" t="s">
        <v>461</v>
      </c>
      <c r="J10" s="1866"/>
      <c r="K10" s="3052" t="s">
        <v>462</v>
      </c>
      <c r="L10" s="1866"/>
      <c r="M10" s="3052" t="s">
        <v>461</v>
      </c>
      <c r="N10" s="1866"/>
      <c r="O10" s="3052" t="s">
        <v>462</v>
      </c>
      <c r="P10" s="1866"/>
      <c r="Q10" s="3052" t="s">
        <v>463</v>
      </c>
      <c r="R10" s="1866"/>
      <c r="S10" s="3052"/>
      <c r="T10" s="1866"/>
      <c r="U10" s="3052"/>
      <c r="V10" s="1866"/>
      <c r="W10" s="3052"/>
      <c r="X10" s="1866"/>
      <c r="Y10" s="3052"/>
      <c r="Z10" s="1866"/>
      <c r="AA10" s="3052"/>
      <c r="AB10" s="1866"/>
      <c r="AC10" s="1553"/>
      <c r="AD10" s="1721" t="s">
        <v>464</v>
      </c>
      <c r="AE10" s="3062"/>
      <c r="AF10" s="1721" t="s">
        <v>464</v>
      </c>
      <c r="AG10" s="3062"/>
      <c r="AH10" s="1721" t="s">
        <v>465</v>
      </c>
      <c r="AI10" s="3062"/>
      <c r="AJ10" s="1721" t="s">
        <v>465</v>
      </c>
      <c r="AK10" s="3062"/>
      <c r="AL10" s="1721" t="s">
        <v>466</v>
      </c>
      <c r="AM10" s="1567"/>
      <c r="AN10" s="1721" t="s">
        <v>466</v>
      </c>
      <c r="AO10" s="1567"/>
      <c r="AP10" s="1721" t="s">
        <v>467</v>
      </c>
      <c r="AQ10" s="1567"/>
      <c r="AR10" s="1721" t="s">
        <v>467</v>
      </c>
      <c r="AS10" s="1567"/>
      <c r="AT10" s="3029"/>
      <c r="AU10" s="3029"/>
      <c r="AV10" s="1553"/>
      <c r="AW10" s="2247"/>
      <c r="AX10" s="1553"/>
      <c r="AY10" s="3033"/>
      <c r="AZ10" s="3033"/>
      <c r="BA10" s="3034" t="s">
        <v>453</v>
      </c>
      <c r="BB10" s="3088"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096" t="str">
        <f>AR9</f>
        <v>地下</v>
      </c>
    </row>
    <row r="11" s="2696" customFormat="1" ht="12.75" spans="1:72">
      <c r="A11" s="3029"/>
      <c r="B11" s="3029"/>
      <c r="C11" s="3029"/>
      <c r="D11" s="3029"/>
      <c r="E11" s="3029"/>
      <c r="F11" s="3029"/>
      <c r="G11" s="1553"/>
      <c r="H11" s="3034"/>
      <c r="I11" s="3053"/>
      <c r="J11" s="3054"/>
      <c r="K11" s="3053"/>
      <c r="L11" s="3054"/>
      <c r="M11" s="3053"/>
      <c r="N11" s="3054"/>
      <c r="O11" s="3053"/>
      <c r="P11" s="3054"/>
      <c r="Q11" s="3053"/>
      <c r="R11" s="3054"/>
      <c r="S11" s="3053"/>
      <c r="T11" s="3054"/>
      <c r="U11" s="3053"/>
      <c r="V11" s="3054"/>
      <c r="W11" s="3053"/>
      <c r="X11" s="3054"/>
      <c r="Y11" s="3053"/>
      <c r="Z11" s="3054"/>
      <c r="AA11" s="3053"/>
      <c r="AB11" s="3054"/>
      <c r="AC11" s="1553"/>
      <c r="AD11" s="3063" t="s">
        <v>468</v>
      </c>
      <c r="AE11" s="2094"/>
      <c r="AF11" s="3063" t="s">
        <v>468</v>
      </c>
      <c r="AG11" s="2094"/>
      <c r="AH11" s="3063" t="s">
        <v>469</v>
      </c>
      <c r="AI11" s="3067"/>
      <c r="AJ11" s="3063" t="s">
        <v>469</v>
      </c>
      <c r="AK11" s="2094"/>
      <c r="AL11" s="1663"/>
      <c r="AM11" s="2094"/>
      <c r="AN11" s="1663"/>
      <c r="AO11" s="2094"/>
      <c r="AP11" s="1663"/>
      <c r="AQ11" s="2094"/>
      <c r="AR11" s="1663"/>
      <c r="AS11" s="2094"/>
      <c r="AT11" s="2247"/>
      <c r="AU11" s="3029"/>
      <c r="AV11" s="1553"/>
      <c r="AW11" s="2247"/>
      <c r="AX11" s="1553"/>
      <c r="AY11" s="3033"/>
      <c r="AZ11" s="3033"/>
      <c r="BA11" s="3033"/>
      <c r="BB11" s="3059" t="str">
        <f>I10</f>
        <v>商业</v>
      </c>
      <c r="BC11" s="3059" t="str">
        <f>K10</f>
        <v>办公</v>
      </c>
      <c r="BD11" s="3059" t="str">
        <f>M10</f>
        <v>商业</v>
      </c>
      <c r="BE11" s="3059" t="str">
        <f>O10</f>
        <v>办公</v>
      </c>
      <c r="BF11" s="3059" t="str">
        <f>Q10</f>
        <v>车库</v>
      </c>
      <c r="BG11" s="3059">
        <f>S10</f>
        <v>0</v>
      </c>
      <c r="BH11" s="3059">
        <f>U10</f>
        <v>0</v>
      </c>
      <c r="BI11" s="3059">
        <f>W10</f>
        <v>0</v>
      </c>
      <c r="BJ11" s="3059">
        <f>Y10</f>
        <v>0</v>
      </c>
      <c r="BK11" s="3059">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097" t="str">
        <f>AR10</f>
        <v>未注明</v>
      </c>
    </row>
    <row r="12" s="3008" customFormat="1" ht="12.75" spans="1:72">
      <c r="A12" s="3035"/>
      <c r="B12" s="3035"/>
      <c r="C12" s="3035"/>
      <c r="D12" s="3035"/>
      <c r="E12" s="3035"/>
      <c r="F12" s="3035"/>
      <c r="G12" s="502"/>
      <c r="H12" s="3036"/>
      <c r="I12" s="2314"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9" t="s">
        <v>471</v>
      </c>
      <c r="W12" s="2036" t="s">
        <v>470</v>
      </c>
      <c r="X12" s="2036" t="s">
        <v>471</v>
      </c>
      <c r="Y12" s="2036" t="s">
        <v>470</v>
      </c>
      <c r="Z12" s="2036" t="s">
        <v>471</v>
      </c>
      <c r="AA12" s="2036" t="s">
        <v>470</v>
      </c>
      <c r="AB12" s="2036" t="s">
        <v>471</v>
      </c>
      <c r="AC12" s="3064"/>
      <c r="AD12" s="2314"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35" t="s">
        <v>471</v>
      </c>
      <c r="AT12" s="3072"/>
      <c r="AU12" s="3035"/>
      <c r="AV12" s="3073"/>
      <c r="AW12" s="2299"/>
      <c r="AX12" s="3073"/>
      <c r="AY12" s="3089"/>
      <c r="AZ12" s="3033"/>
      <c r="BA12" s="3034"/>
      <c r="BB12" s="1598">
        <f>I11</f>
        <v>0</v>
      </c>
      <c r="BC12" s="3090">
        <f>K11</f>
        <v>0</v>
      </c>
      <c r="BD12" s="3090">
        <f>M11</f>
        <v>0</v>
      </c>
      <c r="BE12" s="3059">
        <f>O11</f>
        <v>0</v>
      </c>
      <c r="BF12" s="3059">
        <f>Q11</f>
        <v>0</v>
      </c>
      <c r="BG12" s="3059">
        <f>S11</f>
        <v>0</v>
      </c>
      <c r="BH12" s="3059">
        <f>U11</f>
        <v>0</v>
      </c>
      <c r="BI12" s="3059">
        <f>W11</f>
        <v>0</v>
      </c>
      <c r="BJ12" s="3059">
        <f>Y11</f>
        <v>0</v>
      </c>
      <c r="BK12" s="3059">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097">
        <f>AR11</f>
        <v>0</v>
      </c>
    </row>
    <row r="13" s="3008" customFormat="1" ht="12.75" spans="1:72">
      <c r="A13" s="3037"/>
      <c r="B13" s="3037"/>
      <c r="C13" s="3038" t="s">
        <v>472</v>
      </c>
      <c r="D13" s="3039" t="s">
        <v>473</v>
      </c>
      <c r="E13" s="3023">
        <f>IF($C$3="是",ROUND($A$3*G13/$B$3,2),ROUND($A$3*(G13-AT13)/$B$3,2))</f>
        <v>9082.33</v>
      </c>
      <c r="F13" s="3040"/>
      <c r="G13" s="3041">
        <f>H13+AC13+AT13</f>
        <v>66448.33</v>
      </c>
      <c r="H13" s="3026">
        <f>SUMIF(I$12:AB$12,"总值",I13:AB13)</f>
        <v>66448.33</v>
      </c>
      <c r="I13" s="3055">
        <f>面积!I5+面积!I26</f>
        <v>3141.59</v>
      </c>
      <c r="J13" s="3055"/>
      <c r="K13" s="3055">
        <f>面积!I4+面积!I25</f>
        <v>63306.74</v>
      </c>
      <c r="L13" s="3055"/>
      <c r="M13" s="3055"/>
      <c r="N13" s="3055"/>
      <c r="O13" s="3055"/>
      <c r="P13" s="3055"/>
      <c r="Q13" s="3055"/>
      <c r="R13" s="3055"/>
      <c r="S13" s="3055"/>
      <c r="T13" s="3055"/>
      <c r="U13" s="3055"/>
      <c r="V13" s="3055"/>
      <c r="W13" s="3055"/>
      <c r="X13" s="3055"/>
      <c r="Y13" s="3055"/>
      <c r="Z13" s="3055"/>
      <c r="AA13" s="3055"/>
      <c r="AB13" s="3055"/>
      <c r="AC13" s="3023">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2036">
        <f t="shared" ref="AV13:AX17" si="6">A13</f>
        <v>0</v>
      </c>
      <c r="AW13" s="2036">
        <f t="shared" si="6"/>
        <v>0</v>
      </c>
      <c r="AX13" s="2036" t="str">
        <f t="shared" si="6"/>
        <v>20和24</v>
      </c>
      <c r="AY13" s="2314">
        <f>ROUND($AY$6*AZ13/$AZ$5,2)</f>
        <v>9082.33</v>
      </c>
      <c r="AZ13" s="3023">
        <f>BA13+BL13</f>
        <v>66448.33</v>
      </c>
      <c r="BA13" s="3023">
        <f>SUM(BB13:BK13)</f>
        <v>66448.33</v>
      </c>
      <c r="BB13" s="3023">
        <f>IF($D13="是",I13-J13,0)</f>
        <v>3141.59</v>
      </c>
      <c r="BC13" s="3023">
        <f>IF($D13="是",K13-L13,0)</f>
        <v>63306.74</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94">
        <f>IF($D13="是",AR13-AS13,0)</f>
        <v>0</v>
      </c>
    </row>
    <row r="14" s="3008" customFormat="1" ht="12.75" spans="1:72">
      <c r="A14" s="3037"/>
      <c r="B14" s="3037"/>
      <c r="C14" s="3042">
        <v>22</v>
      </c>
      <c r="D14" s="3039" t="s">
        <v>474</v>
      </c>
      <c r="E14" s="3023">
        <f>IF($C$3="是",ROUND($A$3*G14/$B$3,2),ROUND($A$3*(G14-AT14)/$B$3,2))</f>
        <v>5526.78</v>
      </c>
      <c r="F14" s="3040"/>
      <c r="G14" s="3041">
        <f>H14+AC14+AT14</f>
        <v>40435.18</v>
      </c>
      <c r="H14" s="3026">
        <f>SUMIF(I$12:AB$12,"总值",I14:AB14)</f>
        <v>35736.61</v>
      </c>
      <c r="I14" s="3055">
        <f>面积!I11</f>
        <v>16798.85</v>
      </c>
      <c r="J14" s="3055"/>
      <c r="K14" s="3055"/>
      <c r="L14" s="3055"/>
      <c r="M14" s="3055">
        <f>面积!I15</f>
        <v>11676.87</v>
      </c>
      <c r="N14" s="3055"/>
      <c r="O14" s="3055">
        <f>面积!I18</f>
        <v>302.83</v>
      </c>
      <c r="P14" s="3055"/>
      <c r="Q14" s="3055">
        <f>面积!I19</f>
        <v>6958.06</v>
      </c>
      <c r="R14" s="3055"/>
      <c r="S14" s="3055"/>
      <c r="T14" s="3055"/>
      <c r="U14" s="3055"/>
      <c r="V14" s="3055"/>
      <c r="W14" s="3055"/>
      <c r="X14" s="3055"/>
      <c r="Y14" s="3055"/>
      <c r="Z14" s="3055"/>
      <c r="AA14" s="3055"/>
      <c r="AB14" s="3055"/>
      <c r="AC14" s="3023">
        <f>SUMIF(AD$12:AS$12,"总值",AD14:AS14)</f>
        <v>4698.57</v>
      </c>
      <c r="AD14" s="3065"/>
      <c r="AE14" s="3065"/>
      <c r="AF14" s="3065"/>
      <c r="AG14" s="3065"/>
      <c r="AH14" s="3065"/>
      <c r="AI14" s="3065"/>
      <c r="AJ14" s="3065"/>
      <c r="AK14" s="3065"/>
      <c r="AL14" s="3065"/>
      <c r="AM14" s="3065"/>
      <c r="AN14" s="3065">
        <f>面积!I20</f>
        <v>4698.57</v>
      </c>
      <c r="AO14" s="3065"/>
      <c r="AP14" s="3065"/>
      <c r="AQ14" s="3065"/>
      <c r="AR14" s="3065"/>
      <c r="AS14" s="3065"/>
      <c r="AT14" s="3074"/>
      <c r="AU14" s="3075"/>
      <c r="AV14" s="2036">
        <f t="shared" si="6"/>
        <v>0</v>
      </c>
      <c r="AW14" s="2036">
        <f t="shared" si="6"/>
        <v>0</v>
      </c>
      <c r="AX14" s="2036">
        <f t="shared" si="6"/>
        <v>22</v>
      </c>
      <c r="AY14" s="2314">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94">
        <f>IF($D14="是",AR14-AS14,0)</f>
        <v>0</v>
      </c>
    </row>
    <row r="15" s="3008" customFormat="1" ht="12.75" spans="1:72">
      <c r="A15" s="3037"/>
      <c r="B15" s="3037"/>
      <c r="C15" s="3042"/>
      <c r="D15" s="3039"/>
      <c r="E15" s="3023">
        <f>IF($C$3="是",ROUND($A$3*G15/$B$3,2),ROUND($A$3*(G15-AT15)/$B$3,2))</f>
        <v>0</v>
      </c>
      <c r="F15" s="3040"/>
      <c r="G15" s="3041">
        <f>H15+AC15+AT15</f>
        <v>0</v>
      </c>
      <c r="H15" s="3026">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3">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2036">
        <f t="shared" si="6"/>
        <v>0</v>
      </c>
      <c r="AW15" s="2036">
        <f t="shared" si="6"/>
        <v>0</v>
      </c>
      <c r="AX15" s="2036">
        <f t="shared" si="6"/>
        <v>0</v>
      </c>
      <c r="AY15" s="2314">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94">
        <f>IF($D15="是",AR15-AS15,0)</f>
        <v>0</v>
      </c>
    </row>
    <row r="16" s="3008" customFormat="1" ht="12.75" spans="1:72">
      <c r="A16" s="3037"/>
      <c r="B16" s="3037"/>
      <c r="C16" s="3042"/>
      <c r="D16" s="3039"/>
      <c r="E16" s="3023">
        <f>IF($C$3="是",ROUND($A$3*G16/$B$3,2),ROUND($A$3*(G16-AT16)/$B$3,2))</f>
        <v>0</v>
      </c>
      <c r="F16" s="3040"/>
      <c r="G16" s="3041">
        <f>H16+AC16+AT16</f>
        <v>0</v>
      </c>
      <c r="H16" s="3026">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3">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2036">
        <f t="shared" si="6"/>
        <v>0</v>
      </c>
      <c r="AW16" s="2036">
        <f t="shared" si="6"/>
        <v>0</v>
      </c>
      <c r="AX16" s="2036">
        <f t="shared" si="6"/>
        <v>0</v>
      </c>
      <c r="AY16" s="2314">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94">
        <f>IF($D16="是",AR16-AS16,0)</f>
        <v>0</v>
      </c>
    </row>
    <row r="17" s="3008" customFormat="1" ht="12.75" spans="1:72">
      <c r="A17" s="3037"/>
      <c r="B17" s="3037"/>
      <c r="C17" s="3042"/>
      <c r="D17" s="3039"/>
      <c r="E17" s="3023">
        <f>IF($C$3="是",ROUND($A$3*G17/$B$3,2),ROUND($A$3*(G17-AT17)/$B$3,2))</f>
        <v>0</v>
      </c>
      <c r="F17" s="3040"/>
      <c r="G17" s="3041">
        <f>H17+AC17+AT17</f>
        <v>0</v>
      </c>
      <c r="H17" s="3026">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3">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2036">
        <f t="shared" si="6"/>
        <v>0</v>
      </c>
      <c r="AW17" s="2036">
        <f t="shared" si="6"/>
        <v>0</v>
      </c>
      <c r="AX17" s="2036">
        <f t="shared" si="6"/>
        <v>0</v>
      </c>
      <c r="AY17" s="2314">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027">
        <f t="shared" ref="AV18:AV112" si="11">A18</f>
        <v>0</v>
      </c>
      <c r="AW18" s="1027">
        <f t="shared" ref="AW18:AW112" si="12">B18</f>
        <v>0</v>
      </c>
      <c r="AX18" s="1027">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027">
        <f t="shared" si="11"/>
        <v>0</v>
      </c>
      <c r="AW19" s="1027">
        <f t="shared" si="12"/>
        <v>0</v>
      </c>
      <c r="AX19" s="1027">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027">
        <f t="shared" si="11"/>
        <v>0</v>
      </c>
      <c r="AW20" s="1027">
        <f t="shared" si="12"/>
        <v>0</v>
      </c>
      <c r="AX20" s="1027">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027">
        <f t="shared" si="11"/>
        <v>0</v>
      </c>
      <c r="AW21" s="1027">
        <f t="shared" si="12"/>
        <v>0</v>
      </c>
      <c r="AX21" s="1027">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027">
        <f t="shared" si="11"/>
        <v>0</v>
      </c>
      <c r="AW22" s="1027">
        <f t="shared" si="12"/>
        <v>0</v>
      </c>
      <c r="AX22" s="1027">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027">
        <f t="shared" si="11"/>
        <v>0</v>
      </c>
      <c r="AW23" s="1027">
        <f t="shared" si="12"/>
        <v>0</v>
      </c>
      <c r="AX23" s="1027">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027">
        <f t="shared" si="11"/>
        <v>0</v>
      </c>
      <c r="AW24" s="1027">
        <f t="shared" si="12"/>
        <v>0</v>
      </c>
      <c r="AX24" s="1027">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027">
        <f t="shared" si="11"/>
        <v>0</v>
      </c>
      <c r="AW25" s="1027">
        <f t="shared" si="12"/>
        <v>0</v>
      </c>
      <c r="AX25" s="1027">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027">
        <f t="shared" si="11"/>
        <v>0</v>
      </c>
      <c r="AW26" s="1027">
        <f t="shared" si="12"/>
        <v>0</v>
      </c>
      <c r="AX26" s="1027">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027">
        <f t="shared" si="11"/>
        <v>0</v>
      </c>
      <c r="AW27" s="1027">
        <f t="shared" si="12"/>
        <v>0</v>
      </c>
      <c r="AX27" s="1027">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027">
        <f t="shared" si="11"/>
        <v>0</v>
      </c>
      <c r="AW28" s="1027">
        <f t="shared" si="12"/>
        <v>0</v>
      </c>
      <c r="AX28" s="1027">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027">
        <f t="shared" si="11"/>
        <v>0</v>
      </c>
      <c r="AW29" s="1027">
        <f t="shared" si="12"/>
        <v>0</v>
      </c>
      <c r="AX29" s="1027">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027">
        <f t="shared" si="11"/>
        <v>0</v>
      </c>
      <c r="AW30" s="1027">
        <f t="shared" si="12"/>
        <v>0</v>
      </c>
      <c r="AX30" s="1027">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027">
        <f t="shared" si="11"/>
        <v>0</v>
      </c>
      <c r="AW31" s="1027">
        <f t="shared" si="12"/>
        <v>0</v>
      </c>
      <c r="AX31" s="1027">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027">
        <f t="shared" si="11"/>
        <v>0</v>
      </c>
      <c r="AW32" s="1027">
        <f t="shared" si="12"/>
        <v>0</v>
      </c>
      <c r="AX32" s="1027">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027">
        <f t="shared" si="11"/>
        <v>0</v>
      </c>
      <c r="AW33" s="1027">
        <f t="shared" si="12"/>
        <v>0</v>
      </c>
      <c r="AX33" s="1027">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027">
        <f t="shared" si="11"/>
        <v>0</v>
      </c>
      <c r="AW34" s="1027">
        <f t="shared" si="12"/>
        <v>0</v>
      </c>
      <c r="AX34" s="1027">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027">
        <f t="shared" si="11"/>
        <v>0</v>
      </c>
      <c r="AW35" s="1027">
        <f t="shared" si="12"/>
        <v>0</v>
      </c>
      <c r="AX35" s="1027">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027">
        <f t="shared" si="11"/>
        <v>0</v>
      </c>
      <c r="AW36" s="1027">
        <f t="shared" si="12"/>
        <v>0</v>
      </c>
      <c r="AX36" s="1027">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027">
        <f t="shared" si="11"/>
        <v>0</v>
      </c>
      <c r="AW37" s="1027">
        <f t="shared" si="12"/>
        <v>0</v>
      </c>
      <c r="AX37" s="1027">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027">
        <f t="shared" si="11"/>
        <v>0</v>
      </c>
      <c r="AW38" s="1027">
        <f t="shared" si="12"/>
        <v>0</v>
      </c>
      <c r="AX38" s="1027">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027">
        <f t="shared" si="11"/>
        <v>0</v>
      </c>
      <c r="AW39" s="1027">
        <f t="shared" si="12"/>
        <v>0</v>
      </c>
      <c r="AX39" s="1027">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027">
        <f t="shared" si="11"/>
        <v>0</v>
      </c>
      <c r="AW40" s="1027">
        <f t="shared" si="12"/>
        <v>0</v>
      </c>
      <c r="AX40" s="1027">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027">
        <f t="shared" si="11"/>
        <v>0</v>
      </c>
      <c r="AW41" s="1027">
        <f t="shared" si="12"/>
        <v>0</v>
      </c>
      <c r="AX41" s="1027">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027">
        <f t="shared" si="11"/>
        <v>0</v>
      </c>
      <c r="AW42" s="1027">
        <f t="shared" si="12"/>
        <v>0</v>
      </c>
      <c r="AX42" s="1027">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027">
        <f t="shared" si="11"/>
        <v>0</v>
      </c>
      <c r="AW43" s="1027">
        <f t="shared" si="12"/>
        <v>0</v>
      </c>
      <c r="AX43" s="1027">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027">
        <f t="shared" si="11"/>
        <v>0</v>
      </c>
      <c r="AW44" s="1027">
        <f t="shared" si="12"/>
        <v>0</v>
      </c>
      <c r="AX44" s="1027">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027">
        <f t="shared" si="11"/>
        <v>0</v>
      </c>
      <c r="AW45" s="1027">
        <f t="shared" si="12"/>
        <v>0</v>
      </c>
      <c r="AX45" s="1027">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027">
        <f t="shared" si="11"/>
        <v>0</v>
      </c>
      <c r="AW46" s="1027">
        <f t="shared" si="12"/>
        <v>0</v>
      </c>
      <c r="AX46" s="1027">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027">
        <f t="shared" si="11"/>
        <v>0</v>
      </c>
      <c r="AW47" s="1027">
        <f t="shared" si="12"/>
        <v>0</v>
      </c>
      <c r="AX47" s="1027">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027">
        <f t="shared" si="11"/>
        <v>0</v>
      </c>
      <c r="AW48" s="1027">
        <f t="shared" si="12"/>
        <v>0</v>
      </c>
      <c r="AX48" s="1027">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027">
        <f t="shared" si="11"/>
        <v>0</v>
      </c>
      <c r="AW49" s="1027">
        <f t="shared" si="12"/>
        <v>0</v>
      </c>
      <c r="AX49" s="1027">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027">
        <f t="shared" si="11"/>
        <v>0</v>
      </c>
      <c r="AW50" s="1027">
        <f t="shared" si="12"/>
        <v>0</v>
      </c>
      <c r="AX50" s="1027">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027">
        <f t="shared" si="11"/>
        <v>0</v>
      </c>
      <c r="AW51" s="1027">
        <f t="shared" si="12"/>
        <v>0</v>
      </c>
      <c r="AX51" s="1027">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027">
        <f t="shared" si="11"/>
        <v>0</v>
      </c>
      <c r="AW52" s="1027">
        <f t="shared" si="12"/>
        <v>0</v>
      </c>
      <c r="AX52" s="1027">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027">
        <f t="shared" si="11"/>
        <v>0</v>
      </c>
      <c r="AW53" s="1027">
        <f t="shared" si="12"/>
        <v>0</v>
      </c>
      <c r="AX53" s="1027">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027">
        <f t="shared" si="11"/>
        <v>0</v>
      </c>
      <c r="AW54" s="1027">
        <f t="shared" si="12"/>
        <v>0</v>
      </c>
      <c r="AX54" s="1027">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027">
        <f t="shared" si="11"/>
        <v>0</v>
      </c>
      <c r="AW55" s="1027">
        <f t="shared" si="12"/>
        <v>0</v>
      </c>
      <c r="AX55" s="1027">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027">
        <f t="shared" si="11"/>
        <v>0</v>
      </c>
      <c r="AW56" s="1027">
        <f t="shared" si="12"/>
        <v>0</v>
      </c>
      <c r="AX56" s="1027">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027">
        <f t="shared" si="11"/>
        <v>0</v>
      </c>
      <c r="AW57" s="1027">
        <f t="shared" si="12"/>
        <v>0</v>
      </c>
      <c r="AX57" s="1027">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027">
        <f t="shared" si="11"/>
        <v>0</v>
      </c>
      <c r="AW58" s="1027">
        <f t="shared" si="12"/>
        <v>0</v>
      </c>
      <c r="AX58" s="1027">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027">
        <f t="shared" si="11"/>
        <v>0</v>
      </c>
      <c r="AW59" s="1027">
        <f t="shared" si="12"/>
        <v>0</v>
      </c>
      <c r="AX59" s="1027">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027">
        <f t="shared" si="11"/>
        <v>0</v>
      </c>
      <c r="AW60" s="1027">
        <f t="shared" si="12"/>
        <v>0</v>
      </c>
      <c r="AX60" s="1027">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027">
        <f t="shared" si="11"/>
        <v>0</v>
      </c>
      <c r="AW61" s="1027">
        <f t="shared" si="12"/>
        <v>0</v>
      </c>
      <c r="AX61" s="1027">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027">
        <f t="shared" si="11"/>
        <v>0</v>
      </c>
      <c r="AW62" s="1027">
        <f t="shared" si="12"/>
        <v>0</v>
      </c>
      <c r="AX62" s="1027">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027">
        <f t="shared" si="11"/>
        <v>0</v>
      </c>
      <c r="AW63" s="1027">
        <f t="shared" si="12"/>
        <v>0</v>
      </c>
      <c r="AX63" s="1027">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027">
        <f t="shared" si="11"/>
        <v>0</v>
      </c>
      <c r="AW64" s="1027">
        <f t="shared" si="12"/>
        <v>0</v>
      </c>
      <c r="AX64" s="1027">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027">
        <f t="shared" si="11"/>
        <v>0</v>
      </c>
      <c r="AW65" s="1027">
        <f t="shared" si="12"/>
        <v>0</v>
      </c>
      <c r="AX65" s="1027">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027">
        <f t="shared" si="11"/>
        <v>0</v>
      </c>
      <c r="AW66" s="1027">
        <f t="shared" si="12"/>
        <v>0</v>
      </c>
      <c r="AX66" s="1027">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027">
        <f t="shared" si="11"/>
        <v>0</v>
      </c>
      <c r="AW67" s="1027">
        <f t="shared" si="12"/>
        <v>0</v>
      </c>
      <c r="AX67" s="1027">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027">
        <f t="shared" si="11"/>
        <v>0</v>
      </c>
      <c r="AW68" s="1027">
        <f t="shared" si="12"/>
        <v>0</v>
      </c>
      <c r="AX68" s="1027">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027">
        <f t="shared" si="11"/>
        <v>0</v>
      </c>
      <c r="AW69" s="1027">
        <f t="shared" si="12"/>
        <v>0</v>
      </c>
      <c r="AX69" s="1027">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027">
        <f t="shared" si="11"/>
        <v>0</v>
      </c>
      <c r="AW70" s="1027">
        <f t="shared" si="12"/>
        <v>0</v>
      </c>
      <c r="AX70" s="1027">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027">
        <f t="shared" si="11"/>
        <v>0</v>
      </c>
      <c r="AW71" s="1027">
        <f t="shared" si="12"/>
        <v>0</v>
      </c>
      <c r="AX71" s="1027">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027">
        <f t="shared" si="11"/>
        <v>0</v>
      </c>
      <c r="AW72" s="1027">
        <f t="shared" si="12"/>
        <v>0</v>
      </c>
      <c r="AX72" s="1027">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027">
        <f t="shared" si="11"/>
        <v>0</v>
      </c>
      <c r="AW73" s="1027">
        <f t="shared" si="12"/>
        <v>0</v>
      </c>
      <c r="AX73" s="1027">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027">
        <f t="shared" si="11"/>
        <v>0</v>
      </c>
      <c r="AW74" s="1027">
        <f t="shared" si="12"/>
        <v>0</v>
      </c>
      <c r="AX74" s="1027">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027">
        <f t="shared" si="11"/>
        <v>0</v>
      </c>
      <c r="AW75" s="1027">
        <f t="shared" si="12"/>
        <v>0</v>
      </c>
      <c r="AX75" s="1027">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027">
        <f t="shared" si="11"/>
        <v>0</v>
      </c>
      <c r="AW76" s="1027">
        <f t="shared" si="12"/>
        <v>0</v>
      </c>
      <c r="AX76" s="1027">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027">
        <f t="shared" si="11"/>
        <v>0</v>
      </c>
      <c r="AW77" s="1027">
        <f t="shared" si="12"/>
        <v>0</v>
      </c>
      <c r="AX77" s="1027">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027">
        <f t="shared" si="11"/>
        <v>0</v>
      </c>
      <c r="AW78" s="1027">
        <f t="shared" si="12"/>
        <v>0</v>
      </c>
      <c r="AX78" s="1027">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027">
        <f t="shared" si="11"/>
        <v>0</v>
      </c>
      <c r="AW79" s="1027">
        <f t="shared" si="12"/>
        <v>0</v>
      </c>
      <c r="AX79" s="1027">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027">
        <f t="shared" si="11"/>
        <v>0</v>
      </c>
      <c r="AW80" s="1027">
        <f t="shared" si="12"/>
        <v>0</v>
      </c>
      <c r="AX80" s="1027">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027">
        <f t="shared" si="11"/>
        <v>0</v>
      </c>
      <c r="AW81" s="1027">
        <f t="shared" si="12"/>
        <v>0</v>
      </c>
      <c r="AX81" s="1027">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027">
        <f t="shared" si="11"/>
        <v>0</v>
      </c>
      <c r="AW82" s="1027">
        <f t="shared" si="12"/>
        <v>0</v>
      </c>
      <c r="AX82" s="1027">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027">
        <f t="shared" si="11"/>
        <v>0</v>
      </c>
      <c r="AW83" s="1027">
        <f t="shared" si="12"/>
        <v>0</v>
      </c>
      <c r="AX83" s="1027">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027">
        <f t="shared" si="11"/>
        <v>0</v>
      </c>
      <c r="AW84" s="1027">
        <f t="shared" si="12"/>
        <v>0</v>
      </c>
      <c r="AX84" s="1027">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027">
        <f t="shared" si="11"/>
        <v>0</v>
      </c>
      <c r="AW85" s="1027">
        <f t="shared" si="12"/>
        <v>0</v>
      </c>
      <c r="AX85" s="1027">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027">
        <f t="shared" si="11"/>
        <v>0</v>
      </c>
      <c r="AW86" s="1027">
        <f t="shared" si="12"/>
        <v>0</v>
      </c>
      <c r="AX86" s="1027">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027">
        <f t="shared" si="11"/>
        <v>0</v>
      </c>
      <c r="AW87" s="1027">
        <f t="shared" si="12"/>
        <v>0</v>
      </c>
      <c r="AX87" s="1027">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027">
        <f t="shared" si="11"/>
        <v>0</v>
      </c>
      <c r="AW88" s="1027">
        <f t="shared" si="12"/>
        <v>0</v>
      </c>
      <c r="AX88" s="1027">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027">
        <f t="shared" si="11"/>
        <v>0</v>
      </c>
      <c r="AW89" s="1027">
        <f t="shared" si="12"/>
        <v>0</v>
      </c>
      <c r="AX89" s="1027">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027">
        <f t="shared" si="11"/>
        <v>0</v>
      </c>
      <c r="AW90" s="1027">
        <f t="shared" si="12"/>
        <v>0</v>
      </c>
      <c r="AX90" s="1027">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027">
        <f t="shared" si="11"/>
        <v>0</v>
      </c>
      <c r="AW91" s="1027">
        <f t="shared" si="12"/>
        <v>0</v>
      </c>
      <c r="AX91" s="1027">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027">
        <f t="shared" si="11"/>
        <v>0</v>
      </c>
      <c r="AW92" s="1027">
        <f t="shared" si="12"/>
        <v>0</v>
      </c>
      <c r="AX92" s="1027">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027">
        <f t="shared" si="11"/>
        <v>0</v>
      </c>
      <c r="AW93" s="1027">
        <f t="shared" si="12"/>
        <v>0</v>
      </c>
      <c r="AX93" s="1027">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027">
        <f t="shared" si="11"/>
        <v>0</v>
      </c>
      <c r="AW94" s="1027">
        <f t="shared" si="12"/>
        <v>0</v>
      </c>
      <c r="AX94" s="1027">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027">
        <f t="shared" si="11"/>
        <v>0</v>
      </c>
      <c r="AW95" s="1027">
        <f t="shared" si="12"/>
        <v>0</v>
      </c>
      <c r="AX95" s="1027">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027">
        <f t="shared" si="11"/>
        <v>0</v>
      </c>
      <c r="AW96" s="1027">
        <f t="shared" si="12"/>
        <v>0</v>
      </c>
      <c r="AX96" s="1027">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027">
        <f t="shared" si="11"/>
        <v>0</v>
      </c>
      <c r="AW97" s="1027">
        <f t="shared" si="12"/>
        <v>0</v>
      </c>
      <c r="AX97" s="1027">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027">
        <f t="shared" si="11"/>
        <v>0</v>
      </c>
      <c r="AW98" s="1027">
        <f t="shared" si="12"/>
        <v>0</v>
      </c>
      <c r="AX98" s="1027">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027">
        <f t="shared" si="11"/>
        <v>0</v>
      </c>
      <c r="AW99" s="1027">
        <f t="shared" si="12"/>
        <v>0</v>
      </c>
      <c r="AX99" s="1027">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027">
        <f t="shared" si="11"/>
        <v>0</v>
      </c>
      <c r="AW100" s="1027">
        <f t="shared" si="12"/>
        <v>0</v>
      </c>
      <c r="AX100" s="1027">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027">
        <f t="shared" si="11"/>
        <v>0</v>
      </c>
      <c r="AW101" s="1027">
        <f t="shared" si="12"/>
        <v>0</v>
      </c>
      <c r="AX101" s="1027">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027">
        <f t="shared" si="11"/>
        <v>0</v>
      </c>
      <c r="AW102" s="1027">
        <f t="shared" si="12"/>
        <v>0</v>
      </c>
      <c r="AX102" s="1027">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027">
        <f t="shared" si="11"/>
        <v>0</v>
      </c>
      <c r="AW103" s="1027">
        <f t="shared" si="12"/>
        <v>0</v>
      </c>
      <c r="AX103" s="1027">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027">
        <f t="shared" si="11"/>
        <v>0</v>
      </c>
      <c r="AW104" s="1027">
        <f t="shared" si="12"/>
        <v>0</v>
      </c>
      <c r="AX104" s="1027">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027">
        <f t="shared" si="11"/>
        <v>0</v>
      </c>
      <c r="AW105" s="1027">
        <f t="shared" si="12"/>
        <v>0</v>
      </c>
      <c r="AX105" s="1027">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027">
        <f t="shared" si="11"/>
        <v>0</v>
      </c>
      <c r="AW106" s="1027">
        <f t="shared" si="12"/>
        <v>0</v>
      </c>
      <c r="AX106" s="1027">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027">
        <f t="shared" si="11"/>
        <v>0</v>
      </c>
      <c r="AW107" s="1027">
        <f t="shared" si="12"/>
        <v>0</v>
      </c>
      <c r="AX107" s="1027">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027">
        <f t="shared" si="11"/>
        <v>0</v>
      </c>
      <c r="AW108" s="1027">
        <f t="shared" si="12"/>
        <v>0</v>
      </c>
      <c r="AX108" s="1027">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027">
        <f t="shared" si="11"/>
        <v>0</v>
      </c>
      <c r="AW109" s="1027">
        <f t="shared" si="12"/>
        <v>0</v>
      </c>
      <c r="AX109" s="1027">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027">
        <f t="shared" si="11"/>
        <v>0</v>
      </c>
      <c r="AW110" s="1027">
        <f t="shared" si="12"/>
        <v>0</v>
      </c>
      <c r="AX110" s="1027">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027">
        <f t="shared" si="11"/>
        <v>0</v>
      </c>
      <c r="AW111" s="1027">
        <f t="shared" si="12"/>
        <v>0</v>
      </c>
      <c r="AX111" s="1027">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027">
        <f t="shared" si="11"/>
        <v>0</v>
      </c>
      <c r="AW112" s="1027">
        <f t="shared" si="12"/>
        <v>0</v>
      </c>
      <c r="AX112" s="1027">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027">
        <f t="shared" ref="AV113:AV144" si="62">A113</f>
        <v>0</v>
      </c>
      <c r="AW113" s="1027">
        <f t="shared" ref="AW113:AW144" si="63">B113</f>
        <v>0</v>
      </c>
      <c r="AX113" s="1027">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027">
        <f t="shared" si="62"/>
        <v>0</v>
      </c>
      <c r="AW114" s="1027">
        <f t="shared" si="63"/>
        <v>0</v>
      </c>
      <c r="AX114" s="1027">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027">
        <f t="shared" si="62"/>
        <v>0</v>
      </c>
      <c r="AW115" s="1027">
        <f t="shared" si="63"/>
        <v>0</v>
      </c>
      <c r="AX115" s="1027">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027">
        <f t="shared" si="62"/>
        <v>0</v>
      </c>
      <c r="AW116" s="1027">
        <f t="shared" si="63"/>
        <v>0</v>
      </c>
      <c r="AX116" s="1027">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027">
        <f t="shared" si="62"/>
        <v>0</v>
      </c>
      <c r="AW117" s="1027">
        <f t="shared" si="63"/>
        <v>0</v>
      </c>
      <c r="AX117" s="1027">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027">
        <f t="shared" si="62"/>
        <v>0</v>
      </c>
      <c r="AW118" s="1027">
        <f t="shared" si="63"/>
        <v>0</v>
      </c>
      <c r="AX118" s="1027">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027">
        <f t="shared" si="62"/>
        <v>0</v>
      </c>
      <c r="AW119" s="1027">
        <f t="shared" si="63"/>
        <v>0</v>
      </c>
      <c r="AX119" s="1027">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027">
        <f t="shared" si="62"/>
        <v>0</v>
      </c>
      <c r="AW120" s="1027">
        <f t="shared" si="63"/>
        <v>0</v>
      </c>
      <c r="AX120" s="1027">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027">
        <f t="shared" si="62"/>
        <v>0</v>
      </c>
      <c r="AW121" s="1027">
        <f t="shared" si="63"/>
        <v>0</v>
      </c>
      <c r="AX121" s="1027">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027">
        <f t="shared" si="62"/>
        <v>0</v>
      </c>
      <c r="AW122" s="1027">
        <f t="shared" si="63"/>
        <v>0</v>
      </c>
      <c r="AX122" s="1027">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027">
        <f t="shared" si="62"/>
        <v>0</v>
      </c>
      <c r="AW123" s="1027">
        <f t="shared" si="63"/>
        <v>0</v>
      </c>
      <c r="AX123" s="1027">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027">
        <f t="shared" si="62"/>
        <v>0</v>
      </c>
      <c r="AW124" s="1027">
        <f t="shared" si="63"/>
        <v>0</v>
      </c>
      <c r="AX124" s="1027">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027">
        <f t="shared" si="62"/>
        <v>0</v>
      </c>
      <c r="AW125" s="1027">
        <f t="shared" si="63"/>
        <v>0</v>
      </c>
      <c r="AX125" s="1027">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027">
        <f t="shared" si="62"/>
        <v>0</v>
      </c>
      <c r="AW126" s="1027">
        <f t="shared" si="63"/>
        <v>0</v>
      </c>
      <c r="AX126" s="1027">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027">
        <f t="shared" si="62"/>
        <v>0</v>
      </c>
      <c r="AW127" s="1027">
        <f t="shared" si="63"/>
        <v>0</v>
      </c>
      <c r="AX127" s="1027">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027">
        <f t="shared" si="62"/>
        <v>0</v>
      </c>
      <c r="AW128" s="1027">
        <f t="shared" si="63"/>
        <v>0</v>
      </c>
      <c r="AX128" s="1027">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027">
        <f t="shared" si="62"/>
        <v>0</v>
      </c>
      <c r="AW129" s="1027">
        <f t="shared" si="63"/>
        <v>0</v>
      </c>
      <c r="AX129" s="1027">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027">
        <f t="shared" si="62"/>
        <v>0</v>
      </c>
      <c r="AW130" s="1027">
        <f t="shared" si="63"/>
        <v>0</v>
      </c>
      <c r="AX130" s="1027">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027">
        <f t="shared" si="62"/>
        <v>0</v>
      </c>
      <c r="AW131" s="1027">
        <f t="shared" si="63"/>
        <v>0</v>
      </c>
      <c r="AX131" s="1027">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027">
        <f t="shared" si="62"/>
        <v>0</v>
      </c>
      <c r="AW132" s="1027">
        <f t="shared" si="63"/>
        <v>0</v>
      </c>
      <c r="AX132" s="1027">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027">
        <f t="shared" si="62"/>
        <v>0</v>
      </c>
      <c r="AW133" s="1027">
        <f t="shared" si="63"/>
        <v>0</v>
      </c>
      <c r="AX133" s="1027">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027">
        <f t="shared" si="62"/>
        <v>0</v>
      </c>
      <c r="AW134" s="1027">
        <f t="shared" si="63"/>
        <v>0</v>
      </c>
      <c r="AX134" s="1027">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027">
        <f t="shared" si="62"/>
        <v>0</v>
      </c>
      <c r="AW135" s="1027">
        <f t="shared" si="63"/>
        <v>0</v>
      </c>
      <c r="AX135" s="1027">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027">
        <f t="shared" si="62"/>
        <v>0</v>
      </c>
      <c r="AW136" s="1027">
        <f t="shared" si="63"/>
        <v>0</v>
      </c>
      <c r="AX136" s="1027">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027">
        <f t="shared" si="62"/>
        <v>0</v>
      </c>
      <c r="AW137" s="1027">
        <f t="shared" si="63"/>
        <v>0</v>
      </c>
      <c r="AX137" s="1027">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027">
        <f t="shared" si="62"/>
        <v>0</v>
      </c>
      <c r="AW138" s="1027">
        <f t="shared" si="63"/>
        <v>0</v>
      </c>
      <c r="AX138" s="1027">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027">
        <f t="shared" si="62"/>
        <v>0</v>
      </c>
      <c r="AW139" s="1027">
        <f t="shared" si="63"/>
        <v>0</v>
      </c>
      <c r="AX139" s="1027">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027">
        <f t="shared" si="62"/>
        <v>0</v>
      </c>
      <c r="AW140" s="1027">
        <f t="shared" si="63"/>
        <v>0</v>
      </c>
      <c r="AX140" s="1027">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027">
        <f t="shared" si="62"/>
        <v>0</v>
      </c>
      <c r="AW141" s="1027">
        <f t="shared" si="63"/>
        <v>0</v>
      </c>
      <c r="AX141" s="1027">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027">
        <f t="shared" si="62"/>
        <v>0</v>
      </c>
      <c r="AW142" s="1027">
        <f t="shared" si="63"/>
        <v>0</v>
      </c>
      <c r="AX142" s="1027">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027">
        <f t="shared" si="62"/>
        <v>0</v>
      </c>
      <c r="AW143" s="1027">
        <f t="shared" si="63"/>
        <v>0</v>
      </c>
      <c r="AX143" s="1027">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027">
        <f t="shared" si="62"/>
        <v>0</v>
      </c>
      <c r="AW144" s="1027">
        <f t="shared" si="63"/>
        <v>0</v>
      </c>
      <c r="AX144" s="1027">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027">
        <f t="shared" ref="AV145:AV176" si="91">A145</f>
        <v>0</v>
      </c>
      <c r="AW145" s="1027">
        <f t="shared" ref="AW145:AW176" si="92">B145</f>
        <v>0</v>
      </c>
      <c r="AX145" s="1027">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027">
        <f t="shared" si="91"/>
        <v>0</v>
      </c>
      <c r="AW146" s="1027">
        <f t="shared" si="92"/>
        <v>0</v>
      </c>
      <c r="AX146" s="1027">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027">
        <f t="shared" si="91"/>
        <v>0</v>
      </c>
      <c r="AW147" s="1027">
        <f t="shared" si="92"/>
        <v>0</v>
      </c>
      <c r="AX147" s="1027">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027">
        <f t="shared" si="91"/>
        <v>0</v>
      </c>
      <c r="AW148" s="1027">
        <f t="shared" si="92"/>
        <v>0</v>
      </c>
      <c r="AX148" s="1027">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027">
        <f t="shared" si="91"/>
        <v>0</v>
      </c>
      <c r="AW149" s="1027">
        <f t="shared" si="92"/>
        <v>0</v>
      </c>
      <c r="AX149" s="1027">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027">
        <f t="shared" si="91"/>
        <v>0</v>
      </c>
      <c r="AW150" s="1027">
        <f t="shared" si="92"/>
        <v>0</v>
      </c>
      <c r="AX150" s="1027">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027">
        <f t="shared" si="91"/>
        <v>0</v>
      </c>
      <c r="AW151" s="1027">
        <f t="shared" si="92"/>
        <v>0</v>
      </c>
      <c r="AX151" s="1027">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027">
        <f t="shared" si="91"/>
        <v>0</v>
      </c>
      <c r="AW152" s="1027">
        <f t="shared" si="92"/>
        <v>0</v>
      </c>
      <c r="AX152" s="1027">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027">
        <f t="shared" si="91"/>
        <v>0</v>
      </c>
      <c r="AW153" s="1027">
        <f t="shared" si="92"/>
        <v>0</v>
      </c>
      <c r="AX153" s="1027">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027">
        <f t="shared" si="91"/>
        <v>0</v>
      </c>
      <c r="AW154" s="1027">
        <f t="shared" si="92"/>
        <v>0</v>
      </c>
      <c r="AX154" s="1027">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027">
        <f t="shared" si="91"/>
        <v>0</v>
      </c>
      <c r="AW155" s="1027">
        <f t="shared" si="92"/>
        <v>0</v>
      </c>
      <c r="AX155" s="1027">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027">
        <f t="shared" si="91"/>
        <v>0</v>
      </c>
      <c r="AW156" s="1027">
        <f t="shared" si="92"/>
        <v>0</v>
      </c>
      <c r="AX156" s="1027">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027">
        <f t="shared" si="91"/>
        <v>0</v>
      </c>
      <c r="AW157" s="1027">
        <f t="shared" si="92"/>
        <v>0</v>
      </c>
      <c r="AX157" s="1027">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027">
        <f t="shared" si="91"/>
        <v>0</v>
      </c>
      <c r="AW158" s="1027">
        <f t="shared" si="92"/>
        <v>0</v>
      </c>
      <c r="AX158" s="1027">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027">
        <f t="shared" si="91"/>
        <v>0</v>
      </c>
      <c r="AW159" s="1027">
        <f t="shared" si="92"/>
        <v>0</v>
      </c>
      <c r="AX159" s="1027">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027">
        <f t="shared" si="91"/>
        <v>0</v>
      </c>
      <c r="AW160" s="1027">
        <f t="shared" si="92"/>
        <v>0</v>
      </c>
      <c r="AX160" s="1027">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027">
        <f t="shared" si="91"/>
        <v>0</v>
      </c>
      <c r="AW161" s="1027">
        <f t="shared" si="92"/>
        <v>0</v>
      </c>
      <c r="AX161" s="1027">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027">
        <f t="shared" si="91"/>
        <v>0</v>
      </c>
      <c r="AW162" s="1027">
        <f t="shared" si="92"/>
        <v>0</v>
      </c>
      <c r="AX162" s="1027">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027">
        <f t="shared" si="91"/>
        <v>0</v>
      </c>
      <c r="AW163" s="1027">
        <f t="shared" si="92"/>
        <v>0</v>
      </c>
      <c r="AX163" s="1027">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027">
        <f t="shared" si="91"/>
        <v>0</v>
      </c>
      <c r="AW164" s="1027">
        <f t="shared" si="92"/>
        <v>0</v>
      </c>
      <c r="AX164" s="1027">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027">
        <f t="shared" si="91"/>
        <v>0</v>
      </c>
      <c r="AW165" s="1027">
        <f t="shared" si="92"/>
        <v>0</v>
      </c>
      <c r="AX165" s="1027">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027">
        <f t="shared" si="91"/>
        <v>0</v>
      </c>
      <c r="AW166" s="1027">
        <f t="shared" si="92"/>
        <v>0</v>
      </c>
      <c r="AX166" s="1027">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027">
        <f t="shared" si="91"/>
        <v>0</v>
      </c>
      <c r="AW167" s="1027">
        <f t="shared" si="92"/>
        <v>0</v>
      </c>
      <c r="AX167" s="1027">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027">
        <f t="shared" si="91"/>
        <v>0</v>
      </c>
      <c r="AW168" s="1027">
        <f t="shared" si="92"/>
        <v>0</v>
      </c>
      <c r="AX168" s="1027">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027">
        <f t="shared" si="91"/>
        <v>0</v>
      </c>
      <c r="AW169" s="1027">
        <f t="shared" si="92"/>
        <v>0</v>
      </c>
      <c r="AX169" s="1027">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027">
        <f t="shared" si="91"/>
        <v>0</v>
      </c>
      <c r="AW170" s="1027">
        <f t="shared" si="92"/>
        <v>0</v>
      </c>
      <c r="AX170" s="1027">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027">
        <f t="shared" si="91"/>
        <v>0</v>
      </c>
      <c r="AW171" s="1027">
        <f t="shared" si="92"/>
        <v>0</v>
      </c>
      <c r="AX171" s="1027">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027">
        <f t="shared" si="91"/>
        <v>0</v>
      </c>
      <c r="AW172" s="1027">
        <f t="shared" si="92"/>
        <v>0</v>
      </c>
      <c r="AX172" s="1027">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027">
        <f t="shared" si="91"/>
        <v>0</v>
      </c>
      <c r="AW173" s="1027">
        <f t="shared" si="92"/>
        <v>0</v>
      </c>
      <c r="AX173" s="1027">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027">
        <f t="shared" si="91"/>
        <v>0</v>
      </c>
      <c r="AW174" s="1027">
        <f t="shared" si="92"/>
        <v>0</v>
      </c>
      <c r="AX174" s="1027">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027">
        <f t="shared" si="91"/>
        <v>0</v>
      </c>
      <c r="AW175" s="1027">
        <f t="shared" si="92"/>
        <v>0</v>
      </c>
      <c r="AX175" s="1027">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027">
        <f t="shared" si="91"/>
        <v>0</v>
      </c>
      <c r="AW176" s="1027">
        <f t="shared" si="92"/>
        <v>0</v>
      </c>
      <c r="AX176" s="1027">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027">
        <f t="shared" ref="AV177:AV207" si="120">A177</f>
        <v>0</v>
      </c>
      <c r="AW177" s="1027">
        <f t="shared" ref="AW177:AW207" si="121">B177</f>
        <v>0</v>
      </c>
      <c r="AX177" s="1027">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027">
        <f t="shared" si="120"/>
        <v>0</v>
      </c>
      <c r="AW178" s="1027">
        <f t="shared" si="121"/>
        <v>0</v>
      </c>
      <c r="AX178" s="1027">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027">
        <f t="shared" si="120"/>
        <v>0</v>
      </c>
      <c r="AW179" s="1027">
        <f t="shared" si="121"/>
        <v>0</v>
      </c>
      <c r="AX179" s="1027">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027">
        <f t="shared" si="120"/>
        <v>0</v>
      </c>
      <c r="AW180" s="1027">
        <f t="shared" si="121"/>
        <v>0</v>
      </c>
      <c r="AX180" s="1027">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027">
        <f t="shared" si="120"/>
        <v>0</v>
      </c>
      <c r="AW181" s="1027">
        <f t="shared" si="121"/>
        <v>0</v>
      </c>
      <c r="AX181" s="1027">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027">
        <f t="shared" si="120"/>
        <v>0</v>
      </c>
      <c r="AW182" s="1027">
        <f t="shared" si="121"/>
        <v>0</v>
      </c>
      <c r="AX182" s="1027">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027">
        <f t="shared" si="120"/>
        <v>0</v>
      </c>
      <c r="AW183" s="1027">
        <f t="shared" si="121"/>
        <v>0</v>
      </c>
      <c r="AX183" s="1027">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027">
        <f t="shared" si="120"/>
        <v>0</v>
      </c>
      <c r="AW184" s="1027">
        <f t="shared" si="121"/>
        <v>0</v>
      </c>
      <c r="AX184" s="1027">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027">
        <f t="shared" si="120"/>
        <v>0</v>
      </c>
      <c r="AW185" s="1027">
        <f t="shared" si="121"/>
        <v>0</v>
      </c>
      <c r="AX185" s="1027">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027">
        <f t="shared" si="120"/>
        <v>0</v>
      </c>
      <c r="AW186" s="1027">
        <f t="shared" si="121"/>
        <v>0</v>
      </c>
      <c r="AX186" s="1027">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027">
        <f t="shared" si="120"/>
        <v>0</v>
      </c>
      <c r="AW187" s="1027">
        <f t="shared" si="121"/>
        <v>0</v>
      </c>
      <c r="AX187" s="1027">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027">
        <f t="shared" si="120"/>
        <v>0</v>
      </c>
      <c r="AW188" s="1027">
        <f t="shared" si="121"/>
        <v>0</v>
      </c>
      <c r="AX188" s="1027">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027">
        <f t="shared" si="120"/>
        <v>0</v>
      </c>
      <c r="AW189" s="1027">
        <f t="shared" si="121"/>
        <v>0</v>
      </c>
      <c r="AX189" s="1027">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027">
        <f t="shared" si="120"/>
        <v>0</v>
      </c>
      <c r="AW190" s="1027">
        <f t="shared" si="121"/>
        <v>0</v>
      </c>
      <c r="AX190" s="1027">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027">
        <f t="shared" si="120"/>
        <v>0</v>
      </c>
      <c r="AW191" s="1027">
        <f t="shared" si="121"/>
        <v>0</v>
      </c>
      <c r="AX191" s="1027">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027">
        <f t="shared" si="120"/>
        <v>0</v>
      </c>
      <c r="AW192" s="1027">
        <f t="shared" si="121"/>
        <v>0</v>
      </c>
      <c r="AX192" s="1027">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027">
        <f t="shared" si="120"/>
        <v>0</v>
      </c>
      <c r="AW193" s="1027">
        <f t="shared" si="121"/>
        <v>0</v>
      </c>
      <c r="AX193" s="1027">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027">
        <f t="shared" si="120"/>
        <v>0</v>
      </c>
      <c r="AW194" s="1027">
        <f t="shared" si="121"/>
        <v>0</v>
      </c>
      <c r="AX194" s="1027">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027">
        <f t="shared" si="120"/>
        <v>0</v>
      </c>
      <c r="AW195" s="1027">
        <f t="shared" si="121"/>
        <v>0</v>
      </c>
      <c r="AX195" s="1027">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027">
        <f t="shared" si="120"/>
        <v>0</v>
      </c>
      <c r="AW196" s="1027">
        <f t="shared" si="121"/>
        <v>0</v>
      </c>
      <c r="AX196" s="1027">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027">
        <f t="shared" si="120"/>
        <v>0</v>
      </c>
      <c r="AW197" s="1027">
        <f t="shared" si="121"/>
        <v>0</v>
      </c>
      <c r="AX197" s="1027">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027">
        <f t="shared" si="120"/>
        <v>0</v>
      </c>
      <c r="AW198" s="1027">
        <f t="shared" si="121"/>
        <v>0</v>
      </c>
      <c r="AX198" s="1027">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027">
        <f t="shared" si="120"/>
        <v>0</v>
      </c>
      <c r="AW199" s="1027">
        <f t="shared" si="121"/>
        <v>0</v>
      </c>
      <c r="AX199" s="1027">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027">
        <f t="shared" si="120"/>
        <v>0</v>
      </c>
      <c r="AW200" s="1027">
        <f t="shared" si="121"/>
        <v>0</v>
      </c>
      <c r="AX200" s="1027">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027">
        <f t="shared" si="120"/>
        <v>0</v>
      </c>
      <c r="AW201" s="1027">
        <f t="shared" si="121"/>
        <v>0</v>
      </c>
      <c r="AX201" s="1027">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027">
        <f t="shared" si="120"/>
        <v>0</v>
      </c>
      <c r="AW202" s="1027">
        <f t="shared" si="121"/>
        <v>0</v>
      </c>
      <c r="AX202" s="1027">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027">
        <f t="shared" si="120"/>
        <v>0</v>
      </c>
      <c r="AW203" s="1027">
        <f t="shared" si="121"/>
        <v>0</v>
      </c>
      <c r="AX203" s="1027">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027">
        <f t="shared" si="120"/>
        <v>0</v>
      </c>
      <c r="AW204" s="1027">
        <f t="shared" si="121"/>
        <v>0</v>
      </c>
      <c r="AX204" s="1027">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027">
        <f t="shared" si="120"/>
        <v>0</v>
      </c>
      <c r="AW205" s="1027">
        <f t="shared" si="121"/>
        <v>0</v>
      </c>
      <c r="AX205" s="1027">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027">
        <f t="shared" si="120"/>
        <v>0</v>
      </c>
      <c r="AW206" s="1027">
        <f t="shared" si="121"/>
        <v>0</v>
      </c>
      <c r="AX206" s="1027">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027">
        <f t="shared" si="120"/>
        <v>0</v>
      </c>
      <c r="AW207" s="1027">
        <f t="shared" si="121"/>
        <v>0</v>
      </c>
      <c r="AX207" s="1027">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027">
        <f t="shared" ref="AV208:AV302" si="127">A208</f>
        <v>0</v>
      </c>
      <c r="AW208" s="1027">
        <f t="shared" ref="AW208:AW302" si="128">B208</f>
        <v>0</v>
      </c>
      <c r="AX208" s="1027">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027">
        <f t="shared" si="127"/>
        <v>0</v>
      </c>
      <c r="AW209" s="1027">
        <f t="shared" si="128"/>
        <v>0</v>
      </c>
      <c r="AX209" s="1027">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027">
        <f t="shared" si="127"/>
        <v>0</v>
      </c>
      <c r="AW210" s="1027">
        <f t="shared" si="128"/>
        <v>0</v>
      </c>
      <c r="AX210" s="1027">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027">
        <f t="shared" si="127"/>
        <v>0</v>
      </c>
      <c r="AW211" s="1027">
        <f t="shared" si="128"/>
        <v>0</v>
      </c>
      <c r="AX211" s="1027">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027">
        <f t="shared" si="127"/>
        <v>0</v>
      </c>
      <c r="AW212" s="1027">
        <f t="shared" si="128"/>
        <v>0</v>
      </c>
      <c r="AX212" s="1027">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027">
        <f t="shared" si="127"/>
        <v>0</v>
      </c>
      <c r="AW213" s="1027">
        <f t="shared" si="128"/>
        <v>0</v>
      </c>
      <c r="AX213" s="1027">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027">
        <f t="shared" si="127"/>
        <v>0</v>
      </c>
      <c r="AW214" s="1027">
        <f t="shared" si="128"/>
        <v>0</v>
      </c>
      <c r="AX214" s="1027">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027">
        <f t="shared" si="127"/>
        <v>0</v>
      </c>
      <c r="AW215" s="1027">
        <f t="shared" si="128"/>
        <v>0</v>
      </c>
      <c r="AX215" s="1027">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027">
        <f t="shared" si="127"/>
        <v>0</v>
      </c>
      <c r="AW216" s="1027">
        <f t="shared" si="128"/>
        <v>0</v>
      </c>
      <c r="AX216" s="1027">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027">
        <f t="shared" si="127"/>
        <v>0</v>
      </c>
      <c r="AW217" s="1027">
        <f t="shared" si="128"/>
        <v>0</v>
      </c>
      <c r="AX217" s="1027">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027">
        <f t="shared" si="127"/>
        <v>0</v>
      </c>
      <c r="AW218" s="1027">
        <f t="shared" si="128"/>
        <v>0</v>
      </c>
      <c r="AX218" s="1027">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027">
        <f t="shared" si="127"/>
        <v>0</v>
      </c>
      <c r="AW219" s="1027">
        <f t="shared" si="128"/>
        <v>0</v>
      </c>
      <c r="AX219" s="1027">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027">
        <f t="shared" si="127"/>
        <v>0</v>
      </c>
      <c r="AW220" s="1027">
        <f t="shared" si="128"/>
        <v>0</v>
      </c>
      <c r="AX220" s="1027">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027">
        <f t="shared" si="127"/>
        <v>0</v>
      </c>
      <c r="AW221" s="1027">
        <f t="shared" si="128"/>
        <v>0</v>
      </c>
      <c r="AX221" s="1027">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027">
        <f t="shared" si="127"/>
        <v>0</v>
      </c>
      <c r="AW222" s="1027">
        <f t="shared" si="128"/>
        <v>0</v>
      </c>
      <c r="AX222" s="1027">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027">
        <f t="shared" si="127"/>
        <v>0</v>
      </c>
      <c r="AW223" s="1027">
        <f t="shared" si="128"/>
        <v>0</v>
      </c>
      <c r="AX223" s="1027">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027">
        <f t="shared" si="127"/>
        <v>0</v>
      </c>
      <c r="AW224" s="1027">
        <f t="shared" si="128"/>
        <v>0</v>
      </c>
      <c r="AX224" s="1027">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027">
        <f t="shared" si="127"/>
        <v>0</v>
      </c>
      <c r="AW225" s="1027">
        <f t="shared" si="128"/>
        <v>0</v>
      </c>
      <c r="AX225" s="1027">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027">
        <f t="shared" si="127"/>
        <v>0</v>
      </c>
      <c r="AW226" s="1027">
        <f t="shared" si="128"/>
        <v>0</v>
      </c>
      <c r="AX226" s="1027">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027">
        <f t="shared" si="127"/>
        <v>0</v>
      </c>
      <c r="AW227" s="1027">
        <f t="shared" si="128"/>
        <v>0</v>
      </c>
      <c r="AX227" s="1027">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027">
        <f t="shared" si="127"/>
        <v>0</v>
      </c>
      <c r="AW228" s="1027">
        <f t="shared" si="128"/>
        <v>0</v>
      </c>
      <c r="AX228" s="1027">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027">
        <f t="shared" si="127"/>
        <v>0</v>
      </c>
      <c r="AW229" s="1027">
        <f t="shared" si="128"/>
        <v>0</v>
      </c>
      <c r="AX229" s="1027">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027">
        <f t="shared" si="127"/>
        <v>0</v>
      </c>
      <c r="AW230" s="1027">
        <f t="shared" si="128"/>
        <v>0</v>
      </c>
      <c r="AX230" s="1027">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027">
        <f t="shared" si="127"/>
        <v>0</v>
      </c>
      <c r="AW231" s="1027">
        <f t="shared" si="128"/>
        <v>0</v>
      </c>
      <c r="AX231" s="1027">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027">
        <f t="shared" si="127"/>
        <v>0</v>
      </c>
      <c r="AW232" s="1027">
        <f t="shared" si="128"/>
        <v>0</v>
      </c>
      <c r="AX232" s="1027">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027">
        <f t="shared" si="127"/>
        <v>0</v>
      </c>
      <c r="AW233" s="1027">
        <f t="shared" si="128"/>
        <v>0</v>
      </c>
      <c r="AX233" s="1027">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027">
        <f t="shared" si="127"/>
        <v>0</v>
      </c>
      <c r="AW234" s="1027">
        <f t="shared" si="128"/>
        <v>0</v>
      </c>
      <c r="AX234" s="1027">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027">
        <f t="shared" si="127"/>
        <v>0</v>
      </c>
      <c r="AW235" s="1027">
        <f t="shared" si="128"/>
        <v>0</v>
      </c>
      <c r="AX235" s="1027">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027">
        <f t="shared" si="127"/>
        <v>0</v>
      </c>
      <c r="AW236" s="1027">
        <f t="shared" si="128"/>
        <v>0</v>
      </c>
      <c r="AX236" s="1027">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027">
        <f t="shared" si="127"/>
        <v>0</v>
      </c>
      <c r="AW237" s="1027">
        <f t="shared" si="128"/>
        <v>0</v>
      </c>
      <c r="AX237" s="1027">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027">
        <f t="shared" si="127"/>
        <v>0</v>
      </c>
      <c r="AW238" s="1027">
        <f t="shared" si="128"/>
        <v>0</v>
      </c>
      <c r="AX238" s="1027">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027">
        <f t="shared" si="127"/>
        <v>0</v>
      </c>
      <c r="AW239" s="1027">
        <f t="shared" si="128"/>
        <v>0</v>
      </c>
      <c r="AX239" s="1027">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027">
        <f t="shared" si="127"/>
        <v>0</v>
      </c>
      <c r="AW240" s="1027">
        <f t="shared" si="128"/>
        <v>0</v>
      </c>
      <c r="AX240" s="1027">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027">
        <f t="shared" si="127"/>
        <v>0</v>
      </c>
      <c r="AW241" s="1027">
        <f t="shared" si="128"/>
        <v>0</v>
      </c>
      <c r="AX241" s="1027">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027">
        <f t="shared" si="127"/>
        <v>0</v>
      </c>
      <c r="AW242" s="1027">
        <f t="shared" si="128"/>
        <v>0</v>
      </c>
      <c r="AX242" s="1027">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027">
        <f t="shared" si="127"/>
        <v>0</v>
      </c>
      <c r="AW243" s="1027">
        <f t="shared" si="128"/>
        <v>0</v>
      </c>
      <c r="AX243" s="1027">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027">
        <f t="shared" si="127"/>
        <v>0</v>
      </c>
      <c r="AW244" s="1027">
        <f t="shared" si="128"/>
        <v>0</v>
      </c>
      <c r="AX244" s="1027">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027">
        <f t="shared" si="127"/>
        <v>0</v>
      </c>
      <c r="AW245" s="1027">
        <f t="shared" si="128"/>
        <v>0</v>
      </c>
      <c r="AX245" s="1027">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027">
        <f t="shared" si="127"/>
        <v>0</v>
      </c>
      <c r="AW246" s="1027">
        <f t="shared" si="128"/>
        <v>0</v>
      </c>
      <c r="AX246" s="1027">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027">
        <f t="shared" si="127"/>
        <v>0</v>
      </c>
      <c r="AW247" s="1027">
        <f t="shared" si="128"/>
        <v>0</v>
      </c>
      <c r="AX247" s="1027">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027">
        <f t="shared" si="127"/>
        <v>0</v>
      </c>
      <c r="AW248" s="1027">
        <f t="shared" si="128"/>
        <v>0</v>
      </c>
      <c r="AX248" s="1027">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027">
        <f t="shared" si="127"/>
        <v>0</v>
      </c>
      <c r="AW249" s="1027">
        <f t="shared" si="128"/>
        <v>0</v>
      </c>
      <c r="AX249" s="1027">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027">
        <f t="shared" si="127"/>
        <v>0</v>
      </c>
      <c r="AW250" s="1027">
        <f t="shared" si="128"/>
        <v>0</v>
      </c>
      <c r="AX250" s="1027">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027">
        <f t="shared" si="127"/>
        <v>0</v>
      </c>
      <c r="AW251" s="1027">
        <f t="shared" si="128"/>
        <v>0</v>
      </c>
      <c r="AX251" s="1027">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027">
        <f t="shared" si="127"/>
        <v>0</v>
      </c>
      <c r="AW252" s="1027">
        <f t="shared" si="128"/>
        <v>0</v>
      </c>
      <c r="AX252" s="1027">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027">
        <f t="shared" si="127"/>
        <v>0</v>
      </c>
      <c r="AW253" s="1027">
        <f t="shared" si="128"/>
        <v>0</v>
      </c>
      <c r="AX253" s="1027">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027">
        <f t="shared" si="127"/>
        <v>0</v>
      </c>
      <c r="AW254" s="1027">
        <f t="shared" si="128"/>
        <v>0</v>
      </c>
      <c r="AX254" s="1027">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027">
        <f t="shared" si="127"/>
        <v>0</v>
      </c>
      <c r="AW255" s="1027">
        <f t="shared" si="128"/>
        <v>0</v>
      </c>
      <c r="AX255" s="1027">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027">
        <f t="shared" si="127"/>
        <v>0</v>
      </c>
      <c r="AW256" s="1027">
        <f t="shared" si="128"/>
        <v>0</v>
      </c>
      <c r="AX256" s="1027">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027">
        <f t="shared" si="127"/>
        <v>0</v>
      </c>
      <c r="AW257" s="1027">
        <f t="shared" si="128"/>
        <v>0</v>
      </c>
      <c r="AX257" s="1027">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027">
        <f t="shared" si="127"/>
        <v>0</v>
      </c>
      <c r="AW258" s="1027">
        <f t="shared" si="128"/>
        <v>0</v>
      </c>
      <c r="AX258" s="1027">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027">
        <f t="shared" si="127"/>
        <v>0</v>
      </c>
      <c r="AW259" s="1027">
        <f t="shared" si="128"/>
        <v>0</v>
      </c>
      <c r="AX259" s="1027">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027">
        <f t="shared" si="127"/>
        <v>0</v>
      </c>
      <c r="AW260" s="1027">
        <f t="shared" si="128"/>
        <v>0</v>
      </c>
      <c r="AX260" s="1027">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027">
        <f t="shared" si="127"/>
        <v>0</v>
      </c>
      <c r="AW261" s="1027">
        <f t="shared" si="128"/>
        <v>0</v>
      </c>
      <c r="AX261" s="1027">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027">
        <f t="shared" si="127"/>
        <v>0</v>
      </c>
      <c r="AW262" s="1027">
        <f t="shared" si="128"/>
        <v>0</v>
      </c>
      <c r="AX262" s="1027">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027">
        <f t="shared" si="127"/>
        <v>0</v>
      </c>
      <c r="AW263" s="1027">
        <f t="shared" si="128"/>
        <v>0</v>
      </c>
      <c r="AX263" s="1027">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027">
        <f t="shared" si="127"/>
        <v>0</v>
      </c>
      <c r="AW264" s="1027">
        <f t="shared" si="128"/>
        <v>0</v>
      </c>
      <c r="AX264" s="1027">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027">
        <f t="shared" si="127"/>
        <v>0</v>
      </c>
      <c r="AW265" s="1027">
        <f t="shared" si="128"/>
        <v>0</v>
      </c>
      <c r="AX265" s="1027">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027">
        <f t="shared" si="127"/>
        <v>0</v>
      </c>
      <c r="AW266" s="1027">
        <f t="shared" si="128"/>
        <v>0</v>
      </c>
      <c r="AX266" s="1027">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027">
        <f t="shared" si="127"/>
        <v>0</v>
      </c>
      <c r="AW267" s="1027">
        <f t="shared" si="128"/>
        <v>0</v>
      </c>
      <c r="AX267" s="1027">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027">
        <f t="shared" si="127"/>
        <v>0</v>
      </c>
      <c r="AW268" s="1027">
        <f t="shared" si="128"/>
        <v>0</v>
      </c>
      <c r="AX268" s="1027">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027">
        <f t="shared" si="127"/>
        <v>0</v>
      </c>
      <c r="AW269" s="1027">
        <f t="shared" si="128"/>
        <v>0</v>
      </c>
      <c r="AX269" s="1027">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027">
        <f t="shared" si="127"/>
        <v>0</v>
      </c>
      <c r="AW270" s="1027">
        <f t="shared" si="128"/>
        <v>0</v>
      </c>
      <c r="AX270" s="1027">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027">
        <f t="shared" si="127"/>
        <v>0</v>
      </c>
      <c r="AW271" s="1027">
        <f t="shared" si="128"/>
        <v>0</v>
      </c>
      <c r="AX271" s="1027">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027">
        <f t="shared" si="127"/>
        <v>0</v>
      </c>
      <c r="AW272" s="1027">
        <f t="shared" si="128"/>
        <v>0</v>
      </c>
      <c r="AX272" s="1027">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027">
        <f t="shared" si="127"/>
        <v>0</v>
      </c>
      <c r="AW273" s="1027">
        <f t="shared" si="128"/>
        <v>0</v>
      </c>
      <c r="AX273" s="1027">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027">
        <f t="shared" si="127"/>
        <v>0</v>
      </c>
      <c r="AW274" s="1027">
        <f t="shared" si="128"/>
        <v>0</v>
      </c>
      <c r="AX274" s="1027">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027">
        <f t="shared" si="127"/>
        <v>0</v>
      </c>
      <c r="AW275" s="1027">
        <f t="shared" si="128"/>
        <v>0</v>
      </c>
      <c r="AX275" s="1027">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027">
        <f t="shared" si="127"/>
        <v>0</v>
      </c>
      <c r="AW276" s="1027">
        <f t="shared" si="128"/>
        <v>0</v>
      </c>
      <c r="AX276" s="1027">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027">
        <f t="shared" si="127"/>
        <v>0</v>
      </c>
      <c r="AW277" s="1027">
        <f t="shared" si="128"/>
        <v>0</v>
      </c>
      <c r="AX277" s="1027">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027">
        <f t="shared" si="127"/>
        <v>0</v>
      </c>
      <c r="AW278" s="1027">
        <f t="shared" si="128"/>
        <v>0</v>
      </c>
      <c r="AX278" s="1027">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027">
        <f t="shared" si="127"/>
        <v>0</v>
      </c>
      <c r="AW279" s="1027">
        <f t="shared" si="128"/>
        <v>0</v>
      </c>
      <c r="AX279" s="1027">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027">
        <f t="shared" si="127"/>
        <v>0</v>
      </c>
      <c r="AW280" s="1027">
        <f t="shared" si="128"/>
        <v>0</v>
      </c>
      <c r="AX280" s="1027">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027">
        <f t="shared" si="127"/>
        <v>0</v>
      </c>
      <c r="AW281" s="1027">
        <f t="shared" si="128"/>
        <v>0</v>
      </c>
      <c r="AX281" s="1027">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027">
        <f t="shared" si="127"/>
        <v>0</v>
      </c>
      <c r="AW282" s="1027">
        <f t="shared" si="128"/>
        <v>0</v>
      </c>
      <c r="AX282" s="1027">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027">
        <f t="shared" si="127"/>
        <v>0</v>
      </c>
      <c r="AW283" s="1027">
        <f t="shared" si="128"/>
        <v>0</v>
      </c>
      <c r="AX283" s="1027">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027">
        <f t="shared" si="127"/>
        <v>0</v>
      </c>
      <c r="AW284" s="1027">
        <f t="shared" si="128"/>
        <v>0</v>
      </c>
      <c r="AX284" s="1027">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027">
        <f t="shared" si="127"/>
        <v>0</v>
      </c>
      <c r="AW285" s="1027">
        <f t="shared" si="128"/>
        <v>0</v>
      </c>
      <c r="AX285" s="1027">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027">
        <f t="shared" si="127"/>
        <v>0</v>
      </c>
      <c r="AW286" s="1027">
        <f t="shared" si="128"/>
        <v>0</v>
      </c>
      <c r="AX286" s="1027">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027">
        <f t="shared" si="127"/>
        <v>0</v>
      </c>
      <c r="AW287" s="1027">
        <f t="shared" si="128"/>
        <v>0</v>
      </c>
      <c r="AX287" s="1027">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027">
        <f t="shared" si="127"/>
        <v>0</v>
      </c>
      <c r="AW288" s="1027">
        <f t="shared" si="128"/>
        <v>0</v>
      </c>
      <c r="AX288" s="1027">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027">
        <f t="shared" si="127"/>
        <v>0</v>
      </c>
      <c r="AW289" s="1027">
        <f t="shared" si="128"/>
        <v>0</v>
      </c>
      <c r="AX289" s="1027">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027">
        <f t="shared" si="127"/>
        <v>0</v>
      </c>
      <c r="AW290" s="1027">
        <f t="shared" si="128"/>
        <v>0</v>
      </c>
      <c r="AX290" s="1027">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027">
        <f t="shared" si="127"/>
        <v>0</v>
      </c>
      <c r="AW291" s="1027">
        <f t="shared" si="128"/>
        <v>0</v>
      </c>
      <c r="AX291" s="1027">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027">
        <f t="shared" si="127"/>
        <v>0</v>
      </c>
      <c r="AW292" s="1027">
        <f t="shared" si="128"/>
        <v>0</v>
      </c>
      <c r="AX292" s="1027">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027">
        <f t="shared" si="127"/>
        <v>0</v>
      </c>
      <c r="AW293" s="1027">
        <f t="shared" si="128"/>
        <v>0</v>
      </c>
      <c r="AX293" s="1027">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027">
        <f t="shared" si="127"/>
        <v>0</v>
      </c>
      <c r="AW294" s="1027">
        <f t="shared" si="128"/>
        <v>0</v>
      </c>
      <c r="AX294" s="1027">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027">
        <f t="shared" si="127"/>
        <v>0</v>
      </c>
      <c r="AW295" s="1027">
        <f t="shared" si="128"/>
        <v>0</v>
      </c>
      <c r="AX295" s="1027">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027">
        <f t="shared" si="127"/>
        <v>0</v>
      </c>
      <c r="AW296" s="1027">
        <f t="shared" si="128"/>
        <v>0</v>
      </c>
      <c r="AX296" s="1027">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027">
        <f t="shared" si="127"/>
        <v>0</v>
      </c>
      <c r="AW297" s="1027">
        <f t="shared" si="128"/>
        <v>0</v>
      </c>
      <c r="AX297" s="1027">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027">
        <f t="shared" si="127"/>
        <v>0</v>
      </c>
      <c r="AW298" s="1027">
        <f t="shared" si="128"/>
        <v>0</v>
      </c>
      <c r="AX298" s="1027">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027">
        <f t="shared" si="127"/>
        <v>0</v>
      </c>
      <c r="AW299" s="1027">
        <f t="shared" si="128"/>
        <v>0</v>
      </c>
      <c r="AX299" s="1027">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027">
        <f t="shared" si="127"/>
        <v>0</v>
      </c>
      <c r="AW300" s="1027">
        <f t="shared" si="128"/>
        <v>0</v>
      </c>
      <c r="AX300" s="1027">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027">
        <f t="shared" si="127"/>
        <v>0</v>
      </c>
      <c r="AW301" s="1027">
        <f t="shared" si="128"/>
        <v>0</v>
      </c>
      <c r="AX301" s="1027">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027">
        <f t="shared" si="127"/>
        <v>0</v>
      </c>
      <c r="AW302" s="1027">
        <f t="shared" si="128"/>
        <v>0</v>
      </c>
      <c r="AX302" s="1027">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027">
        <f t="shared" ref="AV303:AV334" si="178">A303</f>
        <v>0</v>
      </c>
      <c r="AW303" s="1027">
        <f t="shared" ref="AW303:AW334" si="179">B303</f>
        <v>0</v>
      </c>
      <c r="AX303" s="1027">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027">
        <f t="shared" si="178"/>
        <v>0</v>
      </c>
      <c r="AW304" s="1027">
        <f t="shared" si="179"/>
        <v>0</v>
      </c>
      <c r="AX304" s="1027">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027">
        <f t="shared" si="178"/>
        <v>0</v>
      </c>
      <c r="AW305" s="1027">
        <f t="shared" si="179"/>
        <v>0</v>
      </c>
      <c r="AX305" s="1027">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027">
        <f t="shared" si="178"/>
        <v>0</v>
      </c>
      <c r="AW306" s="1027">
        <f t="shared" si="179"/>
        <v>0</v>
      </c>
      <c r="AX306" s="1027">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027">
        <f t="shared" si="178"/>
        <v>0</v>
      </c>
      <c r="AW307" s="1027">
        <f t="shared" si="179"/>
        <v>0</v>
      </c>
      <c r="AX307" s="1027">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027">
        <f t="shared" si="178"/>
        <v>0</v>
      </c>
      <c r="AW308" s="1027">
        <f t="shared" si="179"/>
        <v>0</v>
      </c>
      <c r="AX308" s="1027">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027">
        <f t="shared" si="178"/>
        <v>0</v>
      </c>
      <c r="AW309" s="1027">
        <f t="shared" si="179"/>
        <v>0</v>
      </c>
      <c r="AX309" s="1027">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027">
        <f t="shared" si="178"/>
        <v>0</v>
      </c>
      <c r="AW310" s="1027">
        <f t="shared" si="179"/>
        <v>0</v>
      </c>
      <c r="AX310" s="1027">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027">
        <f t="shared" si="178"/>
        <v>0</v>
      </c>
      <c r="AW311" s="1027">
        <f t="shared" si="179"/>
        <v>0</v>
      </c>
      <c r="AX311" s="1027">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027">
        <f t="shared" si="178"/>
        <v>0</v>
      </c>
      <c r="AW312" s="1027">
        <f t="shared" si="179"/>
        <v>0</v>
      </c>
      <c r="AX312" s="1027">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027">
        <f t="shared" si="178"/>
        <v>0</v>
      </c>
      <c r="AW313" s="1027">
        <f t="shared" si="179"/>
        <v>0</v>
      </c>
      <c r="AX313" s="1027">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027">
        <f t="shared" si="178"/>
        <v>0</v>
      </c>
      <c r="AW314" s="1027">
        <f t="shared" si="179"/>
        <v>0</v>
      </c>
      <c r="AX314" s="1027">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027">
        <f t="shared" si="178"/>
        <v>0</v>
      </c>
      <c r="AW315" s="1027">
        <f t="shared" si="179"/>
        <v>0</v>
      </c>
      <c r="AX315" s="1027">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027">
        <f t="shared" si="178"/>
        <v>0</v>
      </c>
      <c r="AW316" s="1027">
        <f t="shared" si="179"/>
        <v>0</v>
      </c>
      <c r="AX316" s="1027">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027">
        <f t="shared" si="178"/>
        <v>0</v>
      </c>
      <c r="AW317" s="1027">
        <f t="shared" si="179"/>
        <v>0</v>
      </c>
      <c r="AX317" s="1027">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027">
        <f t="shared" si="178"/>
        <v>0</v>
      </c>
      <c r="AW318" s="1027">
        <f t="shared" si="179"/>
        <v>0</v>
      </c>
      <c r="AX318" s="1027">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027">
        <f t="shared" si="178"/>
        <v>0</v>
      </c>
      <c r="AW319" s="1027">
        <f t="shared" si="179"/>
        <v>0</v>
      </c>
      <c r="AX319" s="1027">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027">
        <f t="shared" si="178"/>
        <v>0</v>
      </c>
      <c r="AW320" s="1027">
        <f t="shared" si="179"/>
        <v>0</v>
      </c>
      <c r="AX320" s="1027">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027">
        <f t="shared" si="178"/>
        <v>0</v>
      </c>
      <c r="AW321" s="1027">
        <f t="shared" si="179"/>
        <v>0</v>
      </c>
      <c r="AX321" s="1027">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027">
        <f t="shared" si="178"/>
        <v>0</v>
      </c>
      <c r="AW322" s="1027">
        <f t="shared" si="179"/>
        <v>0</v>
      </c>
      <c r="AX322" s="1027">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027">
        <f t="shared" si="178"/>
        <v>0</v>
      </c>
      <c r="AW323" s="1027">
        <f t="shared" si="179"/>
        <v>0</v>
      </c>
      <c r="AX323" s="1027">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027">
        <f t="shared" si="178"/>
        <v>0</v>
      </c>
      <c r="AW324" s="1027">
        <f t="shared" si="179"/>
        <v>0</v>
      </c>
      <c r="AX324" s="1027">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027">
        <f t="shared" si="178"/>
        <v>0</v>
      </c>
      <c r="AW325" s="1027">
        <f t="shared" si="179"/>
        <v>0</v>
      </c>
      <c r="AX325" s="1027">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027">
        <f t="shared" si="178"/>
        <v>0</v>
      </c>
      <c r="AW326" s="1027">
        <f t="shared" si="179"/>
        <v>0</v>
      </c>
      <c r="AX326" s="1027">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027">
        <f t="shared" si="178"/>
        <v>0</v>
      </c>
      <c r="AW327" s="1027">
        <f t="shared" si="179"/>
        <v>0</v>
      </c>
      <c r="AX327" s="1027">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027">
        <f t="shared" si="178"/>
        <v>0</v>
      </c>
      <c r="AW328" s="1027">
        <f t="shared" si="179"/>
        <v>0</v>
      </c>
      <c r="AX328" s="1027">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027">
        <f t="shared" si="178"/>
        <v>0</v>
      </c>
      <c r="AW329" s="1027">
        <f t="shared" si="179"/>
        <v>0</v>
      </c>
      <c r="AX329" s="1027">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027">
        <f t="shared" si="178"/>
        <v>0</v>
      </c>
      <c r="AW330" s="1027">
        <f t="shared" si="179"/>
        <v>0</v>
      </c>
      <c r="AX330" s="1027">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027">
        <f t="shared" si="178"/>
        <v>0</v>
      </c>
      <c r="AW331" s="1027">
        <f t="shared" si="179"/>
        <v>0</v>
      </c>
      <c r="AX331" s="1027">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027">
        <f t="shared" si="178"/>
        <v>0</v>
      </c>
      <c r="AW332" s="1027">
        <f t="shared" si="179"/>
        <v>0</v>
      </c>
      <c r="AX332" s="1027">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027">
        <f t="shared" si="178"/>
        <v>0</v>
      </c>
      <c r="AW333" s="1027">
        <f t="shared" si="179"/>
        <v>0</v>
      </c>
      <c r="AX333" s="1027">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027">
        <f t="shared" si="178"/>
        <v>0</v>
      </c>
      <c r="AW334" s="1027">
        <f t="shared" si="179"/>
        <v>0</v>
      </c>
      <c r="AX334" s="1027">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027">
        <f t="shared" ref="AV335:AV366" si="207">A335</f>
        <v>0</v>
      </c>
      <c r="AW335" s="1027">
        <f t="shared" ref="AW335:AW366" si="208">B335</f>
        <v>0</v>
      </c>
      <c r="AX335" s="1027">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027">
        <f t="shared" si="207"/>
        <v>0</v>
      </c>
      <c r="AW336" s="1027">
        <f t="shared" si="208"/>
        <v>0</v>
      </c>
      <c r="AX336" s="1027">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027">
        <f t="shared" si="207"/>
        <v>0</v>
      </c>
      <c r="AW337" s="1027">
        <f t="shared" si="208"/>
        <v>0</v>
      </c>
      <c r="AX337" s="1027">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027">
        <f t="shared" si="207"/>
        <v>0</v>
      </c>
      <c r="AW338" s="1027">
        <f t="shared" si="208"/>
        <v>0</v>
      </c>
      <c r="AX338" s="1027">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027">
        <f t="shared" si="207"/>
        <v>0</v>
      </c>
      <c r="AW339" s="1027">
        <f t="shared" si="208"/>
        <v>0</v>
      </c>
      <c r="AX339" s="1027">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027">
        <f t="shared" si="207"/>
        <v>0</v>
      </c>
      <c r="AW340" s="1027">
        <f t="shared" si="208"/>
        <v>0</v>
      </c>
      <c r="AX340" s="1027">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027">
        <f t="shared" si="207"/>
        <v>0</v>
      </c>
      <c r="AW341" s="1027">
        <f t="shared" si="208"/>
        <v>0</v>
      </c>
      <c r="AX341" s="1027">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027">
        <f t="shared" si="207"/>
        <v>0</v>
      </c>
      <c r="AW342" s="1027">
        <f t="shared" si="208"/>
        <v>0</v>
      </c>
      <c r="AX342" s="1027">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027">
        <f t="shared" si="207"/>
        <v>0</v>
      </c>
      <c r="AW343" s="1027">
        <f t="shared" si="208"/>
        <v>0</v>
      </c>
      <c r="AX343" s="1027">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027">
        <f t="shared" si="207"/>
        <v>0</v>
      </c>
      <c r="AW344" s="1027">
        <f t="shared" si="208"/>
        <v>0</v>
      </c>
      <c r="AX344" s="1027">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027">
        <f t="shared" si="207"/>
        <v>0</v>
      </c>
      <c r="AW345" s="1027">
        <f t="shared" si="208"/>
        <v>0</v>
      </c>
      <c r="AX345" s="1027">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027">
        <f t="shared" si="207"/>
        <v>0</v>
      </c>
      <c r="AW346" s="1027">
        <f t="shared" si="208"/>
        <v>0</v>
      </c>
      <c r="AX346" s="1027">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027">
        <f t="shared" si="207"/>
        <v>0</v>
      </c>
      <c r="AW347" s="1027">
        <f t="shared" si="208"/>
        <v>0</v>
      </c>
      <c r="AX347" s="1027">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027">
        <f t="shared" si="207"/>
        <v>0</v>
      </c>
      <c r="AW348" s="1027">
        <f t="shared" si="208"/>
        <v>0</v>
      </c>
      <c r="AX348" s="1027">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027">
        <f t="shared" si="207"/>
        <v>0</v>
      </c>
      <c r="AW349" s="1027">
        <f t="shared" si="208"/>
        <v>0</v>
      </c>
      <c r="AX349" s="1027">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027">
        <f t="shared" si="207"/>
        <v>0</v>
      </c>
      <c r="AW350" s="1027">
        <f t="shared" si="208"/>
        <v>0</v>
      </c>
      <c r="AX350" s="1027">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027">
        <f t="shared" si="207"/>
        <v>0</v>
      </c>
      <c r="AW351" s="1027">
        <f t="shared" si="208"/>
        <v>0</v>
      </c>
      <c r="AX351" s="1027">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027">
        <f t="shared" si="207"/>
        <v>0</v>
      </c>
      <c r="AW352" s="1027">
        <f t="shared" si="208"/>
        <v>0</v>
      </c>
      <c r="AX352" s="1027">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027">
        <f t="shared" si="207"/>
        <v>0</v>
      </c>
      <c r="AW353" s="1027">
        <f t="shared" si="208"/>
        <v>0</v>
      </c>
      <c r="AX353" s="1027">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027">
        <f t="shared" si="207"/>
        <v>0</v>
      </c>
      <c r="AW354" s="1027">
        <f t="shared" si="208"/>
        <v>0</v>
      </c>
      <c r="AX354" s="1027">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027">
        <f t="shared" si="207"/>
        <v>0</v>
      </c>
      <c r="AW355" s="1027">
        <f t="shared" si="208"/>
        <v>0</v>
      </c>
      <c r="AX355" s="1027">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027">
        <f t="shared" si="207"/>
        <v>0</v>
      </c>
      <c r="AW356" s="1027">
        <f t="shared" si="208"/>
        <v>0</v>
      </c>
      <c r="AX356" s="1027">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027">
        <f t="shared" si="207"/>
        <v>0</v>
      </c>
      <c r="AW357" s="1027">
        <f t="shared" si="208"/>
        <v>0</v>
      </c>
      <c r="AX357" s="1027">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027">
        <f t="shared" si="207"/>
        <v>0</v>
      </c>
      <c r="AW358" s="1027">
        <f t="shared" si="208"/>
        <v>0</v>
      </c>
      <c r="AX358" s="1027">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027">
        <f t="shared" si="207"/>
        <v>0</v>
      </c>
      <c r="AW359" s="1027">
        <f t="shared" si="208"/>
        <v>0</v>
      </c>
      <c r="AX359" s="1027">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027">
        <f t="shared" si="207"/>
        <v>0</v>
      </c>
      <c r="AW360" s="1027">
        <f t="shared" si="208"/>
        <v>0</v>
      </c>
      <c r="AX360" s="1027">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027">
        <f t="shared" si="207"/>
        <v>0</v>
      </c>
      <c r="AW361" s="1027">
        <f t="shared" si="208"/>
        <v>0</v>
      </c>
      <c r="AX361" s="1027">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027">
        <f t="shared" si="207"/>
        <v>0</v>
      </c>
      <c r="AW362" s="1027">
        <f t="shared" si="208"/>
        <v>0</v>
      </c>
      <c r="AX362" s="1027">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027">
        <f t="shared" si="207"/>
        <v>0</v>
      </c>
      <c r="AW363" s="1027">
        <f t="shared" si="208"/>
        <v>0</v>
      </c>
      <c r="AX363" s="1027">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027">
        <f t="shared" si="207"/>
        <v>0</v>
      </c>
      <c r="AW364" s="1027">
        <f t="shared" si="208"/>
        <v>0</v>
      </c>
      <c r="AX364" s="1027">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027">
        <f t="shared" si="207"/>
        <v>0</v>
      </c>
      <c r="AW365" s="1027">
        <f t="shared" si="208"/>
        <v>0</v>
      </c>
      <c r="AX365" s="1027">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027">
        <f t="shared" si="207"/>
        <v>0</v>
      </c>
      <c r="AW366" s="1027">
        <f t="shared" si="208"/>
        <v>0</v>
      </c>
      <c r="AX366" s="1027">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027">
        <f t="shared" ref="AV367:AV397" si="236">A367</f>
        <v>0</v>
      </c>
      <c r="AW367" s="1027">
        <f t="shared" ref="AW367:AW397" si="237">B367</f>
        <v>0</v>
      </c>
      <c r="AX367" s="1027">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027">
        <f t="shared" si="236"/>
        <v>0</v>
      </c>
      <c r="AW368" s="1027">
        <f t="shared" si="237"/>
        <v>0</v>
      </c>
      <c r="AX368" s="1027">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027">
        <f t="shared" si="236"/>
        <v>0</v>
      </c>
      <c r="AW369" s="1027">
        <f t="shared" si="237"/>
        <v>0</v>
      </c>
      <c r="AX369" s="1027">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027">
        <f t="shared" si="236"/>
        <v>0</v>
      </c>
      <c r="AW370" s="1027">
        <f t="shared" si="237"/>
        <v>0</v>
      </c>
      <c r="AX370" s="1027">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027">
        <f t="shared" si="236"/>
        <v>0</v>
      </c>
      <c r="AW371" s="1027">
        <f t="shared" si="237"/>
        <v>0</v>
      </c>
      <c r="AX371" s="1027">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027">
        <f t="shared" si="236"/>
        <v>0</v>
      </c>
      <c r="AW372" s="1027">
        <f t="shared" si="237"/>
        <v>0</v>
      </c>
      <c r="AX372" s="1027">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027">
        <f t="shared" si="236"/>
        <v>0</v>
      </c>
      <c r="AW373" s="1027">
        <f t="shared" si="237"/>
        <v>0</v>
      </c>
      <c r="AX373" s="1027">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027">
        <f t="shared" si="236"/>
        <v>0</v>
      </c>
      <c r="AW374" s="1027">
        <f t="shared" si="237"/>
        <v>0</v>
      </c>
      <c r="AX374" s="1027">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027">
        <f t="shared" si="236"/>
        <v>0</v>
      </c>
      <c r="AW375" s="1027">
        <f t="shared" si="237"/>
        <v>0</v>
      </c>
      <c r="AX375" s="1027">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027">
        <f t="shared" si="236"/>
        <v>0</v>
      </c>
      <c r="AW376" s="1027">
        <f t="shared" si="237"/>
        <v>0</v>
      </c>
      <c r="AX376" s="1027">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027">
        <f t="shared" si="236"/>
        <v>0</v>
      </c>
      <c r="AW377" s="1027">
        <f t="shared" si="237"/>
        <v>0</v>
      </c>
      <c r="AX377" s="1027">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027">
        <f t="shared" si="236"/>
        <v>0</v>
      </c>
      <c r="AW378" s="1027">
        <f t="shared" si="237"/>
        <v>0</v>
      </c>
      <c r="AX378" s="1027">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027">
        <f t="shared" si="236"/>
        <v>0</v>
      </c>
      <c r="AW379" s="1027">
        <f t="shared" si="237"/>
        <v>0</v>
      </c>
      <c r="AX379" s="1027">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027">
        <f t="shared" si="236"/>
        <v>0</v>
      </c>
      <c r="AW380" s="1027">
        <f t="shared" si="237"/>
        <v>0</v>
      </c>
      <c r="AX380" s="1027">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027">
        <f t="shared" si="236"/>
        <v>0</v>
      </c>
      <c r="AW381" s="1027">
        <f t="shared" si="237"/>
        <v>0</v>
      </c>
      <c r="AX381" s="1027">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027">
        <f t="shared" si="236"/>
        <v>0</v>
      </c>
      <c r="AW382" s="1027">
        <f t="shared" si="237"/>
        <v>0</v>
      </c>
      <c r="AX382" s="1027">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027">
        <f t="shared" si="236"/>
        <v>0</v>
      </c>
      <c r="AW383" s="1027">
        <f t="shared" si="237"/>
        <v>0</v>
      </c>
      <c r="AX383" s="1027">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027">
        <f t="shared" si="236"/>
        <v>0</v>
      </c>
      <c r="AW384" s="1027">
        <f t="shared" si="237"/>
        <v>0</v>
      </c>
      <c r="AX384" s="1027">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027">
        <f t="shared" si="236"/>
        <v>0</v>
      </c>
      <c r="AW385" s="1027">
        <f t="shared" si="237"/>
        <v>0</v>
      </c>
      <c r="AX385" s="1027">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027">
        <f t="shared" si="236"/>
        <v>0</v>
      </c>
      <c r="AW386" s="1027">
        <f t="shared" si="237"/>
        <v>0</v>
      </c>
      <c r="AX386" s="1027">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027">
        <f t="shared" si="236"/>
        <v>0</v>
      </c>
      <c r="AW387" s="1027">
        <f t="shared" si="237"/>
        <v>0</v>
      </c>
      <c r="AX387" s="1027">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027">
        <f t="shared" si="236"/>
        <v>0</v>
      </c>
      <c r="AW388" s="1027">
        <f t="shared" si="237"/>
        <v>0</v>
      </c>
      <c r="AX388" s="1027">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027">
        <f t="shared" si="236"/>
        <v>0</v>
      </c>
      <c r="AW389" s="1027">
        <f t="shared" si="237"/>
        <v>0</v>
      </c>
      <c r="AX389" s="1027">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027">
        <f t="shared" si="236"/>
        <v>0</v>
      </c>
      <c r="AW390" s="1027">
        <f t="shared" si="237"/>
        <v>0</v>
      </c>
      <c r="AX390" s="1027">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027">
        <f t="shared" si="236"/>
        <v>0</v>
      </c>
      <c r="AW391" s="1027">
        <f t="shared" si="237"/>
        <v>0</v>
      </c>
      <c r="AX391" s="1027">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027">
        <f t="shared" si="236"/>
        <v>0</v>
      </c>
      <c r="AW392" s="1027">
        <f t="shared" si="237"/>
        <v>0</v>
      </c>
      <c r="AX392" s="1027">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027">
        <f t="shared" si="236"/>
        <v>0</v>
      </c>
      <c r="AW393" s="1027">
        <f t="shared" si="237"/>
        <v>0</v>
      </c>
      <c r="AX393" s="1027">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027">
        <f t="shared" si="236"/>
        <v>0</v>
      </c>
      <c r="AW394" s="1027">
        <f t="shared" si="237"/>
        <v>0</v>
      </c>
      <c r="AX394" s="1027">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027">
        <f t="shared" si="236"/>
        <v>0</v>
      </c>
      <c r="AW395" s="1027">
        <f t="shared" si="237"/>
        <v>0</v>
      </c>
      <c r="AX395" s="1027">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027">
        <f t="shared" si="236"/>
        <v>0</v>
      </c>
      <c r="AW396" s="1027">
        <f t="shared" si="237"/>
        <v>0</v>
      </c>
      <c r="AX396" s="1027">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027">
        <f t="shared" si="236"/>
        <v>0</v>
      </c>
      <c r="AW397" s="1027">
        <f t="shared" si="237"/>
        <v>0</v>
      </c>
      <c r="AX397" s="1027">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027">
        <f t="shared" ref="AV398:AV492" si="243">A398</f>
        <v>0</v>
      </c>
      <c r="AW398" s="1027">
        <f t="shared" ref="AW398:AW492" si="244">B398</f>
        <v>0</v>
      </c>
      <c r="AX398" s="1027">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027">
        <f t="shared" si="243"/>
        <v>0</v>
      </c>
      <c r="AW399" s="1027">
        <f t="shared" si="244"/>
        <v>0</v>
      </c>
      <c r="AX399" s="1027">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027">
        <f t="shared" si="243"/>
        <v>0</v>
      </c>
      <c r="AW400" s="1027">
        <f t="shared" si="244"/>
        <v>0</v>
      </c>
      <c r="AX400" s="1027">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027">
        <f t="shared" si="243"/>
        <v>0</v>
      </c>
      <c r="AW401" s="1027">
        <f t="shared" si="244"/>
        <v>0</v>
      </c>
      <c r="AX401" s="1027">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027">
        <f t="shared" si="243"/>
        <v>0</v>
      </c>
      <c r="AW402" s="1027">
        <f t="shared" si="244"/>
        <v>0</v>
      </c>
      <c r="AX402" s="1027">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027">
        <f t="shared" si="243"/>
        <v>0</v>
      </c>
      <c r="AW403" s="1027">
        <f t="shared" si="244"/>
        <v>0</v>
      </c>
      <c r="AX403" s="1027">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027">
        <f t="shared" si="243"/>
        <v>0</v>
      </c>
      <c r="AW404" s="1027">
        <f t="shared" si="244"/>
        <v>0</v>
      </c>
      <c r="AX404" s="1027">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027">
        <f t="shared" si="243"/>
        <v>0</v>
      </c>
      <c r="AW405" s="1027">
        <f t="shared" si="244"/>
        <v>0</v>
      </c>
      <c r="AX405" s="1027">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027">
        <f t="shared" si="243"/>
        <v>0</v>
      </c>
      <c r="AW406" s="1027">
        <f t="shared" si="244"/>
        <v>0</v>
      </c>
      <c r="AX406" s="1027">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027">
        <f t="shared" si="243"/>
        <v>0</v>
      </c>
      <c r="AW407" s="1027">
        <f t="shared" si="244"/>
        <v>0</v>
      </c>
      <c r="AX407" s="1027">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027">
        <f t="shared" si="243"/>
        <v>0</v>
      </c>
      <c r="AW408" s="1027">
        <f t="shared" si="244"/>
        <v>0</v>
      </c>
      <c r="AX408" s="1027">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027">
        <f t="shared" si="243"/>
        <v>0</v>
      </c>
      <c r="AW409" s="1027">
        <f t="shared" si="244"/>
        <v>0</v>
      </c>
      <c r="AX409" s="1027">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027">
        <f t="shared" si="243"/>
        <v>0</v>
      </c>
      <c r="AW410" s="1027">
        <f t="shared" si="244"/>
        <v>0</v>
      </c>
      <c r="AX410" s="1027">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027">
        <f t="shared" si="243"/>
        <v>0</v>
      </c>
      <c r="AW411" s="1027">
        <f t="shared" si="244"/>
        <v>0</v>
      </c>
      <c r="AX411" s="1027">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027">
        <f t="shared" si="243"/>
        <v>0</v>
      </c>
      <c r="AW412" s="1027">
        <f t="shared" si="244"/>
        <v>0</v>
      </c>
      <c r="AX412" s="1027">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027">
        <f t="shared" si="243"/>
        <v>0</v>
      </c>
      <c r="AW413" s="1027">
        <f t="shared" si="244"/>
        <v>0</v>
      </c>
      <c r="AX413" s="1027">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027">
        <f t="shared" si="243"/>
        <v>0</v>
      </c>
      <c r="AW414" s="1027">
        <f t="shared" si="244"/>
        <v>0</v>
      </c>
      <c r="AX414" s="1027">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027">
        <f t="shared" si="243"/>
        <v>0</v>
      </c>
      <c r="AW415" s="1027">
        <f t="shared" si="244"/>
        <v>0</v>
      </c>
      <c r="AX415" s="1027">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027">
        <f t="shared" si="243"/>
        <v>0</v>
      </c>
      <c r="AW416" s="1027">
        <f t="shared" si="244"/>
        <v>0</v>
      </c>
      <c r="AX416" s="1027">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027">
        <f t="shared" si="243"/>
        <v>0</v>
      </c>
      <c r="AW417" s="1027">
        <f t="shared" si="244"/>
        <v>0</v>
      </c>
      <c r="AX417" s="1027">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027">
        <f t="shared" si="243"/>
        <v>0</v>
      </c>
      <c r="AW418" s="1027">
        <f t="shared" si="244"/>
        <v>0</v>
      </c>
      <c r="AX418" s="1027">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027">
        <f t="shared" si="243"/>
        <v>0</v>
      </c>
      <c r="AW419" s="1027">
        <f t="shared" si="244"/>
        <v>0</v>
      </c>
      <c r="AX419" s="1027">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027">
        <f t="shared" si="243"/>
        <v>0</v>
      </c>
      <c r="AW420" s="1027">
        <f t="shared" si="244"/>
        <v>0</v>
      </c>
      <c r="AX420" s="1027">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027">
        <f t="shared" si="243"/>
        <v>0</v>
      </c>
      <c r="AW421" s="1027">
        <f t="shared" si="244"/>
        <v>0</v>
      </c>
      <c r="AX421" s="1027">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027">
        <f t="shared" si="243"/>
        <v>0</v>
      </c>
      <c r="AW422" s="1027">
        <f t="shared" si="244"/>
        <v>0</v>
      </c>
      <c r="AX422" s="1027">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027">
        <f t="shared" si="243"/>
        <v>0</v>
      </c>
      <c r="AW423" s="1027">
        <f t="shared" si="244"/>
        <v>0</v>
      </c>
      <c r="AX423" s="1027">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027">
        <f t="shared" si="243"/>
        <v>0</v>
      </c>
      <c r="AW424" s="1027">
        <f t="shared" si="244"/>
        <v>0</v>
      </c>
      <c r="AX424" s="1027">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027">
        <f t="shared" si="243"/>
        <v>0</v>
      </c>
      <c r="AW425" s="1027">
        <f t="shared" si="244"/>
        <v>0</v>
      </c>
      <c r="AX425" s="1027">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027">
        <f t="shared" si="243"/>
        <v>0</v>
      </c>
      <c r="AW426" s="1027">
        <f t="shared" si="244"/>
        <v>0</v>
      </c>
      <c r="AX426" s="1027">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027">
        <f t="shared" si="243"/>
        <v>0</v>
      </c>
      <c r="AW427" s="1027">
        <f t="shared" si="244"/>
        <v>0</v>
      </c>
      <c r="AX427" s="1027">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027">
        <f t="shared" si="243"/>
        <v>0</v>
      </c>
      <c r="AW428" s="1027">
        <f t="shared" si="244"/>
        <v>0</v>
      </c>
      <c r="AX428" s="1027">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027">
        <f t="shared" si="243"/>
        <v>0</v>
      </c>
      <c r="AW429" s="1027">
        <f t="shared" si="244"/>
        <v>0</v>
      </c>
      <c r="AX429" s="1027">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027">
        <f t="shared" si="243"/>
        <v>0</v>
      </c>
      <c r="AW430" s="1027">
        <f t="shared" si="244"/>
        <v>0</v>
      </c>
      <c r="AX430" s="1027">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027">
        <f t="shared" si="243"/>
        <v>0</v>
      </c>
      <c r="AW431" s="1027">
        <f t="shared" si="244"/>
        <v>0</v>
      </c>
      <c r="AX431" s="1027">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027">
        <f t="shared" si="243"/>
        <v>0</v>
      </c>
      <c r="AW432" s="1027">
        <f t="shared" si="244"/>
        <v>0</v>
      </c>
      <c r="AX432" s="1027">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027">
        <f t="shared" si="243"/>
        <v>0</v>
      </c>
      <c r="AW433" s="1027">
        <f t="shared" si="244"/>
        <v>0</v>
      </c>
      <c r="AX433" s="1027">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027">
        <f t="shared" si="243"/>
        <v>0</v>
      </c>
      <c r="AW434" s="1027">
        <f t="shared" si="244"/>
        <v>0</v>
      </c>
      <c r="AX434" s="1027">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027">
        <f t="shared" si="243"/>
        <v>0</v>
      </c>
      <c r="AW435" s="1027">
        <f t="shared" si="244"/>
        <v>0</v>
      </c>
      <c r="AX435" s="1027">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027">
        <f t="shared" si="243"/>
        <v>0</v>
      </c>
      <c r="AW436" s="1027">
        <f t="shared" si="244"/>
        <v>0</v>
      </c>
      <c r="AX436" s="1027">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027">
        <f t="shared" si="243"/>
        <v>0</v>
      </c>
      <c r="AW437" s="1027">
        <f t="shared" si="244"/>
        <v>0</v>
      </c>
      <c r="AX437" s="1027">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027">
        <f t="shared" si="243"/>
        <v>0</v>
      </c>
      <c r="AW438" s="1027">
        <f t="shared" si="244"/>
        <v>0</v>
      </c>
      <c r="AX438" s="1027">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027">
        <f t="shared" si="243"/>
        <v>0</v>
      </c>
      <c r="AW439" s="1027">
        <f t="shared" si="244"/>
        <v>0</v>
      </c>
      <c r="AX439" s="1027">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027">
        <f t="shared" si="243"/>
        <v>0</v>
      </c>
      <c r="AW440" s="1027">
        <f t="shared" si="244"/>
        <v>0</v>
      </c>
      <c r="AX440" s="1027">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027">
        <f t="shared" si="243"/>
        <v>0</v>
      </c>
      <c r="AW441" s="1027">
        <f t="shared" si="244"/>
        <v>0</v>
      </c>
      <c r="AX441" s="1027">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027">
        <f t="shared" si="243"/>
        <v>0</v>
      </c>
      <c r="AW442" s="1027">
        <f t="shared" si="244"/>
        <v>0</v>
      </c>
      <c r="AX442" s="1027">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027">
        <f t="shared" si="243"/>
        <v>0</v>
      </c>
      <c r="AW443" s="1027">
        <f t="shared" si="244"/>
        <v>0</v>
      </c>
      <c r="AX443" s="1027">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027">
        <f t="shared" si="243"/>
        <v>0</v>
      </c>
      <c r="AW444" s="1027">
        <f t="shared" si="244"/>
        <v>0</v>
      </c>
      <c r="AX444" s="1027">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027">
        <f t="shared" si="243"/>
        <v>0</v>
      </c>
      <c r="AW445" s="1027">
        <f t="shared" si="244"/>
        <v>0</v>
      </c>
      <c r="AX445" s="1027">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027">
        <f t="shared" si="243"/>
        <v>0</v>
      </c>
      <c r="AW446" s="1027">
        <f t="shared" si="244"/>
        <v>0</v>
      </c>
      <c r="AX446" s="1027">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027">
        <f t="shared" si="243"/>
        <v>0</v>
      </c>
      <c r="AW447" s="1027">
        <f t="shared" si="244"/>
        <v>0</v>
      </c>
      <c r="AX447" s="1027">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027">
        <f t="shared" si="243"/>
        <v>0</v>
      </c>
      <c r="AW448" s="1027">
        <f t="shared" si="244"/>
        <v>0</v>
      </c>
      <c r="AX448" s="1027">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027">
        <f t="shared" si="243"/>
        <v>0</v>
      </c>
      <c r="AW449" s="1027">
        <f t="shared" si="244"/>
        <v>0</v>
      </c>
      <c r="AX449" s="1027">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027">
        <f t="shared" si="243"/>
        <v>0</v>
      </c>
      <c r="AW450" s="1027">
        <f t="shared" si="244"/>
        <v>0</v>
      </c>
      <c r="AX450" s="1027">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027">
        <f t="shared" si="243"/>
        <v>0</v>
      </c>
      <c r="AW451" s="1027">
        <f t="shared" si="244"/>
        <v>0</v>
      </c>
      <c r="AX451" s="1027">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027">
        <f t="shared" si="243"/>
        <v>0</v>
      </c>
      <c r="AW452" s="1027">
        <f t="shared" si="244"/>
        <v>0</v>
      </c>
      <c r="AX452" s="1027">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027">
        <f t="shared" si="243"/>
        <v>0</v>
      </c>
      <c r="AW453" s="1027">
        <f t="shared" si="244"/>
        <v>0</v>
      </c>
      <c r="AX453" s="1027">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027">
        <f t="shared" si="243"/>
        <v>0</v>
      </c>
      <c r="AW454" s="1027">
        <f t="shared" si="244"/>
        <v>0</v>
      </c>
      <c r="AX454" s="1027">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027">
        <f t="shared" si="243"/>
        <v>0</v>
      </c>
      <c r="AW455" s="1027">
        <f t="shared" si="244"/>
        <v>0</v>
      </c>
      <c r="AX455" s="1027">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027">
        <f t="shared" si="243"/>
        <v>0</v>
      </c>
      <c r="AW456" s="1027">
        <f t="shared" si="244"/>
        <v>0</v>
      </c>
      <c r="AX456" s="1027">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027">
        <f t="shared" si="243"/>
        <v>0</v>
      </c>
      <c r="AW457" s="1027">
        <f t="shared" si="244"/>
        <v>0</v>
      </c>
      <c r="AX457" s="1027">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027">
        <f t="shared" si="243"/>
        <v>0</v>
      </c>
      <c r="AW458" s="1027">
        <f t="shared" si="244"/>
        <v>0</v>
      </c>
      <c r="AX458" s="1027">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027">
        <f t="shared" si="243"/>
        <v>0</v>
      </c>
      <c r="AW459" s="1027">
        <f t="shared" si="244"/>
        <v>0</v>
      </c>
      <c r="AX459" s="1027">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027">
        <f t="shared" si="243"/>
        <v>0</v>
      </c>
      <c r="AW460" s="1027">
        <f t="shared" si="244"/>
        <v>0</v>
      </c>
      <c r="AX460" s="1027">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027">
        <f t="shared" si="243"/>
        <v>0</v>
      </c>
      <c r="AW461" s="1027">
        <f t="shared" si="244"/>
        <v>0</v>
      </c>
      <c r="AX461" s="1027">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027">
        <f t="shared" si="243"/>
        <v>0</v>
      </c>
      <c r="AW462" s="1027">
        <f t="shared" si="244"/>
        <v>0</v>
      </c>
      <c r="AX462" s="1027">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027">
        <f t="shared" si="243"/>
        <v>0</v>
      </c>
      <c r="AW463" s="1027">
        <f t="shared" si="244"/>
        <v>0</v>
      </c>
      <c r="AX463" s="1027">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027">
        <f t="shared" si="243"/>
        <v>0</v>
      </c>
      <c r="AW464" s="1027">
        <f t="shared" si="244"/>
        <v>0</v>
      </c>
      <c r="AX464" s="1027">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027">
        <f t="shared" si="243"/>
        <v>0</v>
      </c>
      <c r="AW465" s="1027">
        <f t="shared" si="244"/>
        <v>0</v>
      </c>
      <c r="AX465" s="1027">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027">
        <f t="shared" si="243"/>
        <v>0</v>
      </c>
      <c r="AW466" s="1027">
        <f t="shared" si="244"/>
        <v>0</v>
      </c>
      <c r="AX466" s="1027">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027">
        <f t="shared" si="243"/>
        <v>0</v>
      </c>
      <c r="AW467" s="1027">
        <f t="shared" si="244"/>
        <v>0</v>
      </c>
      <c r="AX467" s="1027">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027">
        <f t="shared" si="243"/>
        <v>0</v>
      </c>
      <c r="AW468" s="1027">
        <f t="shared" si="244"/>
        <v>0</v>
      </c>
      <c r="AX468" s="1027">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027">
        <f t="shared" si="243"/>
        <v>0</v>
      </c>
      <c r="AW469" s="1027">
        <f t="shared" si="244"/>
        <v>0</v>
      </c>
      <c r="AX469" s="1027">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027">
        <f t="shared" si="243"/>
        <v>0</v>
      </c>
      <c r="AW470" s="1027">
        <f t="shared" si="244"/>
        <v>0</v>
      </c>
      <c r="AX470" s="1027">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027">
        <f t="shared" si="243"/>
        <v>0</v>
      </c>
      <c r="AW471" s="1027">
        <f t="shared" si="244"/>
        <v>0</v>
      </c>
      <c r="AX471" s="1027">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027">
        <f t="shared" si="243"/>
        <v>0</v>
      </c>
      <c r="AW472" s="1027">
        <f t="shared" si="244"/>
        <v>0</v>
      </c>
      <c r="AX472" s="1027">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027">
        <f t="shared" si="243"/>
        <v>0</v>
      </c>
      <c r="AW473" s="1027">
        <f t="shared" si="244"/>
        <v>0</v>
      </c>
      <c r="AX473" s="1027">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027">
        <f t="shared" si="243"/>
        <v>0</v>
      </c>
      <c r="AW474" s="1027">
        <f t="shared" si="244"/>
        <v>0</v>
      </c>
      <c r="AX474" s="1027">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027">
        <f t="shared" si="243"/>
        <v>0</v>
      </c>
      <c r="AW475" s="1027">
        <f t="shared" si="244"/>
        <v>0</v>
      </c>
      <c r="AX475" s="1027">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027">
        <f t="shared" si="243"/>
        <v>0</v>
      </c>
      <c r="AW476" s="1027">
        <f t="shared" si="244"/>
        <v>0</v>
      </c>
      <c r="AX476" s="1027">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027">
        <f t="shared" si="243"/>
        <v>0</v>
      </c>
      <c r="AW477" s="1027">
        <f t="shared" si="244"/>
        <v>0</v>
      </c>
      <c r="AX477" s="1027">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027">
        <f t="shared" si="243"/>
        <v>0</v>
      </c>
      <c r="AW478" s="1027">
        <f t="shared" si="244"/>
        <v>0</v>
      </c>
      <c r="AX478" s="1027">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027">
        <f t="shared" si="243"/>
        <v>0</v>
      </c>
      <c r="AW479" s="1027">
        <f t="shared" si="244"/>
        <v>0</v>
      </c>
      <c r="AX479" s="1027">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027">
        <f t="shared" si="243"/>
        <v>0</v>
      </c>
      <c r="AW480" s="1027">
        <f t="shared" si="244"/>
        <v>0</v>
      </c>
      <c r="AX480" s="1027">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027">
        <f t="shared" si="243"/>
        <v>0</v>
      </c>
      <c r="AW481" s="1027">
        <f t="shared" si="244"/>
        <v>0</v>
      </c>
      <c r="AX481" s="1027">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027">
        <f t="shared" si="243"/>
        <v>0</v>
      </c>
      <c r="AW482" s="1027">
        <f t="shared" si="244"/>
        <v>0</v>
      </c>
      <c r="AX482" s="1027">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027">
        <f t="shared" si="243"/>
        <v>0</v>
      </c>
      <c r="AW483" s="1027">
        <f t="shared" si="244"/>
        <v>0</v>
      </c>
      <c r="AX483" s="1027">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027">
        <f t="shared" si="243"/>
        <v>0</v>
      </c>
      <c r="AW484" s="1027">
        <f t="shared" si="244"/>
        <v>0</v>
      </c>
      <c r="AX484" s="1027">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027">
        <f t="shared" si="243"/>
        <v>0</v>
      </c>
      <c r="AW485" s="1027">
        <f t="shared" si="244"/>
        <v>0</v>
      </c>
      <c r="AX485" s="1027">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027">
        <f t="shared" si="243"/>
        <v>0</v>
      </c>
      <c r="AW486" s="1027">
        <f t="shared" si="244"/>
        <v>0</v>
      </c>
      <c r="AX486" s="1027">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027">
        <f t="shared" si="243"/>
        <v>0</v>
      </c>
      <c r="AW487" s="1027">
        <f t="shared" si="244"/>
        <v>0</v>
      </c>
      <c r="AX487" s="1027">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027">
        <f t="shared" si="243"/>
        <v>0</v>
      </c>
      <c r="AW488" s="1027">
        <f t="shared" si="244"/>
        <v>0</v>
      </c>
      <c r="AX488" s="1027">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027">
        <f t="shared" si="243"/>
        <v>0</v>
      </c>
      <c r="AW489" s="1027">
        <f t="shared" si="244"/>
        <v>0</v>
      </c>
      <c r="AX489" s="1027">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027">
        <f t="shared" si="243"/>
        <v>0</v>
      </c>
      <c r="AW490" s="1027">
        <f t="shared" si="244"/>
        <v>0</v>
      </c>
      <c r="AX490" s="1027">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027">
        <f t="shared" si="243"/>
        <v>0</v>
      </c>
      <c r="AW491" s="1027">
        <f t="shared" si="244"/>
        <v>0</v>
      </c>
      <c r="AX491" s="1027">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027">
        <f t="shared" si="243"/>
        <v>0</v>
      </c>
      <c r="AW492" s="1027">
        <f t="shared" si="244"/>
        <v>0</v>
      </c>
      <c r="AX492" s="1027">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027">
        <f t="shared" ref="AV493:AV520" si="294">A493</f>
        <v>0</v>
      </c>
      <c r="AW493" s="1027">
        <f t="shared" ref="AW493:AW520" si="295">B493</f>
        <v>0</v>
      </c>
      <c r="AX493" s="1027">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027">
        <f t="shared" si="294"/>
        <v>0</v>
      </c>
      <c r="AW494" s="1027">
        <f t="shared" si="295"/>
        <v>0</v>
      </c>
      <c r="AX494" s="1027">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027">
        <f t="shared" si="294"/>
        <v>0</v>
      </c>
      <c r="AW495" s="1027">
        <f t="shared" si="295"/>
        <v>0</v>
      </c>
      <c r="AX495" s="1027">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027">
        <f t="shared" si="294"/>
        <v>0</v>
      </c>
      <c r="AW496" s="1027">
        <f t="shared" si="295"/>
        <v>0</v>
      </c>
      <c r="AX496" s="1027">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027">
        <f t="shared" si="294"/>
        <v>0</v>
      </c>
      <c r="AW497" s="1027">
        <f t="shared" si="295"/>
        <v>0</v>
      </c>
      <c r="AX497" s="1027">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027">
        <f t="shared" si="294"/>
        <v>0</v>
      </c>
      <c r="AW498" s="1027">
        <f t="shared" si="295"/>
        <v>0</v>
      </c>
      <c r="AX498" s="1027">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027">
        <f t="shared" si="294"/>
        <v>0</v>
      </c>
      <c r="AW499" s="1027">
        <f t="shared" si="295"/>
        <v>0</v>
      </c>
      <c r="AX499" s="1027">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027">
        <f t="shared" si="294"/>
        <v>0</v>
      </c>
      <c r="AW500" s="1027">
        <f t="shared" si="295"/>
        <v>0</v>
      </c>
      <c r="AX500" s="1027">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027">
        <f t="shared" si="294"/>
        <v>0</v>
      </c>
      <c r="AW501" s="1027">
        <f t="shared" si="295"/>
        <v>0</v>
      </c>
      <c r="AX501" s="1027">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027">
        <f t="shared" si="294"/>
        <v>0</v>
      </c>
      <c r="AW502" s="1027">
        <f t="shared" si="295"/>
        <v>0</v>
      </c>
      <c r="AX502" s="1027">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027">
        <f t="shared" si="294"/>
        <v>0</v>
      </c>
      <c r="AW503" s="1027">
        <f t="shared" si="295"/>
        <v>0</v>
      </c>
      <c r="AX503" s="1027">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027">
        <f t="shared" si="294"/>
        <v>0</v>
      </c>
      <c r="AW504" s="1027">
        <f t="shared" si="295"/>
        <v>0</v>
      </c>
      <c r="AX504" s="1027">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027">
        <f t="shared" si="294"/>
        <v>0</v>
      </c>
      <c r="AW505" s="1027">
        <f t="shared" si="295"/>
        <v>0</v>
      </c>
      <c r="AX505" s="1027">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027">
        <f t="shared" si="294"/>
        <v>0</v>
      </c>
      <c r="AW506" s="1027">
        <f t="shared" si="295"/>
        <v>0</v>
      </c>
      <c r="AX506" s="1027">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027">
        <f t="shared" si="294"/>
        <v>0</v>
      </c>
      <c r="AW507" s="1027">
        <f t="shared" si="295"/>
        <v>0</v>
      </c>
      <c r="AX507" s="1027">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027">
        <f t="shared" si="294"/>
        <v>0</v>
      </c>
      <c r="AW508" s="1027">
        <f t="shared" si="295"/>
        <v>0</v>
      </c>
      <c r="AX508" s="1027">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027">
        <f t="shared" si="294"/>
        <v>0</v>
      </c>
      <c r="AW509" s="1027">
        <f t="shared" si="295"/>
        <v>0</v>
      </c>
      <c r="AX509" s="1027">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027">
        <f t="shared" si="294"/>
        <v>0</v>
      </c>
      <c r="AW510" s="1027">
        <f t="shared" si="295"/>
        <v>0</v>
      </c>
      <c r="AX510" s="1027">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027">
        <f t="shared" si="294"/>
        <v>0</v>
      </c>
      <c r="AW511" s="1027">
        <f t="shared" si="295"/>
        <v>0</v>
      </c>
      <c r="AX511" s="1027">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027">
        <f t="shared" si="294"/>
        <v>0</v>
      </c>
      <c r="AW512" s="1027">
        <f t="shared" si="295"/>
        <v>0</v>
      </c>
      <c r="AX512" s="1027">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027">
        <f t="shared" si="294"/>
        <v>0</v>
      </c>
      <c r="AW513" s="1027">
        <f t="shared" si="295"/>
        <v>0</v>
      </c>
      <c r="AX513" s="1027">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027">
        <f t="shared" si="294"/>
        <v>0</v>
      </c>
      <c r="AW514" s="1027">
        <f t="shared" si="295"/>
        <v>0</v>
      </c>
      <c r="AX514" s="1027">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027">
        <f t="shared" si="294"/>
        <v>0</v>
      </c>
      <c r="AW515" s="1027">
        <f t="shared" si="295"/>
        <v>0</v>
      </c>
      <c r="AX515" s="1027">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027">
        <f t="shared" si="294"/>
        <v>0</v>
      </c>
      <c r="AW516" s="1027">
        <f t="shared" si="295"/>
        <v>0</v>
      </c>
      <c r="AX516" s="1027">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027">
        <f t="shared" si="294"/>
        <v>0</v>
      </c>
      <c r="AW517" s="1027">
        <f t="shared" si="295"/>
        <v>0</v>
      </c>
      <c r="AX517" s="1027">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027">
        <f t="shared" si="294"/>
        <v>0</v>
      </c>
      <c r="AW518" s="1027">
        <f t="shared" si="295"/>
        <v>0</v>
      </c>
      <c r="AX518" s="1027">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027">
        <f t="shared" si="294"/>
        <v>0</v>
      </c>
      <c r="AW519" s="1027">
        <f t="shared" si="295"/>
        <v>0</v>
      </c>
      <c r="AX519" s="1027">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027">
        <f t="shared" si="294"/>
        <v>0</v>
      </c>
      <c r="AW520" s="1027">
        <f t="shared" si="295"/>
        <v>0</v>
      </c>
      <c r="AX520" s="1027">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027">
        <f t="shared" ref="AV521:AV552" si="298">A521</f>
        <v>0</v>
      </c>
      <c r="AW521" s="1027">
        <f t="shared" ref="AW521:AW552" si="299">B521</f>
        <v>0</v>
      </c>
      <c r="AX521" s="1027">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027">
        <f t="shared" si="298"/>
        <v>0</v>
      </c>
      <c r="AW522" s="1027">
        <f t="shared" si="299"/>
        <v>0</v>
      </c>
      <c r="AX522" s="1027">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027">
        <f t="shared" si="298"/>
        <v>0</v>
      </c>
      <c r="AW523" s="1027">
        <f t="shared" si="299"/>
        <v>0</v>
      </c>
      <c r="AX523" s="1027">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027">
        <f t="shared" si="298"/>
        <v>0</v>
      </c>
      <c r="AW524" s="1027">
        <f t="shared" si="299"/>
        <v>0</v>
      </c>
      <c r="AX524" s="1027">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027">
        <f t="shared" si="298"/>
        <v>0</v>
      </c>
      <c r="AW525" s="1027">
        <f t="shared" si="299"/>
        <v>0</v>
      </c>
      <c r="AX525" s="1027">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027">
        <f t="shared" si="298"/>
        <v>0</v>
      </c>
      <c r="AW526" s="1027">
        <f t="shared" si="299"/>
        <v>0</v>
      </c>
      <c r="AX526" s="1027">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027">
        <f t="shared" si="298"/>
        <v>0</v>
      </c>
      <c r="AW527" s="1027">
        <f t="shared" si="299"/>
        <v>0</v>
      </c>
      <c r="AX527" s="1027">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027">
        <f t="shared" si="298"/>
        <v>0</v>
      </c>
      <c r="AW528" s="1027">
        <f t="shared" si="299"/>
        <v>0</v>
      </c>
      <c r="AX528" s="1027">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027">
        <f t="shared" si="298"/>
        <v>0</v>
      </c>
      <c r="AW529" s="1027">
        <f t="shared" si="299"/>
        <v>0</v>
      </c>
      <c r="AX529" s="1027">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027">
        <f t="shared" si="298"/>
        <v>0</v>
      </c>
      <c r="AW530" s="1027">
        <f t="shared" si="299"/>
        <v>0</v>
      </c>
      <c r="AX530" s="1027">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027">
        <f t="shared" si="298"/>
        <v>0</v>
      </c>
      <c r="AW531" s="1027">
        <f t="shared" si="299"/>
        <v>0</v>
      </c>
      <c r="AX531" s="1027">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027">
        <f t="shared" si="298"/>
        <v>0</v>
      </c>
      <c r="AW532" s="1027">
        <f t="shared" si="299"/>
        <v>0</v>
      </c>
      <c r="AX532" s="1027">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027">
        <f t="shared" si="298"/>
        <v>0</v>
      </c>
      <c r="AW533" s="1027">
        <f t="shared" si="299"/>
        <v>0</v>
      </c>
      <c r="AX533" s="1027">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027">
        <f t="shared" si="298"/>
        <v>0</v>
      </c>
      <c r="AW534" s="1027">
        <f t="shared" si="299"/>
        <v>0</v>
      </c>
      <c r="AX534" s="1027">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027">
        <f t="shared" si="298"/>
        <v>0</v>
      </c>
      <c r="AW535" s="1027">
        <f t="shared" si="299"/>
        <v>0</v>
      </c>
      <c r="AX535" s="1027">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027">
        <f t="shared" si="298"/>
        <v>0</v>
      </c>
      <c r="AW536" s="1027">
        <f t="shared" si="299"/>
        <v>0</v>
      </c>
      <c r="AX536" s="1027">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027">
        <f t="shared" si="298"/>
        <v>0</v>
      </c>
      <c r="AW537" s="1027">
        <f t="shared" si="299"/>
        <v>0</v>
      </c>
      <c r="AX537" s="1027">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027">
        <f t="shared" si="298"/>
        <v>0</v>
      </c>
      <c r="AW538" s="1027">
        <f t="shared" si="299"/>
        <v>0</v>
      </c>
      <c r="AX538" s="1027">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027">
        <f t="shared" si="298"/>
        <v>0</v>
      </c>
      <c r="AW539" s="1027">
        <f t="shared" si="299"/>
        <v>0</v>
      </c>
      <c r="AX539" s="1027">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027">
        <f t="shared" si="298"/>
        <v>0</v>
      </c>
      <c r="AW540" s="1027">
        <f t="shared" si="299"/>
        <v>0</v>
      </c>
      <c r="AX540" s="1027">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027">
        <f t="shared" si="298"/>
        <v>0</v>
      </c>
      <c r="AW541" s="1027">
        <f t="shared" si="299"/>
        <v>0</v>
      </c>
      <c r="AX541" s="1027">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027">
        <f t="shared" si="298"/>
        <v>0</v>
      </c>
      <c r="AW542" s="1027">
        <f t="shared" si="299"/>
        <v>0</v>
      </c>
      <c r="AX542" s="1027">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027">
        <f t="shared" si="298"/>
        <v>0</v>
      </c>
      <c r="AW543" s="1027">
        <f t="shared" si="299"/>
        <v>0</v>
      </c>
      <c r="AX543" s="1027">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027">
        <f t="shared" si="298"/>
        <v>0</v>
      </c>
      <c r="AW544" s="1027">
        <f t="shared" si="299"/>
        <v>0</v>
      </c>
      <c r="AX544" s="1027">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027">
        <f t="shared" si="298"/>
        <v>0</v>
      </c>
      <c r="AW545" s="1027">
        <f t="shared" si="299"/>
        <v>0</v>
      </c>
      <c r="AX545" s="1027">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027">
        <f t="shared" si="298"/>
        <v>0</v>
      </c>
      <c r="AW546" s="1027">
        <f t="shared" si="299"/>
        <v>0</v>
      </c>
      <c r="AX546" s="1027">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027">
        <f t="shared" si="298"/>
        <v>0</v>
      </c>
      <c r="AW547" s="1027">
        <f t="shared" si="299"/>
        <v>0</v>
      </c>
      <c r="AX547" s="1027">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027">
        <f t="shared" si="298"/>
        <v>0</v>
      </c>
      <c r="AW548" s="1027">
        <f t="shared" si="299"/>
        <v>0</v>
      </c>
      <c r="AX548" s="1027">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027">
        <f t="shared" si="298"/>
        <v>0</v>
      </c>
      <c r="AW549" s="1027">
        <f t="shared" si="299"/>
        <v>0</v>
      </c>
      <c r="AX549" s="1027">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027">
        <f t="shared" si="298"/>
        <v>0</v>
      </c>
      <c r="AW550" s="1027">
        <f t="shared" si="299"/>
        <v>0</v>
      </c>
      <c r="AX550" s="1027">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027">
        <f t="shared" si="298"/>
        <v>0</v>
      </c>
      <c r="AW551" s="1027">
        <f t="shared" si="299"/>
        <v>0</v>
      </c>
      <c r="AX551" s="1027">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027">
        <f t="shared" si="298"/>
        <v>0</v>
      </c>
      <c r="AW552" s="1027">
        <f t="shared" si="299"/>
        <v>0</v>
      </c>
      <c r="AX552" s="1027">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027">
        <f t="shared" ref="AV553:AV587" si="330">A553</f>
        <v>0</v>
      </c>
      <c r="AW553" s="1027">
        <f t="shared" ref="AW553:AW587" si="331">B553</f>
        <v>0</v>
      </c>
      <c r="AX553" s="1027">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027">
        <f t="shared" si="330"/>
        <v>0</v>
      </c>
      <c r="AW554" s="1027">
        <f t="shared" si="331"/>
        <v>0</v>
      </c>
      <c r="AX554" s="1027">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027">
        <f t="shared" si="330"/>
        <v>0</v>
      </c>
      <c r="AW555" s="1027">
        <f t="shared" si="331"/>
        <v>0</v>
      </c>
      <c r="AX555" s="1027">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027">
        <f t="shared" si="330"/>
        <v>0</v>
      </c>
      <c r="AW556" s="1027">
        <f t="shared" si="331"/>
        <v>0</v>
      </c>
      <c r="AX556" s="1027">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027">
        <f t="shared" si="330"/>
        <v>0</v>
      </c>
      <c r="AW557" s="1027">
        <f t="shared" si="331"/>
        <v>0</v>
      </c>
      <c r="AX557" s="1027">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027">
        <f t="shared" si="330"/>
        <v>0</v>
      </c>
      <c r="AW558" s="1027">
        <f t="shared" si="331"/>
        <v>0</v>
      </c>
      <c r="AX558" s="1027">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027">
        <f t="shared" si="330"/>
        <v>0</v>
      </c>
      <c r="AW559" s="1027">
        <f t="shared" si="331"/>
        <v>0</v>
      </c>
      <c r="AX559" s="1027">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027">
        <f t="shared" si="330"/>
        <v>0</v>
      </c>
      <c r="AW560" s="1027">
        <f t="shared" si="331"/>
        <v>0</v>
      </c>
      <c r="AX560" s="1027">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027">
        <f t="shared" si="330"/>
        <v>0</v>
      </c>
      <c r="AW561" s="1027">
        <f t="shared" si="331"/>
        <v>0</v>
      </c>
      <c r="AX561" s="1027">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027">
        <f t="shared" si="330"/>
        <v>0</v>
      </c>
      <c r="AW562" s="1027">
        <f t="shared" si="331"/>
        <v>0</v>
      </c>
      <c r="AX562" s="1027">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027">
        <f t="shared" si="330"/>
        <v>0</v>
      </c>
      <c r="AW563" s="1027">
        <f t="shared" si="331"/>
        <v>0</v>
      </c>
      <c r="AX563" s="1027">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027">
        <f t="shared" si="330"/>
        <v>0</v>
      </c>
      <c r="AW564" s="1027">
        <f t="shared" si="331"/>
        <v>0</v>
      </c>
      <c r="AX564" s="1027">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027">
        <f t="shared" si="330"/>
        <v>0</v>
      </c>
      <c r="AW565" s="1027">
        <f t="shared" si="331"/>
        <v>0</v>
      </c>
      <c r="AX565" s="1027">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027">
        <f t="shared" si="330"/>
        <v>0</v>
      </c>
      <c r="AW566" s="1027">
        <f t="shared" si="331"/>
        <v>0</v>
      </c>
      <c r="AX566" s="1027">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027">
        <f t="shared" si="330"/>
        <v>0</v>
      </c>
      <c r="AW567" s="1027">
        <f t="shared" si="331"/>
        <v>0</v>
      </c>
      <c r="AX567" s="1027">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027">
        <f t="shared" si="330"/>
        <v>0</v>
      </c>
      <c r="AW568" s="1027">
        <f t="shared" si="331"/>
        <v>0</v>
      </c>
      <c r="AX568" s="1027">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027">
        <f t="shared" si="330"/>
        <v>0</v>
      </c>
      <c r="AW569" s="1027">
        <f t="shared" si="331"/>
        <v>0</v>
      </c>
      <c r="AX569" s="1027">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027">
        <f t="shared" si="330"/>
        <v>0</v>
      </c>
      <c r="AW570" s="1027">
        <f t="shared" si="331"/>
        <v>0</v>
      </c>
      <c r="AX570" s="1027">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027">
        <f t="shared" si="330"/>
        <v>0</v>
      </c>
      <c r="AW571" s="1027">
        <f t="shared" si="331"/>
        <v>0</v>
      </c>
      <c r="AX571" s="1027">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027">
        <f t="shared" si="330"/>
        <v>0</v>
      </c>
      <c r="AW572" s="1027">
        <f t="shared" si="331"/>
        <v>0</v>
      </c>
      <c r="AX572" s="1027">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027">
        <f t="shared" si="330"/>
        <v>0</v>
      </c>
      <c r="AW573" s="1027">
        <f t="shared" si="331"/>
        <v>0</v>
      </c>
      <c r="AX573" s="1027">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027">
        <f t="shared" si="330"/>
        <v>0</v>
      </c>
      <c r="AW574" s="1027">
        <f t="shared" si="331"/>
        <v>0</v>
      </c>
      <c r="AX574" s="1027">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027">
        <f t="shared" si="330"/>
        <v>0</v>
      </c>
      <c r="AW575" s="1027">
        <f t="shared" si="331"/>
        <v>0</v>
      </c>
      <c r="AX575" s="1027">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027">
        <f t="shared" si="330"/>
        <v>0</v>
      </c>
      <c r="AW576" s="1027">
        <f t="shared" si="331"/>
        <v>0</v>
      </c>
      <c r="AX576" s="1027">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027">
        <f t="shared" si="330"/>
        <v>0</v>
      </c>
      <c r="AW577" s="1027">
        <f t="shared" si="331"/>
        <v>0</v>
      </c>
      <c r="AX577" s="1027">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027">
        <f t="shared" si="330"/>
        <v>0</v>
      </c>
      <c r="AW578" s="1027">
        <f t="shared" si="331"/>
        <v>0</v>
      </c>
      <c r="AX578" s="1027">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027">
        <f t="shared" si="330"/>
        <v>0</v>
      </c>
      <c r="AW579" s="1027">
        <f t="shared" si="331"/>
        <v>0</v>
      </c>
      <c r="AX579" s="1027">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027">
        <f t="shared" si="330"/>
        <v>0</v>
      </c>
      <c r="AW580" s="1027">
        <f t="shared" si="331"/>
        <v>0</v>
      </c>
      <c r="AX580" s="1027">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027">
        <f t="shared" si="330"/>
        <v>0</v>
      </c>
      <c r="AW581" s="1027">
        <f t="shared" si="331"/>
        <v>0</v>
      </c>
      <c r="AX581" s="1027">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027">
        <f t="shared" si="330"/>
        <v>0</v>
      </c>
      <c r="AW582" s="1027">
        <f t="shared" si="331"/>
        <v>0</v>
      </c>
      <c r="AX582" s="1027">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027">
        <f t="shared" si="330"/>
        <v>0</v>
      </c>
      <c r="AW583" s="1027">
        <f t="shared" si="331"/>
        <v>0</v>
      </c>
      <c r="AX583" s="1027">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027">
        <f t="shared" si="330"/>
        <v>0</v>
      </c>
      <c r="AW584" s="1027">
        <f t="shared" si="331"/>
        <v>0</v>
      </c>
      <c r="AX584" s="1027">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027">
        <f t="shared" si="330"/>
        <v>0</v>
      </c>
      <c r="AW585" s="1027">
        <f t="shared" si="331"/>
        <v>0</v>
      </c>
      <c r="AX585" s="1027">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027">
        <f t="shared" si="330"/>
        <v>0</v>
      </c>
      <c r="AW586" s="1027">
        <f t="shared" si="331"/>
        <v>0</v>
      </c>
      <c r="AX586" s="1027">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027">
        <f t="shared" si="330"/>
        <v>0</v>
      </c>
      <c r="AW587" s="1027">
        <f t="shared" si="331"/>
        <v>0</v>
      </c>
      <c r="AX587" s="1027">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3011" customFormat="1" spans="1:50">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3012" customFormat="1" spans="3:4">
      <c r="C589" s="3104"/>
      <c r="D589" s="3104"/>
    </row>
    <row r="590" s="3012" customFormat="1" spans="3:4">
      <c r="C590" s="3104"/>
      <c r="D590" s="3104"/>
    </row>
    <row r="593" spans="2:2">
      <c r="B593" s="310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47" customWidth="1"/>
    <col min="2" max="2" width="10.625" style="2647" customWidth="1"/>
    <col min="3" max="3" width="15.75" style="2647" customWidth="1"/>
    <col min="4" max="7" width="9.5" style="2647" customWidth="1"/>
    <col min="8" max="13" width="9.125" style="2647" customWidth="1"/>
    <col min="14" max="16384" width="9" style="2647"/>
  </cols>
  <sheetData>
    <row r="1" ht="14.25" spans="1:13">
      <c r="A1" s="3005" t="s">
        <v>475</v>
      </c>
      <c r="B1" s="3005" t="s">
        <v>476</v>
      </c>
      <c r="C1" s="3005" t="s">
        <v>477</v>
      </c>
      <c r="D1" s="3006" t="s">
        <v>478</v>
      </c>
      <c r="E1" s="3006" t="s">
        <v>479</v>
      </c>
      <c r="F1" s="3006"/>
      <c r="G1" s="3006"/>
      <c r="H1" s="3006"/>
      <c r="I1" s="3006"/>
      <c r="J1" s="3006"/>
      <c r="K1" s="3006"/>
      <c r="L1" s="3006"/>
      <c r="M1" s="3006"/>
    </row>
    <row r="2" ht="27" customHeight="1" spans="1:13">
      <c r="A2" s="3005"/>
      <c r="B2" s="3005"/>
      <c r="C2" s="3005"/>
      <c r="D2" s="3006"/>
      <c r="E2" s="3006" t="s">
        <v>480</v>
      </c>
      <c r="F2" s="3006" t="s">
        <v>481</v>
      </c>
      <c r="G2" s="3006"/>
      <c r="H2" s="3006"/>
      <c r="I2" s="3006"/>
      <c r="J2" s="3006" t="s">
        <v>482</v>
      </c>
      <c r="K2" s="3006"/>
      <c r="L2" s="3006"/>
      <c r="M2" s="3006"/>
    </row>
    <row r="3" ht="28.5" spans="1:13">
      <c r="A3" s="3005"/>
      <c r="B3" s="3005"/>
      <c r="C3" s="3005"/>
      <c r="D3" s="3006"/>
      <c r="E3" s="3006"/>
      <c r="F3" s="3007" t="s">
        <v>483</v>
      </c>
      <c r="G3" s="3007" t="s">
        <v>484</v>
      </c>
      <c r="H3" s="3007" t="s">
        <v>485</v>
      </c>
      <c r="I3" s="3007" t="s">
        <v>486</v>
      </c>
      <c r="J3" s="3007" t="s">
        <v>483</v>
      </c>
      <c r="K3" s="3007" t="s">
        <v>487</v>
      </c>
      <c r="L3" s="3007" t="s">
        <v>488</v>
      </c>
      <c r="M3" s="3007" t="s">
        <v>489</v>
      </c>
    </row>
    <row r="4" ht="42.75" spans="1:13">
      <c r="A4" s="3007" t="s">
        <v>490</v>
      </c>
      <c r="B4" s="3007" t="s">
        <v>491</v>
      </c>
      <c r="C4" s="3007" t="s">
        <v>492</v>
      </c>
      <c r="D4" s="3006">
        <v>3807.94</v>
      </c>
      <c r="E4" s="3006">
        <v>20666.91</v>
      </c>
      <c r="F4" s="3006">
        <v>19673</v>
      </c>
      <c r="G4" s="3006">
        <v>0</v>
      </c>
      <c r="H4" s="3006">
        <v>19673</v>
      </c>
      <c r="I4" s="3006">
        <v>0</v>
      </c>
      <c r="J4" s="3006">
        <v>993.91</v>
      </c>
      <c r="K4" s="3006">
        <v>0</v>
      </c>
      <c r="L4" s="3006">
        <v>0</v>
      </c>
      <c r="M4" s="3006">
        <v>993.91</v>
      </c>
    </row>
    <row r="5" ht="42.75" spans="1:13">
      <c r="A5" s="3007" t="s">
        <v>490</v>
      </c>
      <c r="B5" s="3007" t="s">
        <v>493</v>
      </c>
      <c r="C5" s="3007" t="s">
        <v>494</v>
      </c>
      <c r="D5" s="3006">
        <v>3667.86</v>
      </c>
      <c r="E5" s="3006">
        <v>19906.61</v>
      </c>
      <c r="F5" s="3006">
        <v>18792.87</v>
      </c>
      <c r="G5" s="3006">
        <v>18792.87</v>
      </c>
      <c r="H5" s="3006">
        <v>0</v>
      </c>
      <c r="I5" s="3006">
        <v>0</v>
      </c>
      <c r="J5" s="3006">
        <v>1113.74</v>
      </c>
      <c r="K5" s="3006">
        <v>55.59</v>
      </c>
      <c r="L5" s="3006">
        <v>0</v>
      </c>
      <c r="M5" s="3006">
        <v>1058.15</v>
      </c>
    </row>
    <row r="6" ht="42.75" spans="1:13">
      <c r="A6" s="3007" t="s">
        <v>490</v>
      </c>
      <c r="B6" s="3007" t="s">
        <v>493</v>
      </c>
      <c r="C6" s="3007" t="s">
        <v>495</v>
      </c>
      <c r="D6" s="3006">
        <v>2067.52</v>
      </c>
      <c r="E6" s="3006">
        <v>11221.06</v>
      </c>
      <c r="F6" s="3006">
        <v>9934.13</v>
      </c>
      <c r="G6" s="3006">
        <v>9934.13</v>
      </c>
      <c r="H6" s="3006">
        <v>0</v>
      </c>
      <c r="I6" s="3006">
        <v>0</v>
      </c>
      <c r="J6" s="3006">
        <v>1286.93</v>
      </c>
      <c r="K6" s="3006">
        <v>0</v>
      </c>
      <c r="L6" s="3006">
        <v>0</v>
      </c>
      <c r="M6" s="3006">
        <v>1286.93</v>
      </c>
    </row>
    <row r="7" ht="42.75" spans="1:13">
      <c r="A7" s="3007" t="s">
        <v>490</v>
      </c>
      <c r="B7" s="3007" t="s">
        <v>493</v>
      </c>
      <c r="C7" s="3007" t="s">
        <v>496</v>
      </c>
      <c r="D7" s="3006">
        <v>8.18</v>
      </c>
      <c r="E7" s="3006">
        <v>44.41</v>
      </c>
      <c r="F7" s="3006">
        <v>0</v>
      </c>
      <c r="G7" s="3006">
        <v>0</v>
      </c>
      <c r="H7" s="3006">
        <v>0</v>
      </c>
      <c r="I7" s="3006">
        <v>0</v>
      </c>
      <c r="J7" s="3006">
        <v>44.41</v>
      </c>
      <c r="K7" s="3006">
        <v>44.41</v>
      </c>
      <c r="L7" s="3006">
        <v>0</v>
      </c>
      <c r="M7" s="3006">
        <v>0</v>
      </c>
    </row>
    <row r="8" ht="42.75" spans="1:13">
      <c r="A8" s="3007" t="s">
        <v>490</v>
      </c>
      <c r="B8" s="3007" t="s">
        <v>493</v>
      </c>
      <c r="C8" s="3007" t="s">
        <v>486</v>
      </c>
      <c r="D8" s="3006">
        <v>2455.53</v>
      </c>
      <c r="E8" s="3006">
        <v>13326.96</v>
      </c>
      <c r="F8" s="3006">
        <v>9231.05</v>
      </c>
      <c r="G8" s="3006">
        <v>0</v>
      </c>
      <c r="H8" s="3006">
        <v>0</v>
      </c>
      <c r="I8" s="3006">
        <v>9231.05</v>
      </c>
      <c r="J8" s="3006">
        <v>4095.91</v>
      </c>
      <c r="K8" s="3006">
        <v>0</v>
      </c>
      <c r="L8" s="3006">
        <v>3320.79</v>
      </c>
      <c r="M8" s="3006">
        <v>775.12</v>
      </c>
    </row>
    <row r="9" ht="27" customHeight="1" spans="1:13">
      <c r="A9" s="3006" t="s">
        <v>497</v>
      </c>
      <c r="B9" s="3006"/>
      <c r="C9" s="3006"/>
      <c r="D9" s="3006">
        <v>12007.03</v>
      </c>
      <c r="E9" s="3006">
        <v>65165.95</v>
      </c>
      <c r="F9" s="3006">
        <v>57631.05</v>
      </c>
      <c r="G9" s="3006">
        <v>28727</v>
      </c>
      <c r="H9" s="3006">
        <v>19673</v>
      </c>
      <c r="I9" s="3006">
        <v>9231.05</v>
      </c>
      <c r="J9" s="3006">
        <v>7534.9</v>
      </c>
      <c r="K9" s="3006">
        <v>100</v>
      </c>
      <c r="L9" s="3006">
        <v>3320.79</v>
      </c>
      <c r="M9" s="30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0"/>
  <sheetViews>
    <sheetView topLeftCell="C1" workbookViewId="0">
      <selection activeCell="I15" sqref="I11 I15"/>
    </sheetView>
  </sheetViews>
  <sheetFormatPr defaultColWidth="9" defaultRowHeight="13.5"/>
  <cols>
    <col min="2" max="2" width="10.375" customWidth="1"/>
    <col min="5" max="5" width="11.375" customWidth="1"/>
    <col min="9" max="9" width="11" customWidth="1"/>
    <col min="12" max="12" width="12.125" style="2984" customWidth="1"/>
    <col min="13" max="13" width="10.875" style="2984" customWidth="1"/>
    <col min="14" max="14" width="9" style="2984"/>
    <col min="15" max="15" width="10.375" style="2984"/>
    <col min="16" max="16" width="10.875" style="2984" customWidth="1"/>
    <col min="17" max="17" width="12.875" style="2984" customWidth="1"/>
  </cols>
  <sheetData>
    <row r="1" spans="1:1">
      <c r="A1" s="2687" t="s">
        <v>498</v>
      </c>
    </row>
    <row r="2" spans="1:9">
      <c r="A2" s="2985" t="s">
        <v>499</v>
      </c>
      <c r="B2" s="2985" t="s">
        <v>500</v>
      </c>
      <c r="C2" s="2985" t="s">
        <v>479</v>
      </c>
      <c r="D2" s="2985" t="s">
        <v>501</v>
      </c>
      <c r="E2" s="2985" t="s">
        <v>502</v>
      </c>
      <c r="F2" s="2985"/>
      <c r="I2" s="2687"/>
    </row>
    <row r="3" spans="1:8">
      <c r="A3" s="2985"/>
      <c r="B3" s="2985"/>
      <c r="C3" s="2985"/>
      <c r="D3" s="2985"/>
      <c r="E3" s="2986" t="s">
        <v>503</v>
      </c>
      <c r="F3" s="2986" t="s">
        <v>504</v>
      </c>
      <c r="H3" t="s">
        <v>505</v>
      </c>
    </row>
    <row r="4" spans="1:9">
      <c r="A4" s="2987">
        <v>1</v>
      </c>
      <c r="B4" s="2987">
        <v>3</v>
      </c>
      <c r="C4" s="2987">
        <v>1558.86</v>
      </c>
      <c r="D4" s="2985" t="s">
        <v>506</v>
      </c>
      <c r="E4" s="2985" t="s">
        <v>507</v>
      </c>
      <c r="F4" s="2987">
        <v>3</v>
      </c>
      <c r="H4" t="s">
        <v>462</v>
      </c>
      <c r="I4">
        <f>I6-I5</f>
        <v>31653.37</v>
      </c>
    </row>
    <row r="5" spans="1:9">
      <c r="A5" s="2987">
        <v>2</v>
      </c>
      <c r="B5" s="2987">
        <v>4</v>
      </c>
      <c r="C5" s="2987">
        <v>1588.13</v>
      </c>
      <c r="D5" s="2985" t="s">
        <v>508</v>
      </c>
      <c r="E5" s="2985" t="s">
        <v>509</v>
      </c>
      <c r="F5" s="2987">
        <v>4</v>
      </c>
      <c r="H5" t="s">
        <v>461</v>
      </c>
      <c r="I5">
        <f>C4</f>
        <v>1558.86</v>
      </c>
    </row>
    <row r="6" spans="1:9">
      <c r="A6" s="2987">
        <v>3</v>
      </c>
      <c r="B6" s="2987">
        <v>5</v>
      </c>
      <c r="C6" s="2987">
        <v>1580.93</v>
      </c>
      <c r="D6" s="2985" t="s">
        <v>508</v>
      </c>
      <c r="E6" s="2985" t="s">
        <v>507</v>
      </c>
      <c r="F6" s="2987">
        <v>5</v>
      </c>
      <c r="H6" t="s">
        <v>510</v>
      </c>
      <c r="I6">
        <f>C28</f>
        <v>33212.23</v>
      </c>
    </row>
    <row r="7" spans="1:6">
      <c r="A7" s="2987">
        <v>4</v>
      </c>
      <c r="B7" s="2987">
        <v>6</v>
      </c>
      <c r="C7" s="2987">
        <v>1573.73</v>
      </c>
      <c r="D7" s="2985" t="s">
        <v>508</v>
      </c>
      <c r="E7" s="2985" t="s">
        <v>509</v>
      </c>
      <c r="F7" s="2987">
        <v>6</v>
      </c>
    </row>
    <row r="8" spans="1:6">
      <c r="A8" s="2987">
        <v>5</v>
      </c>
      <c r="B8" s="2987">
        <v>7</v>
      </c>
      <c r="C8" s="2987">
        <v>1559.33</v>
      </c>
      <c r="D8" s="2985" t="s">
        <v>508</v>
      </c>
      <c r="E8" s="2985" t="s">
        <v>507</v>
      </c>
      <c r="F8" s="2987">
        <v>7</v>
      </c>
    </row>
    <row r="9" spans="1:12">
      <c r="A9" s="2987">
        <v>6</v>
      </c>
      <c r="B9" s="2987">
        <v>8</v>
      </c>
      <c r="C9" s="2987">
        <v>1552.13</v>
      </c>
      <c r="D9" s="2985" t="s">
        <v>508</v>
      </c>
      <c r="E9" s="2985" t="s">
        <v>509</v>
      </c>
      <c r="F9" s="2987">
        <v>8</v>
      </c>
      <c r="H9" t="s">
        <v>511</v>
      </c>
      <c r="L9" s="2984" t="s">
        <v>512</v>
      </c>
    </row>
    <row r="10" spans="1:13">
      <c r="A10" s="2987">
        <v>7</v>
      </c>
      <c r="B10" s="2987">
        <v>9</v>
      </c>
      <c r="C10" s="2987">
        <v>1537.73</v>
      </c>
      <c r="D10" s="2985" t="s">
        <v>508</v>
      </c>
      <c r="E10" s="2985" t="s">
        <v>507</v>
      </c>
      <c r="F10" s="2987">
        <v>9</v>
      </c>
      <c r="H10" s="2988"/>
      <c r="I10" s="2988"/>
      <c r="L10" s="2984" t="s">
        <v>513</v>
      </c>
      <c r="M10" s="2984">
        <f>10883.34-5703.59</f>
        <v>5179.75</v>
      </c>
    </row>
    <row r="11" spans="1:10">
      <c r="A11" s="2987">
        <v>8</v>
      </c>
      <c r="B11" s="2987">
        <v>10</v>
      </c>
      <c r="C11" s="2987">
        <v>1530.53</v>
      </c>
      <c r="D11" s="2985" t="s">
        <v>508</v>
      </c>
      <c r="E11" s="2985" t="s">
        <v>509</v>
      </c>
      <c r="F11" s="2987">
        <v>10</v>
      </c>
      <c r="H11" s="2988" t="s">
        <v>514</v>
      </c>
      <c r="I11" s="2988">
        <f>19940.44-3141.59</f>
        <v>16798.85</v>
      </c>
      <c r="J11">
        <f>ROUND(I11/3,2)</f>
        <v>5599.62</v>
      </c>
    </row>
    <row r="12" spans="1:17">
      <c r="A12" s="2987">
        <v>9</v>
      </c>
      <c r="B12" s="2987">
        <v>11</v>
      </c>
      <c r="C12" s="2987">
        <v>1516.13</v>
      </c>
      <c r="D12" s="2985" t="s">
        <v>508</v>
      </c>
      <c r="E12" s="2985" t="s">
        <v>507</v>
      </c>
      <c r="F12" s="2987">
        <v>11</v>
      </c>
      <c r="H12" s="2988">
        <v>1</v>
      </c>
      <c r="I12" s="2995">
        <v>6310.38</v>
      </c>
      <c r="L12" s="2996"/>
      <c r="M12" s="2996" t="s">
        <v>515</v>
      </c>
      <c r="N12" s="2996" t="s">
        <v>516</v>
      </c>
      <c r="O12" s="2996" t="s">
        <v>517</v>
      </c>
      <c r="P12" s="2996" t="s">
        <v>518</v>
      </c>
      <c r="Q12" s="2996" t="s">
        <v>519</v>
      </c>
    </row>
    <row r="13" spans="1:17">
      <c r="A13" s="2987">
        <v>10</v>
      </c>
      <c r="B13" s="2987">
        <v>12</v>
      </c>
      <c r="C13" s="2987">
        <v>1508.93</v>
      </c>
      <c r="D13" s="2985" t="s">
        <v>508</v>
      </c>
      <c r="E13" s="2985" t="s">
        <v>509</v>
      </c>
      <c r="F13" s="2987">
        <v>12</v>
      </c>
      <c r="H13" s="2988">
        <v>2</v>
      </c>
      <c r="I13" s="2995">
        <v>6948.14</v>
      </c>
      <c r="L13" s="2996" t="s">
        <v>520</v>
      </c>
      <c r="M13" s="2996">
        <v>6642.82</v>
      </c>
      <c r="N13" s="2996">
        <v>71.38</v>
      </c>
      <c r="O13" s="2996">
        <f>M13-N13</f>
        <v>6571.44</v>
      </c>
      <c r="P13" s="2996">
        <f>145.2+115.86</f>
        <v>261.06</v>
      </c>
      <c r="Q13" s="2996">
        <f>O13-P13</f>
        <v>6310.38</v>
      </c>
    </row>
    <row r="14" spans="1:17">
      <c r="A14" s="2987">
        <v>11</v>
      </c>
      <c r="B14" s="2987">
        <v>13</v>
      </c>
      <c r="C14" s="2987">
        <v>1494.53</v>
      </c>
      <c r="D14" s="2985" t="s">
        <v>508</v>
      </c>
      <c r="E14" s="2985" t="s">
        <v>507</v>
      </c>
      <c r="F14" s="2987">
        <v>13</v>
      </c>
      <c r="H14" s="2988">
        <v>3</v>
      </c>
      <c r="I14" s="2995">
        <v>3540.33</v>
      </c>
      <c r="L14" s="2996" t="s">
        <v>521</v>
      </c>
      <c r="M14" s="2996">
        <v>6948.14</v>
      </c>
      <c r="N14" s="2996"/>
      <c r="O14" s="2996">
        <f>M14-N14</f>
        <v>6948.14</v>
      </c>
      <c r="P14" s="2996"/>
      <c r="Q14" s="2996">
        <f>O14-P14</f>
        <v>6948.14</v>
      </c>
    </row>
    <row r="15" spans="1:17">
      <c r="A15" s="2987">
        <v>12</v>
      </c>
      <c r="B15" s="2987">
        <v>14</v>
      </c>
      <c r="C15" s="2987">
        <v>1487.33</v>
      </c>
      <c r="D15" s="2985" t="s">
        <v>508</v>
      </c>
      <c r="E15" s="2985" t="s">
        <v>509</v>
      </c>
      <c r="F15" s="2987">
        <v>14</v>
      </c>
      <c r="H15" s="2988" t="s">
        <v>522</v>
      </c>
      <c r="I15" s="2988">
        <v>11676.87</v>
      </c>
      <c r="L15" s="2996" t="s">
        <v>523</v>
      </c>
      <c r="M15" s="2996">
        <v>3351.2</v>
      </c>
      <c r="N15" s="2996"/>
      <c r="O15" s="2996">
        <f>M15-N15</f>
        <v>3351.2</v>
      </c>
      <c r="P15" s="2996"/>
      <c r="Q15" s="2996">
        <f>O15-P15</f>
        <v>3351.2</v>
      </c>
    </row>
    <row r="16" spans="1:17">
      <c r="A16" s="2987">
        <v>13</v>
      </c>
      <c r="B16" s="2987">
        <v>15</v>
      </c>
      <c r="C16" s="2987">
        <v>1472.93</v>
      </c>
      <c r="D16" s="2985" t="s">
        <v>508</v>
      </c>
      <c r="E16" s="2985" t="s">
        <v>507</v>
      </c>
      <c r="F16" s="2987">
        <v>15</v>
      </c>
      <c r="H16" s="2988">
        <v>-1</v>
      </c>
      <c r="I16" s="2995">
        <v>7482.87</v>
      </c>
      <c r="L16" s="2996" t="s">
        <v>524</v>
      </c>
      <c r="M16" s="2996">
        <v>189.13</v>
      </c>
      <c r="N16" s="2996"/>
      <c r="O16" s="2996">
        <f>M16-N16</f>
        <v>189.13</v>
      </c>
      <c r="P16" s="2996"/>
      <c r="Q16" s="2996">
        <f>O16-P16</f>
        <v>189.13</v>
      </c>
    </row>
    <row r="17" spans="1:17">
      <c r="A17" s="2987">
        <v>14</v>
      </c>
      <c r="B17" s="2987">
        <v>16</v>
      </c>
      <c r="C17" s="2987">
        <v>1465.73</v>
      </c>
      <c r="D17" s="2985" t="s">
        <v>508</v>
      </c>
      <c r="E17" s="2985" t="s">
        <v>509</v>
      </c>
      <c r="F17" s="2987">
        <v>16</v>
      </c>
      <c r="H17" s="2988">
        <v>-2</v>
      </c>
      <c r="I17" s="2995">
        <v>4194</v>
      </c>
      <c r="L17" s="2996" t="s">
        <v>483</v>
      </c>
      <c r="M17" s="2996">
        <f>SUM(M13:M16)</f>
        <v>17131.29</v>
      </c>
      <c r="N17" s="2996">
        <f>SUM(N13:N16)</f>
        <v>71.38</v>
      </c>
      <c r="O17" s="2996">
        <f>SUM(O13:O16)</f>
        <v>17059.91</v>
      </c>
      <c r="P17" s="2996">
        <f>SUM(P13:P16)</f>
        <v>261.06</v>
      </c>
      <c r="Q17" s="2996">
        <f>SUM(Q13:Q16)</f>
        <v>16798.85</v>
      </c>
    </row>
    <row r="18" spans="1:17">
      <c r="A18" s="2987">
        <v>15</v>
      </c>
      <c r="B18" s="2987">
        <v>17</v>
      </c>
      <c r="C18" s="2987">
        <v>1451.33</v>
      </c>
      <c r="D18" s="2985" t="s">
        <v>508</v>
      </c>
      <c r="E18" s="2985" t="s">
        <v>507</v>
      </c>
      <c r="F18" s="2987">
        <v>17</v>
      </c>
      <c r="H18" s="2988" t="s">
        <v>525</v>
      </c>
      <c r="I18" s="2988">
        <v>302.83</v>
      </c>
      <c r="L18" s="2996"/>
      <c r="M18" s="2996"/>
      <c r="N18" s="2996"/>
      <c r="O18" s="2996"/>
      <c r="P18" s="2996"/>
      <c r="Q18" s="2996"/>
    </row>
    <row r="19" spans="1:17">
      <c r="A19" s="2987">
        <v>16</v>
      </c>
      <c r="B19" s="2987">
        <v>18</v>
      </c>
      <c r="C19" s="2987">
        <v>1444.13</v>
      </c>
      <c r="D19" s="2985" t="s">
        <v>508</v>
      </c>
      <c r="E19" s="2985" t="s">
        <v>509</v>
      </c>
      <c r="F19" s="2987">
        <v>18</v>
      </c>
      <c r="H19" s="2988" t="s">
        <v>463</v>
      </c>
      <c r="I19" s="2988">
        <v>6958.06</v>
      </c>
      <c r="L19" s="2996"/>
      <c r="M19" s="2996"/>
      <c r="N19" s="2996"/>
      <c r="O19" s="2996"/>
      <c r="P19" s="2996"/>
      <c r="Q19" s="2996"/>
    </row>
    <row r="20" spans="1:17">
      <c r="A20" s="2987">
        <v>17</v>
      </c>
      <c r="B20" s="2987">
        <v>19</v>
      </c>
      <c r="C20" s="2987">
        <v>1429.73</v>
      </c>
      <c r="D20" s="2985" t="s">
        <v>508</v>
      </c>
      <c r="E20" s="2985" t="s">
        <v>507</v>
      </c>
      <c r="F20" s="2987">
        <v>19</v>
      </c>
      <c r="H20" s="2988" t="s">
        <v>526</v>
      </c>
      <c r="I20" s="2988">
        <v>4698.57</v>
      </c>
      <c r="L20" s="2996"/>
      <c r="M20" s="2996"/>
      <c r="N20" s="2996"/>
      <c r="O20" s="2996"/>
      <c r="P20" s="2996"/>
      <c r="Q20" s="2996"/>
    </row>
    <row r="21" spans="1:17">
      <c r="A21" s="2987">
        <v>18</v>
      </c>
      <c r="B21" s="2987">
        <v>20</v>
      </c>
      <c r="C21" s="2987">
        <v>1419.07</v>
      </c>
      <c r="D21" s="2985" t="s">
        <v>508</v>
      </c>
      <c r="E21" s="2985" t="s">
        <v>509</v>
      </c>
      <c r="F21" s="2987">
        <v>20</v>
      </c>
      <c r="H21" s="2988" t="s">
        <v>510</v>
      </c>
      <c r="I21" s="2988">
        <f>I29-I27-I6</f>
        <v>40435.18</v>
      </c>
      <c r="L21" s="2996"/>
      <c r="M21" s="2996"/>
      <c r="N21" s="2996"/>
      <c r="O21" s="2996"/>
      <c r="P21" s="2996"/>
      <c r="Q21" s="2996"/>
    </row>
    <row r="22" spans="1:9">
      <c r="A22" s="2987">
        <v>19</v>
      </c>
      <c r="B22" s="2987">
        <v>21</v>
      </c>
      <c r="C22" s="2987">
        <v>1411.87</v>
      </c>
      <c r="D22" s="2985" t="s">
        <v>508</v>
      </c>
      <c r="E22" s="2985" t="s">
        <v>507</v>
      </c>
      <c r="F22" s="2987">
        <v>21</v>
      </c>
      <c r="H22" s="2988"/>
      <c r="I22" s="2988"/>
    </row>
    <row r="23" spans="1:9">
      <c r="A23" s="2987">
        <v>20</v>
      </c>
      <c r="B23" s="2987">
        <v>22</v>
      </c>
      <c r="C23" s="2987">
        <v>984.58</v>
      </c>
      <c r="D23" s="2985" t="s">
        <v>508</v>
      </c>
      <c r="E23" s="2985" t="s">
        <v>509</v>
      </c>
      <c r="F23" s="2987">
        <v>22</v>
      </c>
      <c r="H23" s="2988"/>
      <c r="I23" s="2988"/>
    </row>
    <row r="24" spans="1:9">
      <c r="A24" s="2987">
        <v>21</v>
      </c>
      <c r="B24" s="2987">
        <v>23</v>
      </c>
      <c r="C24" s="2987">
        <v>977.38</v>
      </c>
      <c r="D24" s="2985" t="s">
        <v>508</v>
      </c>
      <c r="E24" s="2985" t="s">
        <v>507</v>
      </c>
      <c r="F24" s="2987">
        <v>23</v>
      </c>
      <c r="H24" s="2988"/>
      <c r="I24" s="2988"/>
    </row>
    <row r="25" spans="1:9">
      <c r="A25" s="2987">
        <v>22</v>
      </c>
      <c r="B25" s="2987">
        <v>24</v>
      </c>
      <c r="C25" s="2987">
        <v>881.37</v>
      </c>
      <c r="D25" s="2985" t="s">
        <v>508</v>
      </c>
      <c r="E25" s="2985" t="s">
        <v>509</v>
      </c>
      <c r="F25" s="2987">
        <v>24</v>
      </c>
      <c r="H25" t="s">
        <v>462</v>
      </c>
      <c r="I25">
        <f>I27-I26</f>
        <v>31653.37</v>
      </c>
    </row>
    <row r="26" spans="1:9">
      <c r="A26" s="2987">
        <v>23</v>
      </c>
      <c r="B26" s="2987">
        <v>25</v>
      </c>
      <c r="C26" s="2987">
        <v>931.34</v>
      </c>
      <c r="D26" s="2985" t="s">
        <v>508</v>
      </c>
      <c r="E26" s="2985" t="s">
        <v>507</v>
      </c>
      <c r="F26" s="2987">
        <v>25</v>
      </c>
      <c r="H26" t="s">
        <v>461</v>
      </c>
      <c r="I26">
        <f>C45</f>
        <v>1582.73</v>
      </c>
    </row>
    <row r="27" spans="1:9">
      <c r="A27" s="2989">
        <v>24</v>
      </c>
      <c r="B27" s="2989">
        <v>26</v>
      </c>
      <c r="C27" s="2989">
        <v>854.48</v>
      </c>
      <c r="D27" s="2990" t="s">
        <v>508</v>
      </c>
      <c r="E27" s="2990" t="s">
        <v>509</v>
      </c>
      <c r="F27" s="2989">
        <v>26</v>
      </c>
      <c r="H27" t="s">
        <v>510</v>
      </c>
      <c r="I27">
        <f>C69</f>
        <v>33236.1</v>
      </c>
    </row>
    <row r="28" spans="1:6">
      <c r="A28" s="2991" t="s">
        <v>483</v>
      </c>
      <c r="B28" s="2992"/>
      <c r="C28" s="2987">
        <f>SUM(C4:C27)</f>
        <v>33212.23</v>
      </c>
      <c r="D28" s="2985" t="s">
        <v>124</v>
      </c>
      <c r="E28" s="2985" t="s">
        <v>124</v>
      </c>
      <c r="F28" s="2985" t="s">
        <v>124</v>
      </c>
    </row>
    <row r="29" spans="1:12">
      <c r="A29" s="2687" t="s">
        <v>527</v>
      </c>
      <c r="H29" t="s">
        <v>480</v>
      </c>
      <c r="I29">
        <v>106883.51</v>
      </c>
      <c r="J29" s="2997"/>
      <c r="L29" s="2998"/>
    </row>
    <row r="30" spans="1:16">
      <c r="A30" s="2985" t="s">
        <v>499</v>
      </c>
      <c r="B30" s="2985" t="s">
        <v>500</v>
      </c>
      <c r="C30" s="2985" t="s">
        <v>479</v>
      </c>
      <c r="D30" s="2985" t="s">
        <v>501</v>
      </c>
      <c r="E30" s="2985" t="s">
        <v>502</v>
      </c>
      <c r="F30" s="2985"/>
      <c r="L30" s="2999" t="s">
        <v>499</v>
      </c>
      <c r="M30" s="2999" t="s">
        <v>528</v>
      </c>
      <c r="N30" s="2999" t="s">
        <v>529</v>
      </c>
      <c r="O30" s="2999" t="s">
        <v>479</v>
      </c>
      <c r="P30" s="2999" t="s">
        <v>501</v>
      </c>
    </row>
    <row r="31" spans="1:16">
      <c r="A31" s="2985"/>
      <c r="B31" s="2985"/>
      <c r="C31" s="2985"/>
      <c r="D31" s="2985"/>
      <c r="E31" s="2985" t="s">
        <v>503</v>
      </c>
      <c r="F31" s="2985" t="s">
        <v>504</v>
      </c>
      <c r="L31" s="3000">
        <v>1</v>
      </c>
      <c r="M31" s="3000">
        <v>20</v>
      </c>
      <c r="N31" s="2999" t="s">
        <v>530</v>
      </c>
      <c r="O31" s="2999">
        <v>31653.37</v>
      </c>
      <c r="P31" s="2999" t="s">
        <v>462</v>
      </c>
    </row>
    <row r="32" spans="1:16">
      <c r="A32" s="2987">
        <v>1</v>
      </c>
      <c r="B32" s="2987">
        <v>-301</v>
      </c>
      <c r="C32" s="2987">
        <v>1354.25</v>
      </c>
      <c r="D32" s="2985" t="s">
        <v>526</v>
      </c>
      <c r="E32" s="2985" t="s">
        <v>531</v>
      </c>
      <c r="F32" s="2987">
        <v>-3</v>
      </c>
      <c r="J32" s="2687"/>
      <c r="L32" s="3001"/>
      <c r="M32" s="3001"/>
      <c r="N32" s="2999" t="s">
        <v>532</v>
      </c>
      <c r="O32" s="2999">
        <v>1558.86</v>
      </c>
      <c r="P32" s="2999" t="s">
        <v>461</v>
      </c>
    </row>
    <row r="33" spans="1:16">
      <c r="A33" s="2987">
        <v>2</v>
      </c>
      <c r="B33" s="2987">
        <v>-302</v>
      </c>
      <c r="C33" s="2987">
        <v>1685.6</v>
      </c>
      <c r="D33" s="2985" t="s">
        <v>526</v>
      </c>
      <c r="E33" s="2985" t="s">
        <v>531</v>
      </c>
      <c r="F33" s="2987">
        <v>-3</v>
      </c>
      <c r="H33" s="2687"/>
      <c r="L33" s="3000" t="s">
        <v>533</v>
      </c>
      <c r="M33" s="3000" t="s">
        <v>534</v>
      </c>
      <c r="N33" s="2999" t="s">
        <v>535</v>
      </c>
      <c r="O33" s="2999">
        <v>16798.85</v>
      </c>
      <c r="P33" s="2999" t="s">
        <v>461</v>
      </c>
    </row>
    <row r="34" spans="1:16">
      <c r="A34" s="2987">
        <v>3</v>
      </c>
      <c r="B34" s="2987">
        <v>-201</v>
      </c>
      <c r="C34" s="2987">
        <v>6954.92</v>
      </c>
      <c r="D34" s="2985" t="s">
        <v>506</v>
      </c>
      <c r="E34" s="2985" t="s">
        <v>536</v>
      </c>
      <c r="F34" s="2987">
        <v>-2</v>
      </c>
      <c r="H34" s="2993"/>
      <c r="L34" s="3002"/>
      <c r="M34" s="3002"/>
      <c r="N34" s="2999" t="s">
        <v>537</v>
      </c>
      <c r="O34" s="3003">
        <v>11676.87</v>
      </c>
      <c r="P34" s="2999" t="s">
        <v>461</v>
      </c>
    </row>
    <row r="35" spans="1:16">
      <c r="A35" s="2987">
        <v>4</v>
      </c>
      <c r="B35" s="2987">
        <v>-202</v>
      </c>
      <c r="C35" s="2987">
        <v>3239</v>
      </c>
      <c r="D35" s="2985" t="s">
        <v>486</v>
      </c>
      <c r="E35" s="2985" t="s">
        <v>531</v>
      </c>
      <c r="F35" s="2987">
        <v>-2</v>
      </c>
      <c r="H35" s="2687"/>
      <c r="L35" s="3002"/>
      <c r="M35" s="3002"/>
      <c r="N35" s="2999" t="s">
        <v>538</v>
      </c>
      <c r="O35" s="3003">
        <v>302.83</v>
      </c>
      <c r="P35" s="2999" t="s">
        <v>462</v>
      </c>
    </row>
    <row r="36" spans="1:16">
      <c r="A36" s="2987">
        <v>5</v>
      </c>
      <c r="B36" s="2987">
        <v>-101</v>
      </c>
      <c r="C36" s="2987">
        <v>6650.82</v>
      </c>
      <c r="D36" s="2985" t="s">
        <v>506</v>
      </c>
      <c r="E36" s="2985" t="s">
        <v>531</v>
      </c>
      <c r="F36" s="2987">
        <v>-1</v>
      </c>
      <c r="H36" s="2994"/>
      <c r="L36" s="3002"/>
      <c r="M36" s="3002"/>
      <c r="N36" s="2999" t="s">
        <v>538</v>
      </c>
      <c r="O36" s="3003">
        <v>6958.06</v>
      </c>
      <c r="P36" s="2999" t="s">
        <v>486</v>
      </c>
    </row>
    <row r="37" spans="1:16">
      <c r="A37" s="2987">
        <v>6</v>
      </c>
      <c r="B37" s="2987">
        <v>-102</v>
      </c>
      <c r="C37" s="2987">
        <v>3719.06</v>
      </c>
      <c r="D37" s="2985" t="s">
        <v>486</v>
      </c>
      <c r="E37" s="2985" t="s">
        <v>531</v>
      </c>
      <c r="F37" s="2987">
        <v>-1</v>
      </c>
      <c r="H37" s="2994"/>
      <c r="L37" s="3001"/>
      <c r="M37" s="3001"/>
      <c r="N37" s="2999" t="s">
        <v>539</v>
      </c>
      <c r="O37" s="3003">
        <v>4698.57</v>
      </c>
      <c r="P37" s="2999" t="s">
        <v>526</v>
      </c>
    </row>
    <row r="38" spans="1:16">
      <c r="A38" s="2987">
        <v>7</v>
      </c>
      <c r="B38" s="2987">
        <v>101</v>
      </c>
      <c r="C38" s="2987">
        <v>2894.59</v>
      </c>
      <c r="D38" s="2985" t="s">
        <v>506</v>
      </c>
      <c r="E38" s="2985" t="s">
        <v>531</v>
      </c>
      <c r="F38" s="2987">
        <v>1</v>
      </c>
      <c r="H38" s="2994"/>
      <c r="L38" s="3000" t="s">
        <v>532</v>
      </c>
      <c r="M38" s="3000" t="s">
        <v>540</v>
      </c>
      <c r="N38" s="2999" t="s">
        <v>530</v>
      </c>
      <c r="O38" s="2999">
        <v>31653.37</v>
      </c>
      <c r="P38" s="2999" t="s">
        <v>462</v>
      </c>
    </row>
    <row r="39" spans="1:16">
      <c r="A39" s="2987">
        <v>8</v>
      </c>
      <c r="B39" s="2987">
        <v>102</v>
      </c>
      <c r="C39" s="2987">
        <v>1377.98</v>
      </c>
      <c r="D39" s="2985" t="s">
        <v>506</v>
      </c>
      <c r="E39" s="2985" t="s">
        <v>531</v>
      </c>
      <c r="F39" s="2987">
        <v>1</v>
      </c>
      <c r="H39" s="2994"/>
      <c r="L39" s="3001"/>
      <c r="M39" s="3001"/>
      <c r="N39" s="2999" t="s">
        <v>532</v>
      </c>
      <c r="O39" s="3003">
        <v>1582.73</v>
      </c>
      <c r="P39" s="2999" t="s">
        <v>461</v>
      </c>
    </row>
    <row r="40" spans="1:16">
      <c r="A40" s="2987">
        <v>9</v>
      </c>
      <c r="B40" s="2987">
        <v>2</v>
      </c>
      <c r="C40" s="2987">
        <v>4505.86</v>
      </c>
      <c r="D40" s="2985" t="s">
        <v>506</v>
      </c>
      <c r="E40" s="2985" t="s">
        <v>531</v>
      </c>
      <c r="F40" s="2987">
        <v>2</v>
      </c>
      <c r="L40" s="2996" t="s">
        <v>480</v>
      </c>
      <c r="M40" s="2996" t="s">
        <v>124</v>
      </c>
      <c r="N40" s="2996" t="s">
        <v>124</v>
      </c>
      <c r="O40" s="2996">
        <f>SUM(O31:O39)</f>
        <v>106883.51</v>
      </c>
      <c r="P40" s="2996" t="s">
        <v>124</v>
      </c>
    </row>
    <row r="41" spans="1:6">
      <c r="A41" s="2985" t="s">
        <v>483</v>
      </c>
      <c r="B41" s="2987"/>
      <c r="C41" s="2987">
        <f>SUM(C32:C40)</f>
        <v>32382.08</v>
      </c>
      <c r="D41" s="2985" t="s">
        <v>124</v>
      </c>
      <c r="E41" s="2985" t="s">
        <v>124</v>
      </c>
      <c r="F41" s="2985" t="s">
        <v>124</v>
      </c>
    </row>
    <row r="42" spans="1:1">
      <c r="A42" s="2687" t="s">
        <v>541</v>
      </c>
    </row>
    <row r="43" spans="1:6">
      <c r="A43" s="2985" t="s">
        <v>499</v>
      </c>
      <c r="B43" s="2985" t="s">
        <v>500</v>
      </c>
      <c r="C43" s="2985" t="s">
        <v>479</v>
      </c>
      <c r="D43" s="2985" t="s">
        <v>501</v>
      </c>
      <c r="E43" s="2985" t="s">
        <v>502</v>
      </c>
      <c r="F43" s="2985"/>
    </row>
    <row r="44" spans="1:6">
      <c r="A44" s="2985"/>
      <c r="B44" s="2985"/>
      <c r="C44" s="2985"/>
      <c r="D44" s="2985"/>
      <c r="E44" s="2986" t="s">
        <v>503</v>
      </c>
      <c r="F44" s="2986" t="s">
        <v>504</v>
      </c>
    </row>
    <row r="45" spans="1:6">
      <c r="A45" s="2987">
        <v>1</v>
      </c>
      <c r="B45" s="2987">
        <v>3</v>
      </c>
      <c r="C45" s="2987">
        <v>1582.73</v>
      </c>
      <c r="D45" s="2985" t="s">
        <v>506</v>
      </c>
      <c r="E45" s="2985" t="s">
        <v>507</v>
      </c>
      <c r="F45" s="2987">
        <v>3</v>
      </c>
    </row>
    <row r="46" spans="1:6">
      <c r="A46" s="2987">
        <v>2</v>
      </c>
      <c r="B46" s="2987">
        <v>4</v>
      </c>
      <c r="C46" s="2987">
        <v>1588.13</v>
      </c>
      <c r="D46" s="2985" t="s">
        <v>508</v>
      </c>
      <c r="E46" s="2985" t="s">
        <v>509</v>
      </c>
      <c r="F46" s="2987">
        <v>4</v>
      </c>
    </row>
    <row r="47" spans="1:6">
      <c r="A47" s="2987">
        <v>3</v>
      </c>
      <c r="B47" s="2987">
        <v>5</v>
      </c>
      <c r="C47" s="2987">
        <v>1580.93</v>
      </c>
      <c r="D47" s="2985" t="s">
        <v>508</v>
      </c>
      <c r="E47" s="2985" t="s">
        <v>507</v>
      </c>
      <c r="F47" s="2987">
        <v>5</v>
      </c>
    </row>
    <row r="48" spans="1:6">
      <c r="A48" s="2987">
        <v>4</v>
      </c>
      <c r="B48" s="2987">
        <v>6</v>
      </c>
      <c r="C48" s="2987">
        <v>1573.73</v>
      </c>
      <c r="D48" s="2985" t="s">
        <v>508</v>
      </c>
      <c r="E48" s="2985" t="s">
        <v>509</v>
      </c>
      <c r="F48" s="2987">
        <v>6</v>
      </c>
    </row>
    <row r="49" spans="1:6">
      <c r="A49" s="2987">
        <v>5</v>
      </c>
      <c r="B49" s="2987">
        <v>7</v>
      </c>
      <c r="C49" s="2987">
        <v>1559.33</v>
      </c>
      <c r="D49" s="2985" t="s">
        <v>508</v>
      </c>
      <c r="E49" s="2985" t="s">
        <v>507</v>
      </c>
      <c r="F49" s="2987">
        <v>7</v>
      </c>
    </row>
    <row r="50" spans="1:6">
      <c r="A50" s="2987">
        <v>6</v>
      </c>
      <c r="B50" s="2987">
        <v>8</v>
      </c>
      <c r="C50" s="2987">
        <v>1552.13</v>
      </c>
      <c r="D50" s="2985" t="s">
        <v>508</v>
      </c>
      <c r="E50" s="2985" t="s">
        <v>509</v>
      </c>
      <c r="F50" s="2987">
        <v>8</v>
      </c>
    </row>
    <row r="51" spans="1:6">
      <c r="A51" s="2987">
        <v>7</v>
      </c>
      <c r="B51" s="2987">
        <v>9</v>
      </c>
      <c r="C51" s="2987">
        <v>1537.73</v>
      </c>
      <c r="D51" s="2985" t="s">
        <v>508</v>
      </c>
      <c r="E51" s="2985" t="s">
        <v>507</v>
      </c>
      <c r="F51" s="2987">
        <v>9</v>
      </c>
    </row>
    <row r="52" spans="1:6">
      <c r="A52" s="2987">
        <v>8</v>
      </c>
      <c r="B52" s="2987">
        <v>10</v>
      </c>
      <c r="C52" s="2987">
        <v>1530.53</v>
      </c>
      <c r="D52" s="2985" t="s">
        <v>508</v>
      </c>
      <c r="E52" s="2985" t="s">
        <v>509</v>
      </c>
      <c r="F52" s="2987">
        <v>10</v>
      </c>
    </row>
    <row r="53" spans="1:6">
      <c r="A53" s="2987">
        <v>9</v>
      </c>
      <c r="B53" s="2987">
        <v>11</v>
      </c>
      <c r="C53" s="2987">
        <v>1516.13</v>
      </c>
      <c r="D53" s="2985" t="s">
        <v>508</v>
      </c>
      <c r="E53" s="2985" t="s">
        <v>507</v>
      </c>
      <c r="F53" s="2987">
        <v>11</v>
      </c>
    </row>
    <row r="54" spans="1:6">
      <c r="A54" s="2987">
        <v>10</v>
      </c>
      <c r="B54" s="2987">
        <v>12</v>
      </c>
      <c r="C54" s="2987">
        <v>1508.93</v>
      </c>
      <c r="D54" s="2985" t="s">
        <v>508</v>
      </c>
      <c r="E54" s="2985" t="s">
        <v>509</v>
      </c>
      <c r="F54" s="2987">
        <v>12</v>
      </c>
    </row>
    <row r="55" spans="1:6">
      <c r="A55" s="2987">
        <v>11</v>
      </c>
      <c r="B55" s="2987">
        <v>13</v>
      </c>
      <c r="C55" s="2987">
        <v>1494.53</v>
      </c>
      <c r="D55" s="2985" t="s">
        <v>508</v>
      </c>
      <c r="E55" s="2985" t="s">
        <v>507</v>
      </c>
      <c r="F55" s="2987">
        <v>13</v>
      </c>
    </row>
    <row r="56" spans="1:6">
      <c r="A56" s="2987">
        <v>12</v>
      </c>
      <c r="B56" s="2987">
        <v>14</v>
      </c>
      <c r="C56" s="2987">
        <v>1487.33</v>
      </c>
      <c r="D56" s="2985" t="s">
        <v>508</v>
      </c>
      <c r="E56" s="2985" t="s">
        <v>509</v>
      </c>
      <c r="F56" s="2987">
        <v>14</v>
      </c>
    </row>
    <row r="57" spans="1:6">
      <c r="A57" s="2987">
        <v>13</v>
      </c>
      <c r="B57" s="2987">
        <v>15</v>
      </c>
      <c r="C57" s="2987">
        <v>1472.93</v>
      </c>
      <c r="D57" s="2985" t="s">
        <v>508</v>
      </c>
      <c r="E57" s="2985" t="s">
        <v>507</v>
      </c>
      <c r="F57" s="2987">
        <v>15</v>
      </c>
    </row>
    <row r="58" spans="1:6">
      <c r="A58" s="2987">
        <v>14</v>
      </c>
      <c r="B58" s="2987">
        <v>16</v>
      </c>
      <c r="C58" s="2987">
        <v>1465.73</v>
      </c>
      <c r="D58" s="2985" t="s">
        <v>508</v>
      </c>
      <c r="E58" s="2985" t="s">
        <v>509</v>
      </c>
      <c r="F58" s="2987">
        <v>16</v>
      </c>
    </row>
    <row r="59" spans="1:6">
      <c r="A59" s="2987">
        <v>15</v>
      </c>
      <c r="B59" s="2987">
        <v>17</v>
      </c>
      <c r="C59" s="2987">
        <v>1451.33</v>
      </c>
      <c r="D59" s="2985" t="s">
        <v>508</v>
      </c>
      <c r="E59" s="2985" t="s">
        <v>507</v>
      </c>
      <c r="F59" s="2987">
        <v>17</v>
      </c>
    </row>
    <row r="60" spans="1:6">
      <c r="A60" s="2987">
        <v>16</v>
      </c>
      <c r="B60" s="2987">
        <v>18</v>
      </c>
      <c r="C60" s="2987">
        <v>1444.13</v>
      </c>
      <c r="D60" s="2985" t="s">
        <v>508</v>
      </c>
      <c r="E60" s="2985" t="s">
        <v>509</v>
      </c>
      <c r="F60" s="2987">
        <v>18</v>
      </c>
    </row>
    <row r="61" spans="1:6">
      <c r="A61" s="2987">
        <v>17</v>
      </c>
      <c r="B61" s="2987">
        <v>19</v>
      </c>
      <c r="C61" s="2987">
        <v>1429.73</v>
      </c>
      <c r="D61" s="2985" t="s">
        <v>508</v>
      </c>
      <c r="E61" s="2985" t="s">
        <v>507</v>
      </c>
      <c r="F61" s="2987">
        <v>19</v>
      </c>
    </row>
    <row r="62" spans="1:6">
      <c r="A62" s="2987">
        <v>18</v>
      </c>
      <c r="B62" s="2987">
        <v>20</v>
      </c>
      <c r="C62" s="2987">
        <v>1419.07</v>
      </c>
      <c r="D62" s="2985" t="s">
        <v>508</v>
      </c>
      <c r="E62" s="2985" t="s">
        <v>509</v>
      </c>
      <c r="F62" s="2987">
        <v>20</v>
      </c>
    </row>
    <row r="63" spans="1:6">
      <c r="A63" s="2987">
        <v>19</v>
      </c>
      <c r="B63" s="2987">
        <v>21</v>
      </c>
      <c r="C63" s="2987">
        <v>1411.87</v>
      </c>
      <c r="D63" s="2985" t="s">
        <v>508</v>
      </c>
      <c r="E63" s="2985" t="s">
        <v>507</v>
      </c>
      <c r="F63" s="2987">
        <v>21</v>
      </c>
    </row>
    <row r="64" spans="1:6">
      <c r="A64" s="2987">
        <v>20</v>
      </c>
      <c r="B64" s="2987">
        <v>22</v>
      </c>
      <c r="C64" s="2987">
        <v>984.58</v>
      </c>
      <c r="D64" s="2985" t="s">
        <v>508</v>
      </c>
      <c r="E64" s="2985" t="s">
        <v>509</v>
      </c>
      <c r="F64" s="2987">
        <v>22</v>
      </c>
    </row>
    <row r="65" spans="1:6">
      <c r="A65" s="2987">
        <v>21</v>
      </c>
      <c r="B65" s="2987">
        <v>23</v>
      </c>
      <c r="C65" s="2987">
        <v>977.38</v>
      </c>
      <c r="D65" s="2985" t="s">
        <v>508</v>
      </c>
      <c r="E65" s="2985" t="s">
        <v>507</v>
      </c>
      <c r="F65" s="2987">
        <v>23</v>
      </c>
    </row>
    <row r="66" spans="1:6">
      <c r="A66" s="2987">
        <v>22</v>
      </c>
      <c r="B66" s="2987">
        <v>24</v>
      </c>
      <c r="C66" s="2987">
        <v>881.37</v>
      </c>
      <c r="D66" s="2985" t="s">
        <v>508</v>
      </c>
      <c r="E66" s="2985" t="s">
        <v>509</v>
      </c>
      <c r="F66" s="2987">
        <v>24</v>
      </c>
    </row>
    <row r="67" spans="1:6">
      <c r="A67" s="2987">
        <v>23</v>
      </c>
      <c r="B67" s="2987">
        <v>25</v>
      </c>
      <c r="C67" s="2987">
        <v>931.34</v>
      </c>
      <c r="D67" s="2985" t="s">
        <v>508</v>
      </c>
      <c r="E67" s="2985" t="s">
        <v>507</v>
      </c>
      <c r="F67" s="2987">
        <v>25</v>
      </c>
    </row>
    <row r="68" spans="1:6">
      <c r="A68" s="2987">
        <v>24</v>
      </c>
      <c r="B68" s="2987">
        <v>26</v>
      </c>
      <c r="C68" s="2987">
        <v>854.48</v>
      </c>
      <c r="D68" s="2985" t="s">
        <v>508</v>
      </c>
      <c r="E68" s="2985" t="s">
        <v>509</v>
      </c>
      <c r="F68" s="2987">
        <v>26</v>
      </c>
    </row>
    <row r="69" spans="1:6">
      <c r="A69" s="2991" t="s">
        <v>483</v>
      </c>
      <c r="B69" s="2992"/>
      <c r="C69" s="2987">
        <f>SUM(C45:C68)</f>
        <v>33236.1</v>
      </c>
      <c r="D69" s="2985" t="s">
        <v>124</v>
      </c>
      <c r="E69" s="2985" t="s">
        <v>124</v>
      </c>
      <c r="F69" s="2985" t="s">
        <v>124</v>
      </c>
    </row>
    <row r="70" spans="1:6">
      <c r="A70" s="2991" t="s">
        <v>480</v>
      </c>
      <c r="B70" s="3004"/>
      <c r="C70" s="2987">
        <f>C28+C41+C69</f>
        <v>98830.41</v>
      </c>
      <c r="D70" s="2985" t="s">
        <v>124</v>
      </c>
      <c r="E70" s="2985" t="s">
        <v>124</v>
      </c>
      <c r="F70" s="2985" t="s">
        <v>124</v>
      </c>
    </row>
  </sheetData>
  <mergeCells count="25">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2888" customWidth="1"/>
    <col min="2" max="2" width="10.25" style="2888" customWidth="1"/>
    <col min="3" max="3" width="18.5" style="2888" customWidth="1"/>
    <col min="4" max="4" width="11.625" style="2888" customWidth="1"/>
    <col min="5" max="5" width="13.375" style="2888" customWidth="1"/>
    <col min="6" max="8" width="11.5" style="2888" customWidth="1"/>
    <col min="9" max="9" width="11.125" style="2888" customWidth="1"/>
    <col min="10" max="10" width="3.125" style="2889" customWidth="1"/>
    <col min="11" max="16" width="10" style="2888" customWidth="1"/>
    <col min="17" max="17" width="2.625" style="2888" customWidth="1"/>
    <col min="18" max="18" width="9.375" style="2888" customWidth="1"/>
    <col min="19" max="19" width="10.5" style="2888" customWidth="1"/>
    <col min="20" max="16384" width="9.25" style="2888"/>
  </cols>
  <sheetData>
    <row r="1" ht="19.5" spans="1:16">
      <c r="A1" s="2147" t="s">
        <v>542</v>
      </c>
      <c r="B1" s="2233"/>
      <c r="C1" s="2233"/>
      <c r="D1" s="2233"/>
      <c r="E1" s="2233"/>
      <c r="F1" s="2233"/>
      <c r="G1" s="2233"/>
      <c r="H1" s="2233"/>
      <c r="I1" s="2233"/>
      <c r="J1" s="2233"/>
      <c r="K1" s="2233"/>
      <c r="L1" s="2233"/>
      <c r="M1" s="2233"/>
      <c r="N1" s="2233"/>
      <c r="O1" s="2233"/>
      <c r="P1" s="2233"/>
    </row>
    <row r="2" spans="1:16">
      <c r="A2" s="1850" t="s">
        <v>543</v>
      </c>
      <c r="B2" s="1850"/>
      <c r="C2" s="1850"/>
      <c r="D2" s="1850" t="s">
        <v>544</v>
      </c>
      <c r="E2" s="2890" t="s">
        <v>545</v>
      </c>
      <c r="F2" s="2891"/>
      <c r="G2" s="2892"/>
      <c r="H2" s="2893"/>
      <c r="I2" s="2414" t="s">
        <v>546</v>
      </c>
      <c r="J2" s="2891"/>
      <c r="K2" s="2891"/>
      <c r="L2" s="2891"/>
      <c r="M2" s="2891"/>
      <c r="N2" s="1158"/>
      <c r="O2" s="2891"/>
      <c r="P2" s="2891"/>
    </row>
    <row r="3" ht="15.75" spans="1:16">
      <c r="A3" s="2894" t="s">
        <v>547</v>
      </c>
      <c r="B3" s="2894"/>
      <c r="C3" s="2894"/>
      <c r="D3" s="2895">
        <f>'数据-基础表'!AY6</f>
        <v>9082.33</v>
      </c>
      <c r="E3" s="2895">
        <f>'数据-基础表'!AZ5</f>
        <v>66448.33</v>
      </c>
      <c r="F3" s="2891"/>
      <c r="G3" s="2896"/>
      <c r="H3" s="2181" t="s">
        <v>548</v>
      </c>
      <c r="I3" s="2960">
        <f>ROUND('数据-基础表'!B3/'数据-基础表'!A3,2)</f>
        <v>7.32</v>
      </c>
      <c r="J3" s="2891"/>
      <c r="K3" s="2891"/>
      <c r="L3" s="2891"/>
      <c r="M3" s="2891"/>
      <c r="N3" s="1158"/>
      <c r="O3" s="2891"/>
      <c r="P3" s="2891"/>
    </row>
    <row r="4" ht="15" spans="1:16">
      <c r="A4" s="2412"/>
      <c r="B4" s="2413"/>
      <c r="C4" s="2897"/>
      <c r="D4" s="2898" t="s">
        <v>544</v>
      </c>
      <c r="E4" s="2899" t="s">
        <v>545</v>
      </c>
      <c r="F4" s="2891"/>
      <c r="G4" s="2900" t="s">
        <v>549</v>
      </c>
      <c r="H4" s="2181" t="s">
        <v>550</v>
      </c>
      <c r="I4" s="2960">
        <f>ROUND(SUMIF('数据-基础表'!I9:AS9,"地上",'数据-基础表'!I5:AS5)/'数据-基础表'!A3,2)</f>
        <v>5.7</v>
      </c>
      <c r="J4" s="2891"/>
      <c r="K4" s="2891"/>
      <c r="L4" s="2891"/>
      <c r="M4" s="2891"/>
      <c r="N4" s="1158"/>
      <c r="O4" s="2891"/>
      <c r="P4" s="2891"/>
    </row>
    <row r="5" spans="1:16">
      <c r="A5" s="2901" t="s">
        <v>551</v>
      </c>
      <c r="B5" s="1043" t="s">
        <v>552</v>
      </c>
      <c r="C5" s="1043"/>
      <c r="D5" s="2902">
        <f>ROUND($D$3*E5/$E$3,2)</f>
        <v>0</v>
      </c>
      <c r="E5" s="2903">
        <f>SUMIF('数据-基础表'!$11:$11,"住宅",'数据-基础表'!$5:$5)</f>
        <v>0</v>
      </c>
      <c r="F5" s="2891"/>
      <c r="G5" s="2896"/>
      <c r="H5" s="2181" t="s">
        <v>548</v>
      </c>
      <c r="I5" s="2960">
        <f>ROUND(E31/D31,2)</f>
        <v>7.32</v>
      </c>
      <c r="J5" s="2891"/>
      <c r="K5" s="2891"/>
      <c r="L5" s="2891"/>
      <c r="M5" s="2891"/>
      <c r="N5" s="2891"/>
      <c r="O5" s="2891"/>
      <c r="P5" s="2891"/>
    </row>
    <row r="6" ht="15" spans="1:16">
      <c r="A6" s="2904"/>
      <c r="B6" s="1043" t="s">
        <v>553</v>
      </c>
      <c r="C6" s="1043"/>
      <c r="D6" s="2902">
        <f>ROUND($D$3*E6/$E$3,2)</f>
        <v>9082.33</v>
      </c>
      <c r="E6" s="2903">
        <f>E3-E5</f>
        <v>66448.33</v>
      </c>
      <c r="F6" s="2891"/>
      <c r="G6" s="2905" t="s">
        <v>554</v>
      </c>
      <c r="H6" s="2906" t="s">
        <v>550</v>
      </c>
      <c r="I6" s="2961">
        <f>ROUND(F31/D31,2)</f>
        <v>7.32</v>
      </c>
      <c r="J6" s="2891"/>
      <c r="K6" s="2891"/>
      <c r="L6" s="2891"/>
      <c r="M6" s="2891"/>
      <c r="N6" s="2891"/>
      <c r="O6" s="2891"/>
      <c r="P6" s="2891"/>
    </row>
    <row r="7" ht="15" spans="1:16">
      <c r="A7" s="2907"/>
      <c r="B7" s="2908"/>
      <c r="C7" s="2909"/>
      <c r="D7" s="2898" t="s">
        <v>544</v>
      </c>
      <c r="E7" s="2910" t="s">
        <v>555</v>
      </c>
      <c r="F7" s="2891"/>
      <c r="G7" s="2911" t="s">
        <v>556</v>
      </c>
      <c r="H7" s="2912"/>
      <c r="I7" s="2962"/>
      <c r="J7" s="2891"/>
      <c r="K7" s="2891"/>
      <c r="L7" s="2891"/>
      <c r="M7" s="2891"/>
      <c r="N7" s="2891"/>
      <c r="O7" s="2891"/>
      <c r="P7" s="2891"/>
    </row>
    <row r="8" spans="1:16">
      <c r="A8" s="2901" t="s">
        <v>557</v>
      </c>
      <c r="B8" s="2913" t="s">
        <v>558</v>
      </c>
      <c r="C8" s="2902" t="s">
        <v>559</v>
      </c>
      <c r="D8" s="2902">
        <f t="shared" ref="D8:D15" si="0">ROUND($D$3*E8/$E$3,2)</f>
        <v>9082.33</v>
      </c>
      <c r="E8" s="2914">
        <f>SUMIF('数据-基础表'!BB10:BK10,"地上",'数据-基础表'!BB5:BK5)</f>
        <v>66448.33</v>
      </c>
      <c r="F8" s="2891"/>
      <c r="G8" s="2915"/>
      <c r="H8" s="2915"/>
      <c r="I8" s="2891"/>
      <c r="J8" s="2891"/>
      <c r="K8" s="2891"/>
      <c r="L8" s="2891"/>
      <c r="M8" s="2891"/>
      <c r="N8" s="2891"/>
      <c r="O8" s="2891"/>
      <c r="P8" s="2891"/>
    </row>
    <row r="9" spans="1:16">
      <c r="A9" s="2916"/>
      <c r="B9" s="2917"/>
      <c r="C9" s="2902" t="s">
        <v>560</v>
      </c>
      <c r="D9" s="2902">
        <f t="shared" si="0"/>
        <v>0</v>
      </c>
      <c r="E9" s="2918">
        <v>0</v>
      </c>
      <c r="F9" s="2891"/>
      <c r="G9" s="2915"/>
      <c r="H9" s="2915"/>
      <c r="I9" s="2891"/>
      <c r="J9" s="2891"/>
      <c r="K9" s="2891"/>
      <c r="L9" s="2891"/>
      <c r="M9" s="2891"/>
      <c r="N9" s="2891"/>
      <c r="O9" s="2891"/>
      <c r="P9" s="2891"/>
    </row>
    <row r="10" spans="1:16">
      <c r="A10" s="2916"/>
      <c r="B10" s="2917"/>
      <c r="C10" s="2902" t="s">
        <v>561</v>
      </c>
      <c r="D10" s="2902">
        <f t="shared" si="0"/>
        <v>0</v>
      </c>
      <c r="E10" s="2914">
        <f>SUMPRODUCT(('数据-基础表'!BB10:BK10="地下")*('数据-基础表'!BB11:BK11="商业")*('数据-基础表'!BB5:BK5))</f>
        <v>0</v>
      </c>
      <c r="F10" s="2891"/>
      <c r="G10" s="2915"/>
      <c r="H10" s="2915"/>
      <c r="I10" s="2891"/>
      <c r="J10" s="2891"/>
      <c r="K10" s="2891"/>
      <c r="L10" s="2891"/>
      <c r="M10" s="2891"/>
      <c r="N10" s="2891"/>
      <c r="O10" s="2891"/>
      <c r="P10" s="2891"/>
    </row>
    <row r="11" spans="1:16">
      <c r="A11" s="2916"/>
      <c r="B11" s="2917"/>
      <c r="C11" s="2902" t="s">
        <v>562</v>
      </c>
      <c r="D11" s="2902">
        <f t="shared" si="0"/>
        <v>0</v>
      </c>
      <c r="E11" s="2914">
        <f>SUMPRODUCT(('数据-基础表'!BB10:BK10="地下")*('数据-基础表'!BB11:BK11="办公")*('数据-基础表'!BB5:BK5))+'数据-基础表'!BP5</f>
        <v>0</v>
      </c>
      <c r="F11" s="2891"/>
      <c r="G11" s="2915"/>
      <c r="H11" s="2915"/>
      <c r="I11" s="2891"/>
      <c r="J11" s="2891"/>
      <c r="K11" s="2891"/>
      <c r="L11" s="2891"/>
      <c r="M11" s="2891"/>
      <c r="N11" s="2891"/>
      <c r="O11" s="2891"/>
      <c r="P11" s="2891"/>
    </row>
    <row r="12" spans="1:16">
      <c r="A12" s="2916"/>
      <c r="B12" s="2917"/>
      <c r="C12" s="2902" t="s">
        <v>563</v>
      </c>
      <c r="D12" s="2902">
        <f t="shared" si="0"/>
        <v>0</v>
      </c>
      <c r="E12" s="2914">
        <f>SUMPRODUCT(('数据-基础表'!BB10:BK10="地下")*('数据-基础表'!BB11:BK11="仓储")*('数据-基础表'!BB5:BK5))</f>
        <v>0</v>
      </c>
      <c r="F12" s="2891"/>
      <c r="G12" s="2915"/>
      <c r="H12" s="2915"/>
      <c r="I12" s="2891"/>
      <c r="J12" s="2891"/>
      <c r="K12" s="2891"/>
      <c r="L12" s="2891"/>
      <c r="M12" s="2891"/>
      <c r="N12" s="2891"/>
      <c r="O12" s="2891"/>
      <c r="P12" s="2891"/>
    </row>
    <row r="13" spans="1:16">
      <c r="A13" s="2916"/>
      <c r="B13" s="2917"/>
      <c r="C13" s="2902" t="s">
        <v>564</v>
      </c>
      <c r="D13" s="2902">
        <f t="shared" si="0"/>
        <v>0</v>
      </c>
      <c r="E13" s="2914">
        <f>SUMPRODUCT(('数据-基础表'!BB10:BK10="地下")*('数据-基础表'!BB11:BK11="车库")*('数据-基础表'!BB5:BK5))</f>
        <v>0</v>
      </c>
      <c r="F13" s="2891"/>
      <c r="G13" s="2915"/>
      <c r="H13" s="2915"/>
      <c r="I13" s="2891"/>
      <c r="J13" s="2891"/>
      <c r="K13" s="2891"/>
      <c r="L13" s="2891"/>
      <c r="M13" s="2891"/>
      <c r="N13" s="2891"/>
      <c r="O13" s="2891"/>
      <c r="P13" s="2891"/>
    </row>
    <row r="14" spans="1:16">
      <c r="A14" s="2916"/>
      <c r="B14" s="2917"/>
      <c r="C14" s="2902" t="s">
        <v>565</v>
      </c>
      <c r="D14" s="2902">
        <f t="shared" si="0"/>
        <v>0</v>
      </c>
      <c r="E14" s="2914">
        <f>SUMPRODUCT(('数据-基础表'!BB10:BK10="地下")*('数据-基础表'!BB11:BK11="车库—商业")*('数据-基础表'!BB5:BK5))</f>
        <v>0</v>
      </c>
      <c r="F14" s="2891"/>
      <c r="G14" s="2915"/>
      <c r="H14" s="2915"/>
      <c r="I14" s="2891"/>
      <c r="J14" s="2891"/>
      <c r="K14" s="2891"/>
      <c r="L14" s="2891"/>
      <c r="M14" s="2891"/>
      <c r="N14" s="2891"/>
      <c r="O14" s="2891"/>
      <c r="P14" s="2891"/>
    </row>
    <row r="15" ht="15" spans="1:16">
      <c r="A15" s="2916"/>
      <c r="B15" s="2917"/>
      <c r="C15" s="2902" t="s">
        <v>566</v>
      </c>
      <c r="D15" s="2902">
        <f t="shared" si="0"/>
        <v>0</v>
      </c>
      <c r="E15" s="2914">
        <f>SUMPRODUCT(('数据-基础表'!BB10:BK10="地下")*('数据-基础表'!BB11:BK11="车库—办公")*('数据-基础表'!BB5:BK5))</f>
        <v>0</v>
      </c>
      <c r="F15" s="2891"/>
      <c r="G15" s="2915"/>
      <c r="H15" s="2915"/>
      <c r="I15" s="2891"/>
      <c r="J15" s="2891"/>
      <c r="K15" s="2891"/>
      <c r="L15" s="2891"/>
      <c r="M15" s="2891"/>
      <c r="N15" s="2891"/>
      <c r="O15" s="2891"/>
      <c r="P15" s="2891"/>
    </row>
    <row r="16" ht="15" spans="1:16">
      <c r="A16" s="2904"/>
      <c r="B16" s="2917"/>
      <c r="C16" s="2913" t="s">
        <v>567</v>
      </c>
      <c r="D16" s="2913">
        <f>SUM(D8:D15)</f>
        <v>9082.33</v>
      </c>
      <c r="E16" s="2919">
        <f>SUM(E8:E15)</f>
        <v>66448.33</v>
      </c>
      <c r="F16" s="2891"/>
      <c r="G16" s="2915"/>
      <c r="H16" s="2920" t="s">
        <v>568</v>
      </c>
      <c r="I16" s="2963"/>
      <c r="J16" s="2233"/>
      <c r="K16" s="2964" t="s">
        <v>568</v>
      </c>
      <c r="L16" s="2922"/>
      <c r="M16" s="2922"/>
      <c r="N16" s="2922"/>
      <c r="O16" s="2922"/>
      <c r="P16" s="2965"/>
    </row>
    <row r="17" ht="15" spans="1:19">
      <c r="A17" s="2853" t="s">
        <v>569</v>
      </c>
      <c r="B17" s="2921" t="s">
        <v>570</v>
      </c>
      <c r="C17" s="2852" t="s">
        <v>571</v>
      </c>
      <c r="D17" s="2922" t="s">
        <v>544</v>
      </c>
      <c r="E17" s="2923" t="s">
        <v>545</v>
      </c>
      <c r="F17" s="2924"/>
      <c r="G17" s="2925"/>
      <c r="H17" s="2926" t="s">
        <v>572</v>
      </c>
      <c r="I17" s="2966" t="s">
        <v>573</v>
      </c>
      <c r="J17" s="2233"/>
      <c r="K17" s="2967" t="s">
        <v>574</v>
      </c>
      <c r="L17" s="2968"/>
      <c r="M17" s="2969"/>
      <c r="N17" s="2967" t="s">
        <v>575</v>
      </c>
      <c r="O17" s="2968"/>
      <c r="P17" s="2969"/>
      <c r="R17" s="2982" t="s">
        <v>576</v>
      </c>
      <c r="S17" s="2168"/>
    </row>
    <row r="18" ht="15" spans="1:19">
      <c r="A18" s="2916"/>
      <c r="B18" s="2927"/>
      <c r="C18" s="2928"/>
      <c r="D18" s="2929"/>
      <c r="E18" s="2930" t="s">
        <v>577</v>
      </c>
      <c r="F18" s="2931" t="s">
        <v>550</v>
      </c>
      <c r="G18" s="2932" t="s">
        <v>578</v>
      </c>
      <c r="H18" s="2858" t="s">
        <v>579</v>
      </c>
      <c r="I18" s="2970" t="s">
        <v>580</v>
      </c>
      <c r="J18" s="2233"/>
      <c r="K18" s="2858" t="s">
        <v>581</v>
      </c>
      <c r="L18" s="2433" t="s">
        <v>582</v>
      </c>
      <c r="M18" s="2960" t="s">
        <v>583</v>
      </c>
      <c r="N18" s="2858" t="s">
        <v>581</v>
      </c>
      <c r="O18" s="2433" t="s">
        <v>582</v>
      </c>
      <c r="P18" s="2960" t="s">
        <v>583</v>
      </c>
      <c r="R18" s="2181" t="s">
        <v>579</v>
      </c>
      <c r="S18" s="2181" t="s">
        <v>580</v>
      </c>
    </row>
    <row r="19" spans="1:19">
      <c r="A19" s="2933"/>
      <c r="B19" s="2913" t="s">
        <v>584</v>
      </c>
      <c r="C19" s="2934" t="s">
        <v>462</v>
      </c>
      <c r="D19" s="2902">
        <f>ROUND($D$3*E19/$E$3,2)</f>
        <v>8652.93</v>
      </c>
      <c r="E19" s="2935">
        <f t="shared" ref="E19:E26" si="1">SUM(F19:G19)</f>
        <v>63306.74</v>
      </c>
      <c r="F19" s="2936">
        <f>'数据-基础表'!K13</f>
        <v>63306.74</v>
      </c>
      <c r="G19" s="2937"/>
      <c r="H19" s="2842">
        <f>ROUND($D$3*I19/$E$3,2)</f>
        <v>0</v>
      </c>
      <c r="I19" s="2914">
        <f t="shared" ref="I19:I26" si="2">IF($I$17="自定义",P19,M19)</f>
        <v>0</v>
      </c>
      <c r="J19" s="2233"/>
      <c r="K19" s="2971">
        <f t="shared" ref="K19:K26" si="3">ROUND(E$28*E19/E$27,2)</f>
        <v>0</v>
      </c>
      <c r="L19" s="2181">
        <f t="shared" ref="L19:L26" si="4">ROUND(IF(COUNTIF(C19,"*住宅*")&gt;0,E$29*E19/E$32,0),2)</f>
        <v>0</v>
      </c>
      <c r="M19" s="2972">
        <f>K19+L19</f>
        <v>0</v>
      </c>
      <c r="N19" s="2973"/>
      <c r="O19" s="2974"/>
      <c r="P19" s="2972">
        <f>N19+O19</f>
        <v>0</v>
      </c>
      <c r="R19" s="2181">
        <f t="shared" ref="R19:S26" si="5">D19+H19</f>
        <v>8652.93</v>
      </c>
      <c r="S19" s="2983">
        <f t="shared" si="5"/>
        <v>63306.74</v>
      </c>
    </row>
    <row r="20" spans="1:19">
      <c r="A20" s="2938"/>
      <c r="B20" s="2913" t="s">
        <v>584</v>
      </c>
      <c r="C20" s="2934" t="s">
        <v>461</v>
      </c>
      <c r="D20" s="2902">
        <f t="shared" ref="D20:D26" si="6">ROUND($D$3*E20/$E$3,2)</f>
        <v>429.4</v>
      </c>
      <c r="E20" s="2935">
        <f t="shared" si="1"/>
        <v>3141.59</v>
      </c>
      <c r="F20" s="2939">
        <f>'数据-基础表'!I13</f>
        <v>3141.59</v>
      </c>
      <c r="G20" s="2937"/>
      <c r="H20" s="2842">
        <f t="shared" ref="H20:H26" si="7">ROUND($D$3*I20/$E$3,2)</f>
        <v>0</v>
      </c>
      <c r="I20" s="2914">
        <f t="shared" si="2"/>
        <v>0</v>
      </c>
      <c r="J20" s="2233"/>
      <c r="K20" s="2971">
        <f t="shared" si="3"/>
        <v>0</v>
      </c>
      <c r="L20" s="2181">
        <f t="shared" si="4"/>
        <v>0</v>
      </c>
      <c r="M20" s="2972">
        <f t="shared" ref="M20:M26" si="8">K20+L20</f>
        <v>0</v>
      </c>
      <c r="N20" s="2973"/>
      <c r="O20" s="2974"/>
      <c r="P20" s="2972">
        <f t="shared" ref="P20:P26" si="9">N20+O20</f>
        <v>0</v>
      </c>
      <c r="R20" s="2181">
        <f t="shared" si="5"/>
        <v>429.4</v>
      </c>
      <c r="S20" s="2983">
        <f t="shared" si="5"/>
        <v>3141.59</v>
      </c>
    </row>
    <row r="21" spans="1:19">
      <c r="A21" s="2938"/>
      <c r="B21" s="2913" t="s">
        <v>584</v>
      </c>
      <c r="C21" s="2934"/>
      <c r="D21" s="2902">
        <f t="shared" si="6"/>
        <v>0</v>
      </c>
      <c r="E21" s="2935">
        <f t="shared" si="1"/>
        <v>0</v>
      </c>
      <c r="F21" s="2936"/>
      <c r="H21" s="2842">
        <f t="shared" si="7"/>
        <v>0</v>
      </c>
      <c r="I21" s="2914">
        <f t="shared" si="2"/>
        <v>0</v>
      </c>
      <c r="J21" s="2233"/>
      <c r="K21" s="2971">
        <f t="shared" si="3"/>
        <v>0</v>
      </c>
      <c r="L21" s="2181">
        <f t="shared" si="4"/>
        <v>0</v>
      </c>
      <c r="M21" s="2972">
        <f t="shared" si="8"/>
        <v>0</v>
      </c>
      <c r="N21" s="2973"/>
      <c r="O21" s="2974"/>
      <c r="P21" s="2972">
        <f t="shared" si="9"/>
        <v>0</v>
      </c>
      <c r="R21" s="2181">
        <f t="shared" si="5"/>
        <v>0</v>
      </c>
      <c r="S21" s="2983">
        <f t="shared" si="5"/>
        <v>0</v>
      </c>
    </row>
    <row r="22" spans="1:19">
      <c r="A22" s="2938"/>
      <c r="B22" s="2913" t="s">
        <v>584</v>
      </c>
      <c r="C22" s="2940"/>
      <c r="D22" s="2902">
        <f t="shared" si="6"/>
        <v>0</v>
      </c>
      <c r="E22" s="2935">
        <f t="shared" si="1"/>
        <v>0</v>
      </c>
      <c r="F22" s="2939"/>
      <c r="G22" s="2937"/>
      <c r="H22" s="2842">
        <f t="shared" si="7"/>
        <v>0</v>
      </c>
      <c r="I22" s="2914">
        <f t="shared" si="2"/>
        <v>0</v>
      </c>
      <c r="J22" s="2233"/>
      <c r="K22" s="2971">
        <f t="shared" si="3"/>
        <v>0</v>
      </c>
      <c r="L22" s="2181">
        <f t="shared" si="4"/>
        <v>0</v>
      </c>
      <c r="M22" s="2972">
        <f t="shared" si="8"/>
        <v>0</v>
      </c>
      <c r="N22" s="2973"/>
      <c r="O22" s="2974"/>
      <c r="P22" s="2972">
        <f t="shared" si="9"/>
        <v>0</v>
      </c>
      <c r="R22" s="2181">
        <f t="shared" si="5"/>
        <v>0</v>
      </c>
      <c r="S22" s="2983">
        <f t="shared" si="5"/>
        <v>0</v>
      </c>
    </row>
    <row r="23" spans="1:19">
      <c r="A23" s="2938"/>
      <c r="B23" s="2913" t="s">
        <v>584</v>
      </c>
      <c r="C23" s="2941"/>
      <c r="D23" s="2902">
        <f t="shared" si="6"/>
        <v>0</v>
      </c>
      <c r="E23" s="2935">
        <f t="shared" si="1"/>
        <v>0</v>
      </c>
      <c r="F23" s="2939"/>
      <c r="G23" s="2942"/>
      <c r="H23" s="2842">
        <f t="shared" si="7"/>
        <v>0</v>
      </c>
      <c r="I23" s="2914">
        <f t="shared" si="2"/>
        <v>0</v>
      </c>
      <c r="J23" s="2233"/>
      <c r="K23" s="2971">
        <f t="shared" si="3"/>
        <v>0</v>
      </c>
      <c r="L23" s="2181">
        <f t="shared" si="4"/>
        <v>0</v>
      </c>
      <c r="M23" s="2972">
        <f t="shared" si="8"/>
        <v>0</v>
      </c>
      <c r="N23" s="2973"/>
      <c r="O23" s="2974"/>
      <c r="P23" s="2972">
        <f t="shared" si="9"/>
        <v>0</v>
      </c>
      <c r="R23" s="2181">
        <f t="shared" si="5"/>
        <v>0</v>
      </c>
      <c r="S23" s="2983">
        <f t="shared" si="5"/>
        <v>0</v>
      </c>
    </row>
    <row r="24" spans="1:19">
      <c r="A24" s="2938"/>
      <c r="B24" s="2913" t="s">
        <v>584</v>
      </c>
      <c r="C24" s="2941"/>
      <c r="D24" s="2902">
        <f t="shared" si="6"/>
        <v>0</v>
      </c>
      <c r="E24" s="2935">
        <f t="shared" si="1"/>
        <v>0</v>
      </c>
      <c r="F24" s="2939"/>
      <c r="G24" s="2942"/>
      <c r="H24" s="2842">
        <f t="shared" si="7"/>
        <v>0</v>
      </c>
      <c r="I24" s="2914">
        <f t="shared" si="2"/>
        <v>0</v>
      </c>
      <c r="J24" s="2233"/>
      <c r="K24" s="2971">
        <f t="shared" si="3"/>
        <v>0</v>
      </c>
      <c r="L24" s="2181">
        <f t="shared" si="4"/>
        <v>0</v>
      </c>
      <c r="M24" s="2972">
        <f t="shared" si="8"/>
        <v>0</v>
      </c>
      <c r="N24" s="2973"/>
      <c r="O24" s="2974"/>
      <c r="P24" s="2972">
        <f t="shared" si="9"/>
        <v>0</v>
      </c>
      <c r="R24" s="2181">
        <f t="shared" si="5"/>
        <v>0</v>
      </c>
      <c r="S24" s="2983">
        <f t="shared" si="5"/>
        <v>0</v>
      </c>
    </row>
    <row r="25" spans="1:19">
      <c r="A25" s="2938"/>
      <c r="B25" s="2913" t="s">
        <v>584</v>
      </c>
      <c r="C25" s="2941"/>
      <c r="D25" s="2902">
        <f t="shared" si="6"/>
        <v>0</v>
      </c>
      <c r="E25" s="2935">
        <f t="shared" si="1"/>
        <v>0</v>
      </c>
      <c r="F25" s="2939"/>
      <c r="G25" s="2942"/>
      <c r="H25" s="2901">
        <f t="shared" si="7"/>
        <v>0</v>
      </c>
      <c r="I25" s="2914">
        <f t="shared" si="2"/>
        <v>0</v>
      </c>
      <c r="J25" s="2233"/>
      <c r="K25" s="2971">
        <f t="shared" si="3"/>
        <v>0</v>
      </c>
      <c r="L25" s="2181">
        <f t="shared" si="4"/>
        <v>0</v>
      </c>
      <c r="M25" s="2972">
        <f t="shared" si="8"/>
        <v>0</v>
      </c>
      <c r="N25" s="2973"/>
      <c r="O25" s="2974"/>
      <c r="P25" s="2972">
        <f t="shared" si="9"/>
        <v>0</v>
      </c>
      <c r="R25" s="2181">
        <f t="shared" si="5"/>
        <v>0</v>
      </c>
      <c r="S25" s="2983">
        <f t="shared" si="5"/>
        <v>0</v>
      </c>
    </row>
    <row r="26" spans="1:19">
      <c r="A26" s="2938"/>
      <c r="B26" s="2913" t="s">
        <v>584</v>
      </c>
      <c r="C26" s="2943"/>
      <c r="D26" s="2902">
        <f t="shared" si="6"/>
        <v>0</v>
      </c>
      <c r="E26" s="2935">
        <f t="shared" si="1"/>
        <v>0</v>
      </c>
      <c r="F26" s="2939"/>
      <c r="G26" s="2942"/>
      <c r="H26" s="2901">
        <f t="shared" si="7"/>
        <v>0</v>
      </c>
      <c r="I26" s="2914">
        <f t="shared" si="2"/>
        <v>0</v>
      </c>
      <c r="J26" s="2233"/>
      <c r="K26" s="2896">
        <f t="shared" si="3"/>
        <v>0</v>
      </c>
      <c r="L26" s="2906">
        <f t="shared" si="4"/>
        <v>0</v>
      </c>
      <c r="M26" s="2950">
        <f t="shared" si="8"/>
        <v>0</v>
      </c>
      <c r="N26" s="2975"/>
      <c r="O26" s="2976"/>
      <c r="P26" s="2950">
        <f t="shared" si="9"/>
        <v>0</v>
      </c>
      <c r="R26" s="2181">
        <f t="shared" si="5"/>
        <v>0</v>
      </c>
      <c r="S26" s="2983">
        <f t="shared" si="5"/>
        <v>0</v>
      </c>
    </row>
    <row r="27" ht="15.75" spans="1:19">
      <c r="A27" s="2938"/>
      <c r="B27" s="2902"/>
      <c r="C27" s="2419" t="s">
        <v>585</v>
      </c>
      <c r="D27" s="2944">
        <f>SUM(D19:D26)</f>
        <v>9082.33</v>
      </c>
      <c r="E27" s="2945">
        <f>IF(SUM(E19:E26)='数据-基础表'!BA5,SUM(E19:E26),IF(F27="地上面积有误","面积有误","地下面积有误"))</f>
        <v>66448.33</v>
      </c>
      <c r="F27" s="2944">
        <f>IF(SUM(F19:F26)=E8,SUM(F19:F26),"地上面积有误")</f>
        <v>66448.33</v>
      </c>
      <c r="G27" s="2946">
        <f>SUM(G19:G26)</f>
        <v>0</v>
      </c>
      <c r="H27" s="2947">
        <f>SUM(H19:H26)</f>
        <v>0</v>
      </c>
      <c r="I27" s="2977">
        <f>SUM(I19:I26)</f>
        <v>0</v>
      </c>
      <c r="J27" s="2233"/>
      <c r="K27" s="2978">
        <f>SUM(K19:K26)</f>
        <v>0</v>
      </c>
      <c r="L27" s="2979">
        <f>SUM(L19:L26)</f>
        <v>0</v>
      </c>
      <c r="M27" s="2980">
        <f>SUM(M19:M26)</f>
        <v>0</v>
      </c>
      <c r="N27" s="2978">
        <f t="shared" ref="N27:P27" si="10">SUM(N19:N26)</f>
        <v>0</v>
      </c>
      <c r="O27" s="2979">
        <f t="shared" si="10"/>
        <v>0</v>
      </c>
      <c r="P27" s="2981">
        <f t="shared" si="10"/>
        <v>0</v>
      </c>
      <c r="R27" s="2882">
        <f>IF(SUM(R19:R26)=$D$3,SUM(R19:R26),SUM(R19:R26)&amp;"误差"&amp;ROUND(SUM(R19:R26)-$D$3,2))</f>
        <v>9082.33</v>
      </c>
      <c r="S27" s="2181">
        <f>IF(SUM(S19:S26)=$E$3,SUM(S19:S26),SUM(S19:S26)&amp;"误差"&amp;ROUND(SUM(S19:S26)-E3,2))</f>
        <v>66448.33</v>
      </c>
    </row>
    <row r="28" spans="1:16">
      <c r="A28" s="2938"/>
      <c r="B28" s="2913" t="s">
        <v>586</v>
      </c>
      <c r="C28" s="2862" t="s">
        <v>587</v>
      </c>
      <c r="D28" s="2902">
        <f>ROUND($D$3*E28/$E$3,2)</f>
        <v>0</v>
      </c>
      <c r="E28" s="2935">
        <f>SUM(F28:G28)</f>
        <v>0</v>
      </c>
      <c r="F28" s="2168">
        <f>'数据-基础表'!BQ5+'数据-基础表'!BS5</f>
        <v>0</v>
      </c>
      <c r="G28" s="2948">
        <f>'数据-基础表'!BR5+'数据-基础表'!BT5</f>
        <v>0</v>
      </c>
      <c r="H28" s="2891"/>
      <c r="I28" s="2891"/>
      <c r="J28" s="2891"/>
      <c r="K28" s="2891"/>
      <c r="L28" s="2891"/>
      <c r="M28" s="2891"/>
      <c r="N28" s="2891"/>
      <c r="O28" s="2891"/>
      <c r="P28" s="2891"/>
    </row>
    <row r="29" spans="1:16">
      <c r="A29" s="2938"/>
      <c r="B29" s="2913" t="s">
        <v>586</v>
      </c>
      <c r="C29" s="2231" t="s">
        <v>588</v>
      </c>
      <c r="D29" s="2902">
        <f>ROUND($D$3*E29/$E$3,2)</f>
        <v>0</v>
      </c>
      <c r="E29" s="2935">
        <f>SUM(F29:G29)</f>
        <v>0</v>
      </c>
      <c r="F29" s="2949">
        <f>'数据-基础表'!BM5+'数据-基础表'!BO5</f>
        <v>0</v>
      </c>
      <c r="G29" s="2950">
        <f>'数据-基础表'!BN5+'数据-基础表'!BP5</f>
        <v>0</v>
      </c>
      <c r="H29" s="2891"/>
      <c r="I29" s="2891"/>
      <c r="J29" s="2891"/>
      <c r="K29" s="2891"/>
      <c r="L29" s="2891"/>
      <c r="M29" s="2891"/>
      <c r="N29" s="2891"/>
      <c r="O29" s="2891"/>
      <c r="P29" s="2891"/>
    </row>
    <row r="30" ht="15" spans="1:16">
      <c r="A30" s="2938"/>
      <c r="B30" s="2913"/>
      <c r="C30" s="2951" t="s">
        <v>585</v>
      </c>
      <c r="D30" s="2944">
        <f>SUM(D28:D29)</f>
        <v>0</v>
      </c>
      <c r="E30" s="2944">
        <f>SUM(E28:E29)</f>
        <v>0</v>
      </c>
      <c r="F30" s="2944">
        <f>SUM(F28:F29)</f>
        <v>0</v>
      </c>
      <c r="G30" s="2946">
        <f>SUM(G28:G29)</f>
        <v>0</v>
      </c>
      <c r="H30" s="2891"/>
      <c r="I30" s="2891"/>
      <c r="J30" s="2891"/>
      <c r="K30" s="2891"/>
      <c r="L30" s="2891"/>
      <c r="M30" s="2891"/>
      <c r="N30" s="2891"/>
      <c r="O30" s="2891"/>
      <c r="P30" s="2891"/>
    </row>
    <row r="31" ht="15.75" spans="1:16">
      <c r="A31" s="2952"/>
      <c r="B31" s="2953"/>
      <c r="C31" s="1893" t="s">
        <v>589</v>
      </c>
      <c r="D31" s="2954">
        <f>D27+D30</f>
        <v>9082.33</v>
      </c>
      <c r="E31" s="2954">
        <f>E27+E30</f>
        <v>66448.33</v>
      </c>
      <c r="F31" s="2955">
        <f>F27+F30</f>
        <v>66448.33</v>
      </c>
      <c r="G31" s="2956">
        <f>G27+G30</f>
        <v>0</v>
      </c>
      <c r="H31" s="2891"/>
      <c r="I31" s="2891"/>
      <c r="J31" s="2891"/>
      <c r="K31" s="2891"/>
      <c r="L31" s="2891"/>
      <c r="M31" s="2891"/>
      <c r="N31" s="2891"/>
      <c r="O31" s="2891"/>
      <c r="P31" s="2891"/>
    </row>
    <row r="32" spans="1:16">
      <c r="A32" s="2957"/>
      <c r="B32" s="2957" t="s">
        <v>590</v>
      </c>
      <c r="C32" s="2957"/>
      <c r="D32" s="2957"/>
      <c r="E32" s="2958">
        <f>SUMIF(C19:C26,"*住宅*",E19:E26)</f>
        <v>0</v>
      </c>
      <c r="F32" s="2957"/>
      <c r="G32" s="2957"/>
      <c r="H32" s="2891"/>
      <c r="I32" s="2891"/>
      <c r="J32" s="2891"/>
      <c r="K32" s="2891"/>
      <c r="L32" s="2891"/>
      <c r="M32" s="2891"/>
      <c r="N32" s="2891"/>
      <c r="O32" s="2891"/>
      <c r="P32" s="2891"/>
    </row>
    <row r="33" spans="4:4">
      <c r="D33" s="29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AA6" activePane="bottomRight" state="frozen"/>
      <selection/>
      <selection pane="topRight"/>
      <selection pane="bottomLeft"/>
      <selection pane="bottomRight" activeCell="AO20" sqref="AO20"/>
    </sheetView>
  </sheetViews>
  <sheetFormatPr defaultColWidth="13.75" defaultRowHeight="12.75"/>
  <cols>
    <col min="1" max="1" width="20.875" style="2693" customWidth="1"/>
    <col min="2" max="2" width="12" style="2694" customWidth="1"/>
    <col min="3" max="3" width="12.75" style="2694" customWidth="1"/>
    <col min="4" max="4" width="9.125" style="2695" customWidth="1"/>
    <col min="5" max="5" width="15" style="2694" customWidth="1"/>
    <col min="6" max="10" width="8.875" style="2694" customWidth="1"/>
    <col min="11" max="12" width="12.375" style="2696" customWidth="1"/>
    <col min="13" max="13" width="8.625" style="2694" customWidth="1"/>
    <col min="14" max="14" width="11.875" style="2694" customWidth="1"/>
    <col min="15" max="15" width="8.5" style="2694" customWidth="1"/>
    <col min="16" max="17" width="10.875" style="2694" customWidth="1"/>
    <col min="18" max="19" width="12.5" style="2694" customWidth="1"/>
    <col min="20" max="20" width="12.125" style="2694" customWidth="1"/>
    <col min="21" max="21" width="7.5" style="2694" customWidth="1"/>
    <col min="22" max="22" width="6.375" style="2694" customWidth="1"/>
    <col min="23" max="30" width="6.75" style="2694" customWidth="1"/>
    <col min="31" max="31" width="8" style="2694" customWidth="1"/>
    <col min="32" max="34" width="7.25" style="2694" customWidth="1"/>
    <col min="35" max="39" width="8" style="2694" customWidth="1"/>
    <col min="40" max="40" width="13.75" style="2692"/>
    <col min="41" max="41" width="11.625" style="2692" customWidth="1"/>
    <col min="42" max="42" width="9.75" style="2692" customWidth="1"/>
    <col min="43" max="67" width="13.75" style="2692"/>
    <col min="68" max="16384" width="13.75" style="2694"/>
  </cols>
  <sheetData>
    <row r="1" ht="19.5" spans="1:44">
      <c r="A1" s="2697" t="s">
        <v>591</v>
      </c>
      <c r="B1" s="2698"/>
      <c r="C1" s="1643"/>
      <c r="D1" s="2699"/>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9" customFormat="1" ht="15.75" spans="1:67">
      <c r="A2" s="2700" t="s">
        <v>592</v>
      </c>
      <c r="B2" s="2701">
        <f>项目基本情况!D3</f>
        <v>44175</v>
      </c>
      <c r="C2" s="2702"/>
      <c r="D2" s="2703"/>
      <c r="E2" s="2702"/>
      <c r="F2" s="2702"/>
      <c r="G2" s="2702"/>
      <c r="H2" s="2702"/>
      <c r="I2" s="2702"/>
      <c r="J2" s="2702"/>
      <c r="K2" s="2797"/>
      <c r="L2" s="2797"/>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35"/>
      <c r="AO2" s="2735"/>
      <c r="AP2" s="2735"/>
      <c r="AQ2" s="2735"/>
      <c r="AR2" s="2735"/>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row>
    <row r="3" s="2689" customFormat="1" ht="15" spans="1:67">
      <c r="A3" s="2704"/>
      <c r="B3" s="2705"/>
      <c r="C3" s="2702"/>
      <c r="D3" s="2703"/>
      <c r="E3" s="2702"/>
      <c r="F3" s="2702"/>
      <c r="G3" s="2702"/>
      <c r="H3" s="2702"/>
      <c r="I3" s="2702"/>
      <c r="J3" s="2702"/>
      <c r="K3" s="2797"/>
      <c r="L3" s="2797"/>
      <c r="M3" s="2702"/>
      <c r="N3" s="2702"/>
      <c r="O3" s="2702"/>
      <c r="P3" s="2702"/>
      <c r="Q3" s="2702"/>
      <c r="R3" s="2702"/>
      <c r="S3" s="2702"/>
      <c r="T3" s="2702"/>
      <c r="U3" s="2702"/>
      <c r="V3" s="2702"/>
      <c r="W3" s="2702"/>
      <c r="X3" s="2702"/>
      <c r="Y3" s="2702"/>
      <c r="Z3" s="2702"/>
      <c r="AA3" s="2702"/>
      <c r="AB3" s="2702"/>
      <c r="AC3" s="2702"/>
      <c r="AD3" s="2702"/>
      <c r="AE3" s="2702"/>
      <c r="AF3" s="2702"/>
      <c r="AG3" s="2702"/>
      <c r="AH3" s="2702"/>
      <c r="AI3" s="2702"/>
      <c r="AJ3" s="2702"/>
      <c r="AK3" s="2702"/>
      <c r="AL3" s="2702"/>
      <c r="AM3" s="2702"/>
      <c r="AN3" s="2735"/>
      <c r="AO3" s="2735"/>
      <c r="AP3" s="2735"/>
      <c r="AQ3" s="2735"/>
      <c r="AR3" s="2735"/>
      <c r="AS3" s="2576"/>
      <c r="AT3" s="2576"/>
      <c r="AU3" s="2576"/>
      <c r="AV3" s="2576"/>
      <c r="AW3" s="2576"/>
      <c r="AX3" s="2576"/>
      <c r="AY3" s="2576"/>
      <c r="AZ3" s="2576"/>
      <c r="BA3" s="2576"/>
      <c r="BB3" s="2576"/>
      <c r="BC3" s="2576"/>
      <c r="BD3" s="2576"/>
      <c r="BE3" s="2576"/>
      <c r="BF3" s="2576"/>
      <c r="BG3" s="2576"/>
      <c r="BH3" s="2576"/>
      <c r="BI3" s="2576"/>
      <c r="BJ3" s="2576"/>
      <c r="BK3" s="2576"/>
      <c r="BL3" s="2576"/>
      <c r="BM3" s="2576"/>
      <c r="BN3" s="2576"/>
      <c r="BO3" s="2576"/>
    </row>
    <row r="4" s="2689" customFormat="1" ht="15" spans="1:67">
      <c r="A4" s="1282" t="s">
        <v>593</v>
      </c>
      <c r="B4" s="2188"/>
      <c r="C4" s="2706"/>
      <c r="D4" s="2707"/>
      <c r="E4" s="2706" t="s">
        <v>594</v>
      </c>
      <c r="F4" s="2706"/>
      <c r="G4" s="2706"/>
      <c r="H4" s="2706"/>
      <c r="I4" s="2706"/>
      <c r="J4" s="2798"/>
      <c r="K4" s="2799"/>
      <c r="L4" s="2800"/>
      <c r="M4" s="2706"/>
      <c r="N4" s="2706" t="s">
        <v>595</v>
      </c>
      <c r="O4" s="2706"/>
      <c r="P4" s="2706"/>
      <c r="Q4" s="2706"/>
      <c r="R4" s="2706"/>
      <c r="S4" s="2798"/>
      <c r="T4" s="2823" t="str">
        <f>'数据-汇总表'!I17</f>
        <v>按面积比例</v>
      </c>
      <c r="U4" s="2188" t="s">
        <v>596</v>
      </c>
      <c r="V4" s="2706"/>
      <c r="W4" s="2706"/>
      <c r="X4" s="2706"/>
      <c r="Y4" s="2798"/>
      <c r="Z4" s="2852" t="s">
        <v>597</v>
      </c>
      <c r="AA4" s="2852"/>
      <c r="AB4" s="2852"/>
      <c r="AC4" s="2852"/>
      <c r="AD4" s="2852"/>
      <c r="AE4" s="2853" t="s">
        <v>598</v>
      </c>
      <c r="AF4" s="2852"/>
      <c r="AG4" s="2866"/>
      <c r="AH4" s="2188"/>
      <c r="AI4" s="2706"/>
      <c r="AJ4" s="2706"/>
      <c r="AK4" s="2706"/>
      <c r="AL4" s="2706"/>
      <c r="AM4" s="2798"/>
      <c r="AN4" s="2735"/>
      <c r="AO4" s="2735"/>
      <c r="AP4" s="2735"/>
      <c r="AQ4" s="2735"/>
      <c r="AR4" s="2735"/>
      <c r="AS4" s="2576"/>
      <c r="AT4" s="2576"/>
      <c r="AU4" s="2576"/>
      <c r="AV4" s="2576"/>
      <c r="AW4" s="2576"/>
      <c r="AX4" s="2576"/>
      <c r="AY4" s="2576"/>
      <c r="AZ4" s="2576"/>
      <c r="BA4" s="2576"/>
      <c r="BB4" s="2576"/>
      <c r="BC4" s="2576"/>
      <c r="BD4" s="2576"/>
      <c r="BE4" s="2576"/>
      <c r="BF4" s="2576"/>
      <c r="BG4" s="2576"/>
      <c r="BH4" s="2576"/>
      <c r="BI4" s="2576"/>
      <c r="BJ4" s="2576"/>
      <c r="BK4" s="2576"/>
      <c r="BL4" s="2576"/>
      <c r="BM4" s="2576"/>
      <c r="BN4" s="2576"/>
      <c r="BO4" s="2576"/>
    </row>
    <row r="5" s="2690" customFormat="1" ht="42" spans="1:67">
      <c r="A5" s="2708" t="s">
        <v>571</v>
      </c>
      <c r="B5" s="2709" t="s">
        <v>570</v>
      </c>
      <c r="C5" s="2710" t="s">
        <v>599</v>
      </c>
      <c r="D5" s="2711" t="s">
        <v>600</v>
      </c>
      <c r="E5" s="2712" t="s">
        <v>601</v>
      </c>
      <c r="F5" s="2713" t="s">
        <v>602</v>
      </c>
      <c r="G5" s="2712" t="s">
        <v>603</v>
      </c>
      <c r="H5" s="2712" t="s">
        <v>604</v>
      </c>
      <c r="I5" s="2712" t="s">
        <v>605</v>
      </c>
      <c r="J5" s="2801" t="s">
        <v>606</v>
      </c>
      <c r="K5" s="2802" t="s">
        <v>580</v>
      </c>
      <c r="L5" s="2803" t="s">
        <v>607</v>
      </c>
      <c r="M5" s="2804" t="s">
        <v>608</v>
      </c>
      <c r="N5" s="2805" t="s">
        <v>609</v>
      </c>
      <c r="O5" s="2803" t="s">
        <v>610</v>
      </c>
      <c r="P5" s="2806" t="s">
        <v>611</v>
      </c>
      <c r="Q5" s="1169" t="s">
        <v>612</v>
      </c>
      <c r="R5" s="2824" t="s">
        <v>613</v>
      </c>
      <c r="S5" s="2825" t="s">
        <v>614</v>
      </c>
      <c r="T5" s="2826" t="s">
        <v>615</v>
      </c>
      <c r="U5" s="2827" t="s">
        <v>616</v>
      </c>
      <c r="V5" s="2712" t="s">
        <v>617</v>
      </c>
      <c r="W5" s="2712" t="s">
        <v>618</v>
      </c>
      <c r="X5" s="830"/>
      <c r="Y5" s="1299" t="s">
        <v>619</v>
      </c>
      <c r="Z5" s="2854" t="s">
        <v>616</v>
      </c>
      <c r="AA5" s="2712" t="s">
        <v>617</v>
      </c>
      <c r="AB5" s="2712" t="s">
        <v>618</v>
      </c>
      <c r="AC5" s="830"/>
      <c r="AD5" s="830" t="s">
        <v>619</v>
      </c>
      <c r="AE5" s="2827" t="s">
        <v>620</v>
      </c>
      <c r="AF5" s="2712" t="s">
        <v>621</v>
      </c>
      <c r="AG5" s="1299" t="s">
        <v>622</v>
      </c>
      <c r="AH5" s="2827" t="s">
        <v>623</v>
      </c>
      <c r="AI5" s="2854" t="s">
        <v>624</v>
      </c>
      <c r="AJ5" s="2854" t="s">
        <v>625</v>
      </c>
      <c r="AK5" s="2712" t="s">
        <v>626</v>
      </c>
      <c r="AL5" s="2712" t="s">
        <v>627</v>
      </c>
      <c r="AM5" s="1299" t="s">
        <v>628</v>
      </c>
      <c r="AN5" s="2867" t="s">
        <v>629</v>
      </c>
      <c r="AO5" s="2881" t="s">
        <v>630</v>
      </c>
      <c r="AP5" s="2882" t="s">
        <v>631</v>
      </c>
      <c r="AQ5" s="2883" t="s">
        <v>632</v>
      </c>
      <c r="AR5" s="2883" t="s">
        <v>633</v>
      </c>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row>
    <row r="6" s="2689" customFormat="1" ht="14.25" spans="1:67">
      <c r="A6" s="2714" t="str">
        <f>'数据-汇总表'!C19</f>
        <v>办公</v>
      </c>
      <c r="B6" s="2715" t="str">
        <f>IF(A6=0,"","经营性")</f>
        <v>经营性</v>
      </c>
      <c r="C6" s="2716" t="s">
        <v>462</v>
      </c>
      <c r="D6" s="2717">
        <f>SUMIF(项目基本情况!D$12:I$12,C6,项目基本情况!D$14:I$14)</f>
        <v>50</v>
      </c>
      <c r="E6" s="2718">
        <f>IF(B6="","",SUMIF(项目基本情况!D$12:I$12,C6,项目基本情况!D$13:I$13))</f>
        <v>56203</v>
      </c>
      <c r="F6" s="2719">
        <f>SUMIF(项目基本情况!D$12:I$12,C6,项目基本情况!D$15:I$15)</f>
        <v>32.95</v>
      </c>
      <c r="G6" s="2720">
        <f>IF(ISERROR(ROUND(POWER(1+H6,D6-F6)*(POWER(1+H6,F6)-1)/(POWER(1+H6,D6)-1),3)),0,ROUND(POWER(1+H6,D6-F6)*(POWER(1+H6,F6)-1)/(POWER(1+H6,D6)-1),3))</f>
        <v>0.876</v>
      </c>
      <c r="H6" s="2721">
        <v>0.05</v>
      </c>
      <c r="I6" s="2721">
        <v>0.055</v>
      </c>
      <c r="J6" s="2722">
        <v>0.085</v>
      </c>
      <c r="K6" s="2807">
        <f>SUMIF('数据-汇总表'!C$19:C$33,A6,'数据-汇总表'!E$19:E$33)</f>
        <v>63306.74</v>
      </c>
      <c r="L6" s="2808">
        <v>3500</v>
      </c>
      <c r="M6" s="2809">
        <f t="shared" ref="M6:M14" si="0">ROUND(K6*L6/10000,0)</f>
        <v>22157</v>
      </c>
      <c r="N6" s="2810">
        <f>N28</f>
        <v>0.85</v>
      </c>
      <c r="O6" s="2809" t="str">
        <f>IF($N$5="成新度","——",ROUND(M6*N6,0))</f>
        <v>——</v>
      </c>
      <c r="P6" s="2811" t="str">
        <f>IF($N$5="成新度","——",M6-O6)</f>
        <v>——</v>
      </c>
      <c r="Q6" s="2828">
        <v>0.2</v>
      </c>
      <c r="R6" s="2829">
        <f ca="1">SUMIF('数据-汇总表'!C$19:C$33,A6,'数据-汇总表'!R$19:R$27)</f>
        <v>8652.93</v>
      </c>
      <c r="S6" s="2830">
        <f>IF('数据-汇总表'!$I$17="按面积比例",SUMIF('数据-汇总表'!C$19:C$33,A6,'数据-汇总表'!K$19:K$33),SUMIF('数据-汇总表'!C$19:C$33,A6,'数据-汇总表'!N$19:N$33))</f>
        <v>0</v>
      </c>
      <c r="T6" s="2831">
        <f>ROUND($L$14*S6/10000,0)</f>
        <v>0</v>
      </c>
      <c r="U6" s="2832">
        <v>9</v>
      </c>
      <c r="V6" s="2833">
        <v>0.03</v>
      </c>
      <c r="W6" s="2834">
        <v>0.1</v>
      </c>
      <c r="X6" s="2835"/>
      <c r="Y6" s="2855">
        <f>N6</f>
        <v>0.85</v>
      </c>
      <c r="Z6" s="2856"/>
      <c r="AA6" s="2722"/>
      <c r="AB6" s="2722"/>
      <c r="AC6" s="2835"/>
      <c r="AD6" s="2857"/>
      <c r="AE6" s="2858">
        <f ca="1">IF(AN6="",0,SUMIF(INDIRECT("'"&amp;AN6&amp;"'"&amp;"!E:E"),$AE$5,INDIRECT("'"&amp;AN6&amp;"'"&amp;"!F:F")))</f>
        <v>32.95</v>
      </c>
      <c r="AF6" s="2163"/>
      <c r="AG6" s="1445">
        <f ca="1">IF(AF6="",0,AE6-AF6)</f>
        <v>0</v>
      </c>
      <c r="AH6" s="2840"/>
      <c r="AI6" s="2868">
        <v>365</v>
      </c>
      <c r="AJ6" s="2869"/>
      <c r="AK6" s="2870">
        <v>0.015</v>
      </c>
      <c r="AL6" s="2871">
        <v>0.0015</v>
      </c>
      <c r="AM6" s="2872">
        <v>0.02</v>
      </c>
      <c r="AN6" s="2873" t="s">
        <v>309</v>
      </c>
      <c r="AO6" s="1043">
        <f ca="1">SUMIF(INDIRECT("'"&amp;AN6&amp;"'"&amp;"!A:A"),"总价",INDIRECT("'"&amp;AN6&amp;"'"&amp;"!B:B"))</f>
        <v>320276</v>
      </c>
      <c r="AP6" s="2884">
        <f>IF(C6="住宅",K6*L6,0)</f>
        <v>0</v>
      </c>
      <c r="AQ6" s="1043">
        <f>ROUND($L$14*$N$14*S6/10000,0)</f>
        <v>0</v>
      </c>
      <c r="AR6" s="1043">
        <f>ROUND($L$14*(1-$N$14)*S6/10000,0)</f>
        <v>0</v>
      </c>
      <c r="AS6" s="2576"/>
      <c r="AT6" s="2576"/>
      <c r="AU6" s="2576"/>
      <c r="AV6" s="2576"/>
      <c r="AW6" s="2576"/>
      <c r="AX6" s="2576"/>
      <c r="AY6" s="2576"/>
      <c r="AZ6" s="2576"/>
      <c r="BA6" s="2576"/>
      <c r="BB6" s="2576"/>
      <c r="BC6" s="2576"/>
      <c r="BD6" s="2576"/>
      <c r="BE6" s="2576"/>
      <c r="BF6" s="2576"/>
      <c r="BG6" s="2576"/>
      <c r="BH6" s="2576"/>
      <c r="BI6" s="2576"/>
      <c r="BJ6" s="2576"/>
      <c r="BK6" s="2576"/>
      <c r="BL6" s="2576"/>
      <c r="BM6" s="2576"/>
      <c r="BN6" s="2576"/>
      <c r="BO6" s="2576"/>
    </row>
    <row r="7" s="2689" customFormat="1" ht="14.25" spans="1:67">
      <c r="A7" s="2714" t="str">
        <f>'数据-汇总表'!C20</f>
        <v>商业</v>
      </c>
      <c r="B7" s="2715" t="str">
        <f t="shared" ref="B7:B13" si="1">IF(A7=0,"","经营性")</f>
        <v>经营性</v>
      </c>
      <c r="C7" s="2716" t="s">
        <v>461</v>
      </c>
      <c r="D7" s="2717">
        <f>SUMIF(项目基本情况!D$12:I$12,C7,项目基本情况!D$14:I$14)</f>
        <v>40</v>
      </c>
      <c r="E7" s="2718">
        <f>IF(B7="","",SUMIF(项目基本情况!D$12:I$12,C7,项目基本情况!D$13:I$13))</f>
        <v>52550</v>
      </c>
      <c r="F7" s="2719">
        <f>SUMIF(项目基本情况!D$12:I$12,C7,项目基本情况!D$15:I$15)</f>
        <v>22.94</v>
      </c>
      <c r="G7" s="2720">
        <f t="shared" ref="G7:G13" si="2">IF(ISERROR(ROUND(POWER(1+H7,D7-F7)*(POWER(1+H7,F7)-1)/(POWER(1+H7,D7)-1),3)),0,ROUND(POWER(1+H7,D7-F7)*(POWER(1+H7,F7)-1)/(POWER(1+H7,D7)-1),3))</f>
        <v>0.801</v>
      </c>
      <c r="H7" s="2721">
        <v>0.055</v>
      </c>
      <c r="I7" s="2721">
        <v>0.06</v>
      </c>
      <c r="J7" s="2722">
        <v>0.085</v>
      </c>
      <c r="K7" s="2807">
        <f>SUMIF('数据-汇总表'!C$19:C$33,A7,'数据-汇总表'!E$19:E$33)</f>
        <v>3141.59</v>
      </c>
      <c r="L7" s="2808">
        <v>3500</v>
      </c>
      <c r="M7" s="2809">
        <f t="shared" si="0"/>
        <v>1100</v>
      </c>
      <c r="N7" s="2810">
        <f>N6</f>
        <v>0.85</v>
      </c>
      <c r="O7" s="2809" t="str">
        <f t="shared" ref="O7:O14" si="3">IF($N$5="成新度","——",ROUND(M7*N7,0))</f>
        <v>——</v>
      </c>
      <c r="P7" s="2811" t="str">
        <f t="shared" ref="P7:P14" si="4">IF($N$5="成新度","——",M7-O7)</f>
        <v>——</v>
      </c>
      <c r="Q7" s="2828">
        <v>0.2</v>
      </c>
      <c r="R7" s="2829">
        <f ca="1">SUMIF('数据-汇总表'!C$19:C$33,A7,'数据-汇总表'!R$19:R$27)</f>
        <v>429.4</v>
      </c>
      <c r="S7" s="2830">
        <f>IF('数据-汇总表'!$I$17="按面积比例",SUMIF('数据-汇总表'!C$19:C$33,A7,'数据-汇总表'!K$19:K$33),SUMIF('数据-汇总表'!C$19:C$33,A7,'数据-汇总表'!N$19:N$33))</f>
        <v>0</v>
      </c>
      <c r="T7" s="2831">
        <f t="shared" ref="T7:T13" si="5">ROUND($L$14*S7/10000,0)</f>
        <v>0</v>
      </c>
      <c r="U7" s="2832">
        <v>9</v>
      </c>
      <c r="V7" s="2833">
        <v>0.03</v>
      </c>
      <c r="W7" s="2833">
        <v>0.1</v>
      </c>
      <c r="X7" s="2835"/>
      <c r="Y7" s="2855">
        <f>N7</f>
        <v>0.85</v>
      </c>
      <c r="Z7" s="2856"/>
      <c r="AA7" s="2722"/>
      <c r="AB7" s="2722"/>
      <c r="AC7" s="2835"/>
      <c r="AD7" s="2857"/>
      <c r="AE7" s="2858">
        <f ca="1" t="shared" ref="AE7:AE13" si="6">IF(AN7="",0,SUMIF(INDIRECT("'"&amp;AN7&amp;"'"&amp;"!E:E"),$AE$5,INDIRECT("'"&amp;AN7&amp;"'"&amp;"!F:F")))</f>
        <v>22.94</v>
      </c>
      <c r="AF7" s="2163"/>
      <c r="AG7" s="1445">
        <f ca="1" t="shared" ref="AG7:AG13" si="7">IF(AF7="",0,AE7-AF7)</f>
        <v>0</v>
      </c>
      <c r="AH7" s="2840"/>
      <c r="AI7" s="2868">
        <v>365</v>
      </c>
      <c r="AJ7" s="2869"/>
      <c r="AK7" s="2870">
        <v>0.015</v>
      </c>
      <c r="AL7" s="2871">
        <v>0.0015</v>
      </c>
      <c r="AM7" s="2872">
        <v>0.02</v>
      </c>
      <c r="AN7" s="2873" t="s">
        <v>311</v>
      </c>
      <c r="AO7" s="1043">
        <f ca="1" t="shared" ref="AO7:AO13" si="8">SUMIF(INDIRECT("'"&amp;AN7&amp;"'"&amp;"!A:A"),"总价",INDIRECT("'"&amp;AN7&amp;"'"&amp;"!B:B"))</f>
        <v>11707</v>
      </c>
      <c r="AP7" s="2884">
        <f t="shared" ref="AP7:AP13" si="9">IF(C7="住宅",K7*L7,0)</f>
        <v>0</v>
      </c>
      <c r="AQ7" s="1043">
        <f t="shared" ref="AQ7:AQ13" si="10">ROUND($L$14*$N$14*S7/10000,0)</f>
        <v>0</v>
      </c>
      <c r="AR7" s="1043">
        <f t="shared" ref="AR7:AR13" si="11">ROUND($L$14*(1-$N$14)*S7/10000,0)</f>
        <v>0</v>
      </c>
      <c r="AS7" s="2576"/>
      <c r="AT7" s="2576"/>
      <c r="AU7" s="2576"/>
      <c r="AV7" s="2576"/>
      <c r="AW7" s="2576"/>
      <c r="AX7" s="2576"/>
      <c r="AY7" s="2576"/>
      <c r="AZ7" s="2576"/>
      <c r="BA7" s="2576"/>
      <c r="BB7" s="2576"/>
      <c r="BC7" s="2576"/>
      <c r="BD7" s="2576"/>
      <c r="BE7" s="2576"/>
      <c r="BF7" s="2576"/>
      <c r="BG7" s="2576"/>
      <c r="BH7" s="2576"/>
      <c r="BI7" s="2576"/>
      <c r="BJ7" s="2576"/>
      <c r="BK7" s="2576"/>
      <c r="BL7" s="2576"/>
      <c r="BM7" s="2576"/>
      <c r="BN7" s="2576"/>
      <c r="BO7" s="2576"/>
    </row>
    <row r="8" s="2689" customFormat="1" ht="14.25" spans="1:67">
      <c r="A8" s="2714">
        <f>'数据-汇总表'!C21</f>
        <v>0</v>
      </c>
      <c r="B8" s="2715" t="str">
        <f t="shared" si="1"/>
        <v/>
      </c>
      <c r="C8" s="2716"/>
      <c r="D8" s="2717">
        <f>SUMIF(项目基本情况!D$12:I$12,C8,项目基本情况!D$14:I$14)</f>
        <v>0</v>
      </c>
      <c r="E8" s="2718" t="str">
        <f>IF(B8="","",SUMIF(项目基本情况!D$12:I$12,C8,项目基本情况!D$13:I$13))</f>
        <v/>
      </c>
      <c r="F8" s="2719">
        <f>SUMIF(项目基本情况!D$12:I$12,C8,项目基本情况!D$15:I$15)</f>
        <v>0</v>
      </c>
      <c r="G8" s="2720">
        <f t="shared" si="2"/>
        <v>0</v>
      </c>
      <c r="H8" s="2721"/>
      <c r="I8" s="2721"/>
      <c r="J8" s="2722"/>
      <c r="K8" s="2807">
        <f>SUMIF('数据-汇总表'!C$19:C$33,A8,'数据-汇总表'!E$19:E$33)</f>
        <v>0</v>
      </c>
      <c r="L8" s="2808"/>
      <c r="M8" s="2809">
        <f t="shared" si="0"/>
        <v>0</v>
      </c>
      <c r="N8" s="2810"/>
      <c r="O8" s="2809" t="str">
        <f t="shared" si="3"/>
        <v>——</v>
      </c>
      <c r="P8" s="2811" t="str">
        <f t="shared" si="4"/>
        <v>——</v>
      </c>
      <c r="Q8" s="2828"/>
      <c r="R8" s="2829">
        <f ca="1">SUMIF('数据-汇总表'!C$19:C$33,A8,'数据-汇总表'!R$19:R$27)</f>
        <v>0</v>
      </c>
      <c r="S8" s="2830">
        <f>IF('数据-汇总表'!$I$17="按面积比例",SUMIF('数据-汇总表'!C$19:C$33,A8,'数据-汇总表'!K$19:K$33),SUMIF('数据-汇总表'!C$19:C$33,A8,'数据-汇总表'!N$19:N$33))</f>
        <v>0</v>
      </c>
      <c r="T8" s="2831">
        <f t="shared" si="5"/>
        <v>0</v>
      </c>
      <c r="U8" s="2836"/>
      <c r="V8" s="2837"/>
      <c r="W8" s="2837"/>
      <c r="X8" s="2835"/>
      <c r="Y8" s="2859"/>
      <c r="Z8" s="2856"/>
      <c r="AA8" s="2722"/>
      <c r="AB8" s="2722"/>
      <c r="AC8" s="2835"/>
      <c r="AD8" s="2857"/>
      <c r="AE8" s="2858">
        <f ca="1" t="shared" si="6"/>
        <v>0</v>
      </c>
      <c r="AF8" s="2163"/>
      <c r="AG8" s="1445">
        <f ca="1" t="shared" si="7"/>
        <v>0</v>
      </c>
      <c r="AH8" s="2874"/>
      <c r="AI8" s="2868"/>
      <c r="AJ8" s="2869"/>
      <c r="AK8" s="2875"/>
      <c r="AL8" s="2876"/>
      <c r="AM8" s="2877"/>
      <c r="AN8" s="2873"/>
      <c r="AO8" s="1043" t="e">
        <f ca="1" t="shared" si="8"/>
        <v>#REF!</v>
      </c>
      <c r="AP8" s="2884">
        <f t="shared" si="9"/>
        <v>0</v>
      </c>
      <c r="AQ8" s="1043">
        <f t="shared" si="10"/>
        <v>0</v>
      </c>
      <c r="AR8" s="1043">
        <f t="shared" si="11"/>
        <v>0</v>
      </c>
      <c r="AS8" s="2576"/>
      <c r="AT8" s="2576"/>
      <c r="AU8" s="2576"/>
      <c r="AV8" s="2576"/>
      <c r="AW8" s="2576"/>
      <c r="AX8" s="2576"/>
      <c r="AY8" s="2576"/>
      <c r="AZ8" s="2576"/>
      <c r="BA8" s="2576"/>
      <c r="BB8" s="2576"/>
      <c r="BC8" s="2576"/>
      <c r="BD8" s="2576"/>
      <c r="BE8" s="2576"/>
      <c r="BF8" s="2576"/>
      <c r="BG8" s="2576"/>
      <c r="BH8" s="2576"/>
      <c r="BI8" s="2576"/>
      <c r="BJ8" s="2576"/>
      <c r="BK8" s="2576"/>
      <c r="BL8" s="2576"/>
      <c r="BM8" s="2576"/>
      <c r="BN8" s="2576"/>
      <c r="BO8" s="2576"/>
    </row>
    <row r="9" s="2689" customFormat="1" ht="14.25" spans="1:67">
      <c r="A9" s="2714">
        <f>'数据-汇总表'!C22</f>
        <v>0</v>
      </c>
      <c r="B9" s="2715" t="str">
        <f t="shared" si="1"/>
        <v/>
      </c>
      <c r="C9" s="2716"/>
      <c r="D9" s="2717">
        <f>SUMIF(项目基本情况!D$12:I$12,C9,项目基本情况!D$14:I$14)</f>
        <v>0</v>
      </c>
      <c r="E9" s="2718" t="str">
        <f>IF(B9="","",SUMIF(项目基本情况!D$12:I$12,C9,项目基本情况!D$13:I$13))</f>
        <v/>
      </c>
      <c r="F9" s="2719">
        <f>SUMIF(项目基本情况!D$12:I$12,C9,项目基本情况!D$15:I$15)</f>
        <v>0</v>
      </c>
      <c r="G9" s="2720">
        <f t="shared" si="2"/>
        <v>0</v>
      </c>
      <c r="H9" s="2722"/>
      <c r="I9" s="2722"/>
      <c r="J9" s="2722"/>
      <c r="K9" s="2807">
        <f>SUMIF('数据-汇总表'!C$19:C$33,A9,'数据-汇总表'!E$19:E$33)</f>
        <v>0</v>
      </c>
      <c r="L9" s="2812"/>
      <c r="M9" s="2809">
        <f t="shared" si="0"/>
        <v>0</v>
      </c>
      <c r="N9" s="2810"/>
      <c r="O9" s="2809" t="str">
        <f t="shared" si="3"/>
        <v>——</v>
      </c>
      <c r="P9" s="2811" t="str">
        <f t="shared" si="4"/>
        <v>——</v>
      </c>
      <c r="Q9" s="2838"/>
      <c r="R9" s="2829">
        <f ca="1">SUMIF('数据-汇总表'!C$19:C$33,A9,'数据-汇总表'!R$19:R$27)</f>
        <v>0</v>
      </c>
      <c r="S9" s="2830">
        <f>IF('数据-汇总表'!$I$17="按面积比例",SUMIF('数据-汇总表'!C$19:C$33,A9,'数据-汇总表'!K$19:K$33),SUMIF('数据-汇总表'!C$19:C$33,A9,'数据-汇总表'!N$19:N$33))</f>
        <v>0</v>
      </c>
      <c r="T9" s="2831">
        <f t="shared" si="5"/>
        <v>0</v>
      </c>
      <c r="U9" s="2832"/>
      <c r="V9" s="2833"/>
      <c r="W9" s="2833"/>
      <c r="X9" s="2835"/>
      <c r="Y9" s="2855"/>
      <c r="Z9" s="2856"/>
      <c r="AA9" s="2722"/>
      <c r="AB9" s="2722"/>
      <c r="AC9" s="2835"/>
      <c r="AD9" s="2857"/>
      <c r="AE9" s="2858">
        <f ca="1" t="shared" si="6"/>
        <v>0</v>
      </c>
      <c r="AF9" s="2163"/>
      <c r="AG9" s="1445">
        <f ca="1" t="shared" si="7"/>
        <v>0</v>
      </c>
      <c r="AH9" s="2840"/>
      <c r="AI9" s="2868">
        <v>365</v>
      </c>
      <c r="AJ9" s="2869"/>
      <c r="AK9" s="2870"/>
      <c r="AL9" s="2871"/>
      <c r="AM9" s="2872"/>
      <c r="AN9" s="2873"/>
      <c r="AO9" s="1043" t="e">
        <f ca="1" t="shared" si="8"/>
        <v>#REF!</v>
      </c>
      <c r="AP9" s="2884">
        <f t="shared" si="9"/>
        <v>0</v>
      </c>
      <c r="AQ9" s="1043">
        <f t="shared" si="10"/>
        <v>0</v>
      </c>
      <c r="AR9" s="1043">
        <f t="shared" si="11"/>
        <v>0</v>
      </c>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row>
    <row r="10" s="2689" customFormat="1" ht="14.25" spans="1:67">
      <c r="A10" s="2714">
        <f>'数据-汇总表'!C23</f>
        <v>0</v>
      </c>
      <c r="B10" s="2715" t="str">
        <f t="shared" si="1"/>
        <v/>
      </c>
      <c r="C10" s="2716"/>
      <c r="D10" s="2717">
        <f>SUMIF(项目基本情况!D$12:I$12,C10,项目基本情况!D$14:I$14)</f>
        <v>0</v>
      </c>
      <c r="E10" s="2718" t="str">
        <f>IF(B10="","",SUMIF(项目基本情况!D$12:I$12,C10,项目基本情况!D$13:I$13))</f>
        <v/>
      </c>
      <c r="F10" s="2719">
        <f>SUMIF(项目基本情况!D$12:I$12,C10,项目基本情况!D$15:I$15)</f>
        <v>0</v>
      </c>
      <c r="G10" s="2720">
        <f t="shared" si="2"/>
        <v>0</v>
      </c>
      <c r="H10" s="2722"/>
      <c r="I10" s="2722"/>
      <c r="J10" s="2722"/>
      <c r="K10" s="2807">
        <f>SUMIF('数据-汇总表'!C$19:C$33,A10,'数据-汇总表'!E$19:E$33)</f>
        <v>0</v>
      </c>
      <c r="L10" s="2808"/>
      <c r="M10" s="2809">
        <f t="shared" si="0"/>
        <v>0</v>
      </c>
      <c r="N10" s="2810"/>
      <c r="O10" s="2809" t="str">
        <f t="shared" si="3"/>
        <v>——</v>
      </c>
      <c r="P10" s="2811" t="str">
        <f t="shared" si="4"/>
        <v>——</v>
      </c>
      <c r="Q10" s="2839"/>
      <c r="R10" s="2829">
        <f ca="1">SUMIF('数据-汇总表'!C$19:C$33,A10,'数据-汇总表'!R$19:R$27)</f>
        <v>0</v>
      </c>
      <c r="S10" s="2830">
        <f>IF('数据-汇总表'!$I$17="按面积比例",SUMIF('数据-汇总表'!C$19:C$33,A10,'数据-汇总表'!K$19:K$33),SUMIF('数据-汇总表'!C$19:C$33,A10,'数据-汇总表'!N$19:N$33))</f>
        <v>0</v>
      </c>
      <c r="T10" s="2831">
        <f t="shared" si="5"/>
        <v>0</v>
      </c>
      <c r="U10" s="2832"/>
      <c r="V10" s="2833"/>
      <c r="W10" s="2833"/>
      <c r="X10" s="2835"/>
      <c r="Y10" s="2855"/>
      <c r="Z10" s="2856"/>
      <c r="AA10" s="2722"/>
      <c r="AB10" s="2722"/>
      <c r="AC10" s="2835"/>
      <c r="AD10" s="2857"/>
      <c r="AE10" s="2858">
        <f ca="1" t="shared" si="6"/>
        <v>0</v>
      </c>
      <c r="AF10" s="2163"/>
      <c r="AG10" s="1445">
        <f ca="1" t="shared" si="7"/>
        <v>0</v>
      </c>
      <c r="AH10" s="2840"/>
      <c r="AI10" s="2868"/>
      <c r="AJ10" s="2869"/>
      <c r="AK10" s="2875"/>
      <c r="AL10" s="2876"/>
      <c r="AM10" s="2877"/>
      <c r="AN10" s="2873"/>
      <c r="AO10" s="1043" t="e">
        <f ca="1" t="shared" si="8"/>
        <v>#REF!</v>
      </c>
      <c r="AP10" s="2884">
        <f t="shared" si="9"/>
        <v>0</v>
      </c>
      <c r="AQ10" s="1043">
        <f t="shared" si="10"/>
        <v>0</v>
      </c>
      <c r="AR10" s="1043">
        <f t="shared" si="11"/>
        <v>0</v>
      </c>
      <c r="AS10" s="2576"/>
      <c r="AT10" s="2576"/>
      <c r="AU10" s="2576"/>
      <c r="AV10" s="2576"/>
      <c r="AW10" s="2576"/>
      <c r="AX10" s="2576"/>
      <c r="AY10" s="2576"/>
      <c r="AZ10" s="2576"/>
      <c r="BA10" s="2576"/>
      <c r="BB10" s="2576"/>
      <c r="BC10" s="2576"/>
      <c r="BD10" s="2576"/>
      <c r="BE10" s="2576"/>
      <c r="BF10" s="2576"/>
      <c r="BG10" s="2576"/>
      <c r="BH10" s="2576"/>
      <c r="BI10" s="2576"/>
      <c r="BJ10" s="2576"/>
      <c r="BK10" s="2576"/>
      <c r="BL10" s="2576"/>
      <c r="BM10" s="2576"/>
      <c r="BN10" s="2576"/>
      <c r="BO10" s="2576"/>
    </row>
    <row r="11" s="2689" customFormat="1" ht="14.25" spans="1:67">
      <c r="A11" s="2714">
        <f>'数据-汇总表'!C24</f>
        <v>0</v>
      </c>
      <c r="B11" s="2715" t="str">
        <f t="shared" si="1"/>
        <v/>
      </c>
      <c r="C11" s="2716"/>
      <c r="D11" s="2717">
        <f>SUMIF(项目基本情况!D$12:I$12,C11,项目基本情况!D$14:I$14)</f>
        <v>0</v>
      </c>
      <c r="E11" s="2718" t="str">
        <f>IF(B11="","",SUMIF(项目基本情况!D$12:I$12,C11,项目基本情况!D$13:I$13))</f>
        <v/>
      </c>
      <c r="F11" s="2719">
        <f>SUMIF(项目基本情况!D$12:I$12,C11,项目基本情况!D$15:I$15)</f>
        <v>0</v>
      </c>
      <c r="G11" s="2720">
        <f t="shared" si="2"/>
        <v>0</v>
      </c>
      <c r="H11" s="2722"/>
      <c r="I11" s="2722"/>
      <c r="J11" s="2722"/>
      <c r="K11" s="2807">
        <f>SUMIF('数据-汇总表'!C$19:C$33,A11,'数据-汇总表'!E$19:E$33)</f>
        <v>0</v>
      </c>
      <c r="L11" s="2813"/>
      <c r="M11" s="2809">
        <f t="shared" si="0"/>
        <v>0</v>
      </c>
      <c r="N11" s="2814"/>
      <c r="O11" s="2809" t="str">
        <f t="shared" si="3"/>
        <v>——</v>
      </c>
      <c r="P11" s="2811" t="str">
        <f t="shared" si="4"/>
        <v>——</v>
      </c>
      <c r="Q11" s="2839"/>
      <c r="R11" s="2829">
        <f ca="1">SUMIF('数据-汇总表'!C$19:C$33,A11,'数据-汇总表'!R$19:R$27)</f>
        <v>0</v>
      </c>
      <c r="S11" s="2830">
        <f>IF('数据-汇总表'!$I$17="按面积比例",SUMIF('数据-汇总表'!C$19:C$33,A11,'数据-汇总表'!K$19:K$33),SUMIF('数据-汇总表'!C$19:C$33,A11,'数据-汇总表'!N$19:N$33))</f>
        <v>0</v>
      </c>
      <c r="T11" s="2831">
        <f t="shared" si="5"/>
        <v>0</v>
      </c>
      <c r="U11" s="2840"/>
      <c r="V11" s="2722"/>
      <c r="W11" s="2722"/>
      <c r="X11" s="2835"/>
      <c r="Y11" s="2855"/>
      <c r="Z11" s="2860"/>
      <c r="AA11" s="2722"/>
      <c r="AB11" s="2722"/>
      <c r="AC11" s="2835"/>
      <c r="AD11" s="2857"/>
      <c r="AE11" s="2858">
        <f ca="1" t="shared" si="6"/>
        <v>0</v>
      </c>
      <c r="AF11" s="2163"/>
      <c r="AG11" s="1445">
        <f ca="1" t="shared" si="7"/>
        <v>0</v>
      </c>
      <c r="AH11" s="2840"/>
      <c r="AI11" s="2868"/>
      <c r="AJ11" s="2869"/>
      <c r="AK11" s="2870"/>
      <c r="AL11" s="2871"/>
      <c r="AM11" s="2872"/>
      <c r="AN11" s="2873"/>
      <c r="AO11" s="1043" t="e">
        <f ca="1" t="shared" si="8"/>
        <v>#REF!</v>
      </c>
      <c r="AP11" s="2884">
        <f t="shared" si="9"/>
        <v>0</v>
      </c>
      <c r="AQ11" s="1043">
        <f t="shared" si="10"/>
        <v>0</v>
      </c>
      <c r="AR11" s="1043">
        <f t="shared" si="11"/>
        <v>0</v>
      </c>
      <c r="AS11" s="2576"/>
      <c r="AT11" s="2576"/>
      <c r="AU11" s="2576"/>
      <c r="AV11" s="2576"/>
      <c r="AW11" s="2576"/>
      <c r="AX11" s="2576"/>
      <c r="AY11" s="2576"/>
      <c r="AZ11" s="2576"/>
      <c r="BA11" s="2576"/>
      <c r="BB11" s="2576"/>
      <c r="BC11" s="2576"/>
      <c r="BD11" s="2576"/>
      <c r="BE11" s="2576"/>
      <c r="BF11" s="2576"/>
      <c r="BG11" s="2576"/>
      <c r="BH11" s="2576"/>
      <c r="BI11" s="2576"/>
      <c r="BJ11" s="2576"/>
      <c r="BK11" s="2576"/>
      <c r="BL11" s="2576"/>
      <c r="BM11" s="2576"/>
      <c r="BN11" s="2576"/>
      <c r="BO11" s="2576"/>
    </row>
    <row r="12" s="2689" customFormat="1" ht="14.25" spans="1:67">
      <c r="A12" s="2714">
        <f>'数据-汇总表'!C25</f>
        <v>0</v>
      </c>
      <c r="B12" s="2715" t="str">
        <f t="shared" si="1"/>
        <v/>
      </c>
      <c r="C12" s="2716"/>
      <c r="D12" s="2717">
        <f>SUMIF(项目基本情况!D$12:I$12,C12,项目基本情况!D$14:I$14)</f>
        <v>0</v>
      </c>
      <c r="E12" s="2718" t="str">
        <f>IF(B12="","",SUMIF(项目基本情况!D$12:I$12,C12,项目基本情况!D$13:I$13))</f>
        <v/>
      </c>
      <c r="F12" s="2719">
        <f>SUMIF(项目基本情况!D$12:I$12,C12,项目基本情况!D$15:I$15)</f>
        <v>0</v>
      </c>
      <c r="G12" s="2720">
        <f t="shared" si="2"/>
        <v>0</v>
      </c>
      <c r="H12" s="2722"/>
      <c r="I12" s="2722"/>
      <c r="J12" s="2722"/>
      <c r="K12" s="2807">
        <f>SUMIF('数据-汇总表'!C$19:C$33,A12,'数据-汇总表'!E$19:E$33)</f>
        <v>0</v>
      </c>
      <c r="L12" s="2813"/>
      <c r="M12" s="2809">
        <f t="shared" si="0"/>
        <v>0</v>
      </c>
      <c r="N12" s="2814"/>
      <c r="O12" s="2809" t="str">
        <f t="shared" si="3"/>
        <v>——</v>
      </c>
      <c r="P12" s="2811" t="str">
        <f t="shared" si="4"/>
        <v>——</v>
      </c>
      <c r="Q12" s="2839"/>
      <c r="R12" s="2829">
        <f ca="1">SUMIF('数据-汇总表'!C$19:C$33,A12,'数据-汇总表'!R$19:R$27)</f>
        <v>0</v>
      </c>
      <c r="S12" s="2830">
        <f>IF('数据-汇总表'!$I$17="按面积比例",SUMIF('数据-汇总表'!C$19:C$33,A12,'数据-汇总表'!K$19:K$33),SUMIF('数据-汇总表'!C$19:C$33,A12,'数据-汇总表'!N$19:N$33))</f>
        <v>0</v>
      </c>
      <c r="T12" s="2831">
        <f t="shared" si="5"/>
        <v>0</v>
      </c>
      <c r="U12" s="2840"/>
      <c r="V12" s="2722"/>
      <c r="W12" s="2722"/>
      <c r="X12" s="2835"/>
      <c r="Y12" s="2855"/>
      <c r="Z12" s="2860"/>
      <c r="AA12" s="2722"/>
      <c r="AB12" s="2722"/>
      <c r="AC12" s="2835"/>
      <c r="AD12" s="2857"/>
      <c r="AE12" s="2858">
        <f ca="1" t="shared" si="6"/>
        <v>0</v>
      </c>
      <c r="AF12" s="2163"/>
      <c r="AG12" s="1445">
        <f ca="1" t="shared" si="7"/>
        <v>0</v>
      </c>
      <c r="AH12" s="2840"/>
      <c r="AI12" s="2868"/>
      <c r="AJ12" s="2869"/>
      <c r="AK12" s="2870"/>
      <c r="AL12" s="2871"/>
      <c r="AM12" s="2872"/>
      <c r="AN12" s="2873"/>
      <c r="AO12" s="1043" t="e">
        <f ca="1" t="shared" si="8"/>
        <v>#REF!</v>
      </c>
      <c r="AP12" s="2884">
        <f t="shared" si="9"/>
        <v>0</v>
      </c>
      <c r="AQ12" s="1043">
        <f t="shared" si="10"/>
        <v>0</v>
      </c>
      <c r="AR12" s="1043">
        <f t="shared" si="11"/>
        <v>0</v>
      </c>
      <c r="AS12" s="2576"/>
      <c r="AT12" s="2576"/>
      <c r="AU12" s="2576"/>
      <c r="AV12" s="2576"/>
      <c r="AW12" s="2576"/>
      <c r="AX12" s="2576"/>
      <c r="AY12" s="2576"/>
      <c r="AZ12" s="2576"/>
      <c r="BA12" s="2576"/>
      <c r="BB12" s="2576"/>
      <c r="BC12" s="2576"/>
      <c r="BD12" s="2576"/>
      <c r="BE12" s="2576"/>
      <c r="BF12" s="2576"/>
      <c r="BG12" s="2576"/>
      <c r="BH12" s="2576"/>
      <c r="BI12" s="2576"/>
      <c r="BJ12" s="2576"/>
      <c r="BK12" s="2576"/>
      <c r="BL12" s="2576"/>
      <c r="BM12" s="2576"/>
      <c r="BN12" s="2576"/>
      <c r="BO12" s="2576"/>
    </row>
    <row r="13" s="2689" customFormat="1" ht="14.25" spans="1:67">
      <c r="A13" s="2714">
        <f>'数据-汇总表'!C26</f>
        <v>0</v>
      </c>
      <c r="B13" s="2715" t="str">
        <f t="shared" si="1"/>
        <v/>
      </c>
      <c r="C13" s="2716"/>
      <c r="D13" s="2717">
        <f>SUMIF(项目基本情况!D$12:I$12,C13,项目基本情况!D$14:I$14)</f>
        <v>0</v>
      </c>
      <c r="E13" s="2718" t="str">
        <f>IF(B13="","",SUMIF(项目基本情况!D$12:I$12,C13,项目基本情况!D$13:I$13))</f>
        <v/>
      </c>
      <c r="F13" s="2719">
        <f>SUMIF(项目基本情况!D$12:I$12,C13,项目基本情况!D$15:I$15)</f>
        <v>0</v>
      </c>
      <c r="G13" s="2720">
        <f t="shared" si="2"/>
        <v>0</v>
      </c>
      <c r="H13" s="2722"/>
      <c r="I13" s="2722"/>
      <c r="J13" s="2722"/>
      <c r="K13" s="2807">
        <f>SUMIF('数据-汇总表'!C$19:C$33,A13,'数据-汇总表'!E$19:E$33)</f>
        <v>0</v>
      </c>
      <c r="L13" s="2813"/>
      <c r="M13" s="2809">
        <f t="shared" si="0"/>
        <v>0</v>
      </c>
      <c r="N13" s="2814"/>
      <c r="O13" s="2809" t="str">
        <f t="shared" si="3"/>
        <v>——</v>
      </c>
      <c r="P13" s="2811" t="str">
        <f t="shared" si="4"/>
        <v>——</v>
      </c>
      <c r="Q13" s="2839"/>
      <c r="R13" s="2829">
        <f ca="1">SUMIF('数据-汇总表'!C$19:C$33,A13,'数据-汇总表'!R$19:R$27)</f>
        <v>0</v>
      </c>
      <c r="S13" s="2830">
        <f>IF('数据-汇总表'!$I$17="按面积比例",SUMIF('数据-汇总表'!C$19:C$33,A13,'数据-汇总表'!K$19:K$33),SUMIF('数据-汇总表'!C$19:C$33,A13,'数据-汇总表'!N$19:N$33))</f>
        <v>0</v>
      </c>
      <c r="T13" s="2831">
        <f t="shared" si="5"/>
        <v>0</v>
      </c>
      <c r="U13" s="2832"/>
      <c r="V13" s="2833"/>
      <c r="W13" s="2833"/>
      <c r="X13" s="2835"/>
      <c r="Y13" s="2855"/>
      <c r="Z13" s="2856"/>
      <c r="AA13" s="2722"/>
      <c r="AB13" s="2722"/>
      <c r="AC13" s="2835"/>
      <c r="AD13" s="2857"/>
      <c r="AE13" s="2858">
        <f ca="1" t="shared" si="6"/>
        <v>0</v>
      </c>
      <c r="AF13" s="2163"/>
      <c r="AG13" s="1445">
        <f ca="1" t="shared" si="7"/>
        <v>0</v>
      </c>
      <c r="AH13" s="2840"/>
      <c r="AI13" s="2868"/>
      <c r="AJ13" s="2869"/>
      <c r="AK13" s="2875"/>
      <c r="AL13" s="2876"/>
      <c r="AM13" s="2877"/>
      <c r="AN13" s="2873"/>
      <c r="AO13" s="1043" t="e">
        <f ca="1" t="shared" si="8"/>
        <v>#REF!</v>
      </c>
      <c r="AP13" s="2884">
        <f t="shared" si="9"/>
        <v>0</v>
      </c>
      <c r="AQ13" s="1043">
        <f t="shared" si="10"/>
        <v>0</v>
      </c>
      <c r="AR13" s="1043">
        <f t="shared" si="11"/>
        <v>0</v>
      </c>
      <c r="AS13" s="2576"/>
      <c r="AT13" s="2576"/>
      <c r="AU13" s="2576"/>
      <c r="AV13" s="2576"/>
      <c r="AW13" s="2576"/>
      <c r="AX13" s="2576"/>
      <c r="AY13" s="2576"/>
      <c r="AZ13" s="2576"/>
      <c r="BA13" s="2576"/>
      <c r="BB13" s="2576"/>
      <c r="BC13" s="2576"/>
      <c r="BD13" s="2576"/>
      <c r="BE13" s="2576"/>
      <c r="BF13" s="2576"/>
      <c r="BG13" s="2576"/>
      <c r="BH13" s="2576"/>
      <c r="BI13" s="2576"/>
      <c r="BJ13" s="2576"/>
      <c r="BK13" s="2576"/>
      <c r="BL13" s="2576"/>
      <c r="BM13" s="2576"/>
      <c r="BN13" s="2576"/>
      <c r="BO13" s="2576"/>
    </row>
    <row r="14" s="2689" customFormat="1" ht="14.25" spans="1:67">
      <c r="A14" s="2723" t="s">
        <v>587</v>
      </c>
      <c r="B14" s="2715" t="s">
        <v>586</v>
      </c>
      <c r="C14" s="2724" t="s">
        <v>587</v>
      </c>
      <c r="D14" s="2717"/>
      <c r="E14" s="2718"/>
      <c r="F14" s="2719"/>
      <c r="G14" s="2720"/>
      <c r="H14" s="2725"/>
      <c r="I14" s="2725"/>
      <c r="J14" s="2725"/>
      <c r="K14" s="2807">
        <f>SUMIF('数据-汇总表'!C$19:C$33,A14,'数据-汇总表'!E$19:E$33)</f>
        <v>0</v>
      </c>
      <c r="L14" s="2813"/>
      <c r="M14" s="2809">
        <f t="shared" si="0"/>
        <v>0</v>
      </c>
      <c r="N14" s="2814"/>
      <c r="O14" s="2809" t="str">
        <f t="shared" si="3"/>
        <v>——</v>
      </c>
      <c r="P14" s="2811" t="str">
        <f t="shared" si="4"/>
        <v>——</v>
      </c>
      <c r="Q14" s="2841"/>
      <c r="R14" s="2829"/>
      <c r="S14" s="2830"/>
      <c r="T14" s="2831"/>
      <c r="U14" s="2842"/>
      <c r="V14" s="2843"/>
      <c r="W14" s="2843"/>
      <c r="X14" s="2844"/>
      <c r="Y14" s="2861"/>
      <c r="Z14" s="2862"/>
      <c r="AA14" s="2863"/>
      <c r="AB14" s="2863"/>
      <c r="AC14" s="2835"/>
      <c r="AD14" s="2844"/>
      <c r="AE14" s="2858"/>
      <c r="AF14" s="1043"/>
      <c r="AG14" s="1445"/>
      <c r="AH14" s="2858"/>
      <c r="AI14" s="1026"/>
      <c r="AJ14" s="1042"/>
      <c r="AK14" s="2878"/>
      <c r="AL14" s="2879"/>
      <c r="AM14" s="2880"/>
      <c r="AN14" s="1833"/>
      <c r="AO14" s="2735"/>
      <c r="AP14" s="2735"/>
      <c r="AQ14" s="2735"/>
      <c r="AR14" s="2735"/>
      <c r="AS14" s="2576"/>
      <c r="AT14" s="2576"/>
      <c r="AU14" s="2576"/>
      <c r="AV14" s="2576"/>
      <c r="AW14" s="2576"/>
      <c r="AX14" s="2576"/>
      <c r="AY14" s="2576"/>
      <c r="AZ14" s="2576"/>
      <c r="BA14" s="2576"/>
      <c r="BB14" s="2576"/>
      <c r="BC14" s="2576"/>
      <c r="BD14" s="2576"/>
      <c r="BE14" s="2576"/>
      <c r="BF14" s="2576"/>
      <c r="BG14" s="2576"/>
      <c r="BH14" s="2576"/>
      <c r="BI14" s="2576"/>
      <c r="BJ14" s="2576"/>
      <c r="BK14" s="2576"/>
      <c r="BL14" s="2576"/>
      <c r="BM14" s="2576"/>
      <c r="BN14" s="2576"/>
      <c r="BO14" s="2576"/>
    </row>
    <row r="15" s="2689" customFormat="1" ht="27" spans="1:67">
      <c r="A15" s="2723" t="s">
        <v>588</v>
      </c>
      <c r="B15" s="2715" t="s">
        <v>586</v>
      </c>
      <c r="C15" s="2724" t="s">
        <v>634</v>
      </c>
      <c r="D15" s="2717"/>
      <c r="E15" s="2718"/>
      <c r="F15" s="2719"/>
      <c r="G15" s="2720"/>
      <c r="H15" s="2725"/>
      <c r="I15" s="2725"/>
      <c r="J15" s="2725"/>
      <c r="K15" s="2807">
        <f>SUMIF('数据-汇总表'!C$19:C$33,A15,'数据-汇总表'!E$19:E$33)</f>
        <v>0</v>
      </c>
      <c r="L15" s="2815"/>
      <c r="M15" s="2809"/>
      <c r="N15" s="2816"/>
      <c r="O15" s="2809"/>
      <c r="P15" s="2811"/>
      <c r="Q15" s="2841"/>
      <c r="R15" s="2829"/>
      <c r="S15" s="2830"/>
      <c r="T15" s="2831"/>
      <c r="U15" s="2842"/>
      <c r="V15" s="2843"/>
      <c r="W15" s="2843"/>
      <c r="X15" s="2844"/>
      <c r="Y15" s="2861"/>
      <c r="Z15" s="2862"/>
      <c r="AA15" s="2863"/>
      <c r="AB15" s="2863"/>
      <c r="AC15" s="2835"/>
      <c r="AD15" s="2844"/>
      <c r="AE15" s="2858"/>
      <c r="AF15" s="1043"/>
      <c r="AG15" s="1445"/>
      <c r="AH15" s="2858"/>
      <c r="AI15" s="1026"/>
      <c r="AJ15" s="1042"/>
      <c r="AK15" s="2878"/>
      <c r="AL15" s="2879"/>
      <c r="AM15" s="2880"/>
      <c r="AN15" s="1833"/>
      <c r="AO15" s="2735"/>
      <c r="AP15" s="2735"/>
      <c r="AQ15" s="2735"/>
      <c r="AR15" s="2735"/>
      <c r="AS15" s="2576"/>
      <c r="AT15" s="2576"/>
      <c r="AU15" s="2576"/>
      <c r="AV15" s="2576"/>
      <c r="AW15" s="2576"/>
      <c r="AX15" s="2576"/>
      <c r="AY15" s="2576"/>
      <c r="AZ15" s="2576"/>
      <c r="BA15" s="2576"/>
      <c r="BB15" s="2576"/>
      <c r="BC15" s="2576"/>
      <c r="BD15" s="2576"/>
      <c r="BE15" s="2576"/>
      <c r="BF15" s="2576"/>
      <c r="BG15" s="2576"/>
      <c r="BH15" s="2576"/>
      <c r="BI15" s="2576"/>
      <c r="BJ15" s="2576"/>
      <c r="BK15" s="2576"/>
      <c r="BL15" s="2576"/>
      <c r="BM15" s="2576"/>
      <c r="BN15" s="2576"/>
      <c r="BO15" s="2576"/>
    </row>
    <row r="16" s="2689" customFormat="1" ht="15.75" spans="1:67">
      <c r="A16" s="2726" t="s">
        <v>589</v>
      </c>
      <c r="B16" s="2727"/>
      <c r="C16" s="1891"/>
      <c r="D16" s="2728"/>
      <c r="E16" s="2727"/>
      <c r="F16" s="2727"/>
      <c r="G16" s="2729">
        <f>ROUND(SUMPRODUCT(G6:G13,K6:K13)/SUMPRODUCT((G6:G13&gt;0)*(K6:K13)),3)</f>
        <v>0.872</v>
      </c>
      <c r="H16" s="2730">
        <f>ROUND(SUMPRODUCT(H6:H13,K6:K13)/SUMPRODUCT((H6:H13&gt;0)*(K6:K13)),3)</f>
        <v>0.05</v>
      </c>
      <c r="I16" s="2817"/>
      <c r="J16" s="2817"/>
      <c r="K16" s="2818">
        <f>SUM(K6:K15)</f>
        <v>66448.33</v>
      </c>
      <c r="L16" s="2819">
        <f>ROUND(M16*10000/SUM(K6:K14),0)</f>
        <v>3500</v>
      </c>
      <c r="M16" s="2819">
        <f>SUM(M6:M14)</f>
        <v>23257</v>
      </c>
      <c r="N16" s="2820">
        <f>ROUND(SUMPRODUCT(M6:M14,N6:N14)/M16,3)</f>
        <v>0.85</v>
      </c>
      <c r="O16" s="2819">
        <f>SUM(O6:O14)</f>
        <v>0</v>
      </c>
      <c r="P16" s="2819">
        <f>SUM(P6:P14)</f>
        <v>0</v>
      </c>
      <c r="Q16" s="2845">
        <f>ROUND(SUMPRODUCT(Q6:Q13,K6:K13)/SUMPRODUCT((Q6:Q13&gt;0)*(K6:K13)),2)</f>
        <v>0.2</v>
      </c>
      <c r="R16" s="2846">
        <f ca="1">SUM(R6:R13)</f>
        <v>9082.33</v>
      </c>
      <c r="S16" s="2847">
        <f>SUM(S6:S13)</f>
        <v>0</v>
      </c>
      <c r="T16" s="2848">
        <f>IF(SUMIF(T6:T13,"&lt;9E307")=M14,SUMIF(T6:T13,"&lt;9E307"),"有误，请检查")</f>
        <v>0</v>
      </c>
      <c r="U16" s="2849"/>
      <c r="V16" s="2850"/>
      <c r="W16" s="2850"/>
      <c r="X16" s="2851"/>
      <c r="Y16" s="2864"/>
      <c r="Z16" s="2865"/>
      <c r="AA16" s="2850"/>
      <c r="AB16" s="2850"/>
      <c r="AC16" s="2851"/>
      <c r="AD16" s="2851"/>
      <c r="AE16" s="2849"/>
      <c r="AF16" s="2850"/>
      <c r="AG16" s="2864"/>
      <c r="AH16" s="2849"/>
      <c r="AI16" s="2865"/>
      <c r="AJ16" s="2865"/>
      <c r="AK16" s="2850"/>
      <c r="AL16" s="2850"/>
      <c r="AM16" s="2864"/>
      <c r="AN16" s="1833"/>
      <c r="AO16" s="2735"/>
      <c r="AP16" s="2735"/>
      <c r="AQ16" s="2735"/>
      <c r="AR16" s="2735"/>
      <c r="AS16" s="2576"/>
      <c r="AT16" s="2576"/>
      <c r="AU16" s="2576"/>
      <c r="AV16" s="2576"/>
      <c r="AW16" s="2576"/>
      <c r="AX16" s="2576"/>
      <c r="AY16" s="2576"/>
      <c r="AZ16" s="2576"/>
      <c r="BA16" s="2576"/>
      <c r="BB16" s="2576"/>
      <c r="BC16" s="2576"/>
      <c r="BD16" s="2576"/>
      <c r="BE16" s="2576"/>
      <c r="BF16" s="2576"/>
      <c r="BG16" s="2576"/>
      <c r="BH16" s="2576"/>
      <c r="BI16" s="2576"/>
      <c r="BJ16" s="2576"/>
      <c r="BK16" s="2576"/>
      <c r="BL16" s="2576"/>
      <c r="BM16" s="2576"/>
      <c r="BN16" s="2576"/>
      <c r="BO16" s="2576"/>
    </row>
    <row r="17" ht="13.5" spans="1:44">
      <c r="A17" s="2731"/>
      <c r="B17" s="2732"/>
      <c r="C17" s="1833"/>
      <c r="D17" s="2733"/>
      <c r="E17" s="2733"/>
      <c r="F17" s="1833"/>
      <c r="G17" s="1833"/>
      <c r="H17" s="1833"/>
      <c r="I17" s="1833"/>
      <c r="J17" s="1833"/>
      <c r="K17" s="2821"/>
      <c r="L17" s="2821"/>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635</v>
      </c>
      <c r="B18" s="2734"/>
      <c r="C18" s="2735"/>
      <c r="D18" s="2736"/>
      <c r="E18" s="2735"/>
      <c r="F18" s="2735"/>
      <c r="G18" s="2735"/>
      <c r="H18" s="2735"/>
      <c r="I18" s="2735"/>
      <c r="J18" s="2735"/>
      <c r="K18" s="2821"/>
      <c r="L18" s="2821"/>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7" t="s">
        <v>636</v>
      </c>
      <c r="B19" s="2738">
        <v>0</v>
      </c>
      <c r="C19" s="2739" t="s">
        <v>637</v>
      </c>
      <c r="D19" s="2736"/>
      <c r="E19" s="2735"/>
      <c r="F19" s="2735"/>
      <c r="G19" s="2735"/>
      <c r="H19" s="2735"/>
      <c r="I19" s="2735"/>
      <c r="J19" s="2735"/>
      <c r="K19" s="2821"/>
      <c r="L19" s="2821"/>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40" t="s">
        <v>638</v>
      </c>
      <c r="B20" s="2741">
        <v>2</v>
      </c>
      <c r="C20" s="2742" t="s">
        <v>639</v>
      </c>
      <c r="D20" s="2736"/>
      <c r="E20" s="2735"/>
      <c r="F20" s="2735"/>
      <c r="G20" s="2735"/>
      <c r="H20" s="2735"/>
      <c r="I20" s="2735"/>
      <c r="J20" s="2735"/>
      <c r="K20" s="2821"/>
      <c r="L20" s="2821"/>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43" t="s">
        <v>640</v>
      </c>
      <c r="B21" s="2741">
        <v>2</v>
      </c>
      <c r="C21" s="2735"/>
      <c r="D21" s="2736"/>
      <c r="E21" s="2735"/>
      <c r="F21" s="2735"/>
      <c r="G21" s="2735"/>
      <c r="H21" s="2735"/>
      <c r="I21" s="2735"/>
      <c r="J21" s="2735"/>
      <c r="K21" s="2821"/>
      <c r="L21" s="2821"/>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40" t="s">
        <v>641</v>
      </c>
      <c r="B22" s="2744">
        <f>B19+B20</f>
        <v>2</v>
      </c>
      <c r="C22" s="2735"/>
      <c r="D22" s="2736"/>
      <c r="E22" s="2735"/>
      <c r="F22" s="2735"/>
      <c r="G22" s="2735"/>
      <c r="H22" s="2735"/>
      <c r="I22" s="2735"/>
      <c r="J22" s="2735"/>
      <c r="K22" s="2821"/>
      <c r="L22" s="2821"/>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43" t="s">
        <v>642</v>
      </c>
      <c r="B23" s="2744">
        <f>B19+B21</f>
        <v>2</v>
      </c>
      <c r="C23" s="2735"/>
      <c r="D23" s="2736"/>
      <c r="E23" s="2735"/>
      <c r="F23" s="2735"/>
      <c r="G23" s="2735"/>
      <c r="H23" s="2735"/>
      <c r="I23" s="2735"/>
      <c r="J23" s="2735"/>
      <c r="K23" s="2821"/>
      <c r="L23" s="2821"/>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5" t="s">
        <v>643</v>
      </c>
      <c r="B24" s="2746">
        <f>B20-B21</f>
        <v>0</v>
      </c>
      <c r="C24" s="2735"/>
      <c r="D24" s="2736"/>
      <c r="E24" s="2735"/>
      <c r="F24" s="2735"/>
      <c r="G24" s="2735"/>
      <c r="H24" s="2735"/>
      <c r="I24" s="2735"/>
      <c r="J24" s="2735"/>
      <c r="K24" s="2821"/>
      <c r="L24" s="2821"/>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704"/>
      <c r="B25" s="2705"/>
      <c r="C25" s="2735"/>
      <c r="D25" s="2736"/>
      <c r="E25" s="2735"/>
      <c r="F25" s="2735"/>
      <c r="G25" s="2735"/>
      <c r="H25" s="2735"/>
      <c r="I25" s="2735"/>
      <c r="J25" s="2735"/>
      <c r="K25" s="2821"/>
      <c r="L25" s="2821"/>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700" t="s">
        <v>644</v>
      </c>
      <c r="B26" s="2747" t="s">
        <v>645</v>
      </c>
      <c r="C26" s="2748" t="s">
        <v>646</v>
      </c>
      <c r="D26" s="2736"/>
      <c r="E26" s="2735"/>
      <c r="F26" s="2735"/>
      <c r="G26" s="2735"/>
      <c r="H26" s="2735"/>
      <c r="I26" s="2735"/>
      <c r="J26" s="2735"/>
      <c r="K26" s="2821"/>
      <c r="L26" s="2821"/>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91" customFormat="1" ht="27.75" spans="1:67">
      <c r="A27" s="2749" t="s">
        <v>647</v>
      </c>
      <c r="B27" s="2750">
        <v>160</v>
      </c>
      <c r="C27" s="2751" t="s">
        <v>648</v>
      </c>
      <c r="D27" s="2752"/>
      <c r="E27" s="1158"/>
      <c r="F27" s="1158"/>
      <c r="G27" s="2735"/>
      <c r="H27" s="2735"/>
      <c r="I27" s="2735"/>
      <c r="J27" s="2735"/>
      <c r="K27" s="2821"/>
      <c r="L27" s="2821"/>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91" customFormat="1" ht="27.75" spans="1:67">
      <c r="A28" s="2753" t="s">
        <v>649</v>
      </c>
      <c r="B28" s="2754">
        <v>200</v>
      </c>
      <c r="C28" s="2755"/>
      <c r="D28" s="2752"/>
      <c r="E28" s="1158"/>
      <c r="F28" s="1158"/>
      <c r="G28" s="2735"/>
      <c r="H28" s="2735"/>
      <c r="I28" s="2735"/>
      <c r="J28" s="2735"/>
      <c r="K28" s="2821"/>
      <c r="L28" s="2821"/>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91" customFormat="1" ht="28.5" spans="1:67">
      <c r="A29" s="2756" t="s">
        <v>650</v>
      </c>
      <c r="B29" s="2757"/>
      <c r="C29" s="2758" t="s">
        <v>651</v>
      </c>
      <c r="D29" s="2752"/>
      <c r="E29" s="1158"/>
      <c r="F29" s="1158"/>
      <c r="G29" s="2735"/>
      <c r="H29" s="2735"/>
      <c r="I29" s="2735"/>
      <c r="J29" s="2735"/>
      <c r="K29" s="2821"/>
      <c r="L29" s="2821"/>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91" customFormat="1" ht="27" spans="1:67">
      <c r="A30" s="2759" t="s">
        <v>652</v>
      </c>
      <c r="B30" s="2760">
        <v>200</v>
      </c>
      <c r="C30" s="2755"/>
      <c r="D30" s="2752"/>
      <c r="E30" s="1158"/>
      <c r="F30" s="1158"/>
      <c r="G30" s="2735"/>
      <c r="H30" s="2735"/>
      <c r="I30" s="2735"/>
      <c r="J30" s="2735"/>
      <c r="K30" s="2821"/>
      <c r="L30" s="2821"/>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91" customFormat="1" ht="27" spans="1:67">
      <c r="A31" s="2753" t="s">
        <v>653</v>
      </c>
      <c r="B31" s="2761">
        <f>B30-B32</f>
        <v>200</v>
      </c>
      <c r="C31" s="2762"/>
      <c r="D31" s="2752"/>
      <c r="E31" s="1158"/>
      <c r="F31" s="1158"/>
      <c r="G31" s="2735"/>
      <c r="H31" s="2735"/>
      <c r="I31" s="2735"/>
      <c r="J31" s="2735"/>
      <c r="K31" s="2821"/>
      <c r="L31" s="2821"/>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91" customFormat="1" ht="27.75" spans="1:67">
      <c r="A32" s="2763" t="s">
        <v>654</v>
      </c>
      <c r="B32" s="2764"/>
      <c r="C32" s="2755"/>
      <c r="D32" s="2736"/>
      <c r="E32" s="2735"/>
      <c r="F32" s="2735"/>
      <c r="G32" s="2735"/>
      <c r="H32" s="2735"/>
      <c r="I32" s="2735"/>
      <c r="J32" s="2735"/>
      <c r="K32" s="2821"/>
      <c r="L32" s="2821"/>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91" customFormat="1" ht="14.25" spans="1:67">
      <c r="A33" s="2749" t="s">
        <v>655</v>
      </c>
      <c r="B33" s="2765">
        <v>0.04</v>
      </c>
      <c r="C33" s="2766" t="s">
        <v>656</v>
      </c>
      <c r="D33" s="2736"/>
      <c r="E33" s="2735"/>
      <c r="F33" s="2735"/>
      <c r="G33" s="2735"/>
      <c r="H33" s="2735"/>
      <c r="I33" s="2735"/>
      <c r="J33" s="2735"/>
      <c r="K33" s="2821"/>
      <c r="L33" s="2821"/>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91" customFormat="1" ht="14.25" spans="1:67">
      <c r="A34" s="2753" t="s">
        <v>657</v>
      </c>
      <c r="B34" s="2767">
        <v>0</v>
      </c>
      <c r="C34" s="2766" t="s">
        <v>658</v>
      </c>
      <c r="D34" s="2768" t="s">
        <v>659</v>
      </c>
      <c r="E34" s="2732"/>
      <c r="F34" s="2735"/>
      <c r="G34" s="2735"/>
      <c r="H34" s="2735"/>
      <c r="I34" s="2735"/>
      <c r="J34" s="2735"/>
      <c r="K34" s="2821"/>
      <c r="L34" s="2821"/>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91" customFormat="1" ht="14.25" spans="1:67">
      <c r="A35" s="2753" t="s">
        <v>660</v>
      </c>
      <c r="B35" s="2754">
        <v>200</v>
      </c>
      <c r="C35" s="2766" t="s">
        <v>661</v>
      </c>
      <c r="D35" s="2752"/>
      <c r="E35" s="1158"/>
      <c r="F35" s="1158"/>
      <c r="G35" s="2735"/>
      <c r="H35" s="2735"/>
      <c r="I35" s="2735"/>
      <c r="J35" s="2735"/>
      <c r="K35" s="2821"/>
      <c r="L35" s="2821"/>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6" t="s">
        <v>662</v>
      </c>
      <c r="B36" s="2769">
        <v>0.015</v>
      </c>
      <c r="C36" s="2766" t="s">
        <v>663</v>
      </c>
      <c r="D36" s="2736"/>
      <c r="E36" s="2735"/>
      <c r="F36" s="2735"/>
      <c r="G36" s="2735"/>
      <c r="H36" s="2735"/>
      <c r="I36" s="2735"/>
      <c r="J36" s="2735"/>
      <c r="K36" s="2821"/>
      <c r="L36" s="2821"/>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9" t="s">
        <v>664</v>
      </c>
      <c r="B37" s="2770">
        <v>0.02</v>
      </c>
      <c r="C37" s="2766" t="s">
        <v>665</v>
      </c>
      <c r="D37" s="2736"/>
      <c r="E37" s="2735"/>
      <c r="F37" s="2735"/>
      <c r="G37" s="2735"/>
      <c r="H37" s="2735"/>
      <c r="I37" s="2735"/>
      <c r="J37" s="2735"/>
      <c r="K37" s="2821"/>
      <c r="L37" s="2821"/>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53" t="s">
        <v>666</v>
      </c>
      <c r="B38" s="2767">
        <v>0.02</v>
      </c>
      <c r="C38" s="2766" t="s">
        <v>665</v>
      </c>
      <c r="D38" s="2736"/>
      <c r="E38" s="2735"/>
      <c r="F38" s="2735"/>
      <c r="G38" s="2735"/>
      <c r="H38" s="2735"/>
      <c r="I38" s="2735"/>
      <c r="J38" s="2735"/>
      <c r="K38" s="2821"/>
      <c r="L38" s="2821"/>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63" t="s">
        <v>667</v>
      </c>
      <c r="B39" s="2771">
        <f ca="1">存贷款利率!I1</f>
        <v>0.015</v>
      </c>
      <c r="C39" s="2772"/>
      <c r="D39" s="2736"/>
      <c r="E39" s="2735"/>
      <c r="F39" s="2735"/>
      <c r="G39" s="2735"/>
      <c r="H39" s="2735"/>
      <c r="I39" s="2735"/>
      <c r="J39" s="2735"/>
      <c r="K39" s="2821"/>
      <c r="L39" s="2821"/>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63" t="s">
        <v>668</v>
      </c>
      <c r="B40" s="2773">
        <f ca="1">存贷款利率!G1</f>
        <v>0.0475</v>
      </c>
      <c r="C40" s="2766" t="s">
        <v>669</v>
      </c>
      <c r="D40" s="1833"/>
      <c r="E40" s="2736"/>
      <c r="F40" s="2735"/>
      <c r="G40" s="2735"/>
      <c r="H40" s="2735"/>
      <c r="I40" s="2735"/>
      <c r="J40" s="2735"/>
      <c r="K40" s="2821"/>
      <c r="L40" s="2821"/>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9" t="s">
        <v>670</v>
      </c>
      <c r="B41" s="2774">
        <f>B42+B43</f>
        <v>0.056</v>
      </c>
      <c r="C41" s="2762"/>
      <c r="D41" s="1833"/>
      <c r="E41" s="2736"/>
      <c r="F41" s="2735"/>
      <c r="G41" s="2735"/>
      <c r="H41" s="2735"/>
      <c r="I41" s="2735"/>
      <c r="J41" s="2735"/>
      <c r="K41" s="2821"/>
      <c r="L41" s="2821"/>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5" t="s">
        <v>671</v>
      </c>
      <c r="B42" s="2776">
        <v>0.05</v>
      </c>
      <c r="C42" s="2777">
        <f>IF(B2&lt;DATE(2016,5,1),0,B42)</f>
        <v>0.05</v>
      </c>
      <c r="D42" s="2736"/>
      <c r="E42" s="2735"/>
      <c r="F42" s="2735"/>
      <c r="G42" s="2735"/>
      <c r="H42" s="2735"/>
      <c r="I42" s="2735"/>
      <c r="J42" s="2735"/>
      <c r="K42" s="2821"/>
      <c r="L42" s="2821"/>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5" t="s">
        <v>672</v>
      </c>
      <c r="B43" s="2778">
        <f>B42*(B44+B45+B46)+B47</f>
        <v>0.006</v>
      </c>
      <c r="C43" s="2762"/>
      <c r="D43" s="2736"/>
      <c r="E43" s="2735"/>
      <c r="F43" s="2735"/>
      <c r="G43" s="2735"/>
      <c r="H43" s="2735"/>
      <c r="I43" s="2735"/>
      <c r="J43" s="2735"/>
      <c r="K43" s="2821"/>
      <c r="L43" s="2821"/>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9" t="s">
        <v>673</v>
      </c>
      <c r="B44" s="2780">
        <v>0.07</v>
      </c>
      <c r="C44" s="2766" t="s">
        <v>674</v>
      </c>
      <c r="D44" s="2736"/>
      <c r="E44" s="2735"/>
      <c r="F44" s="2735"/>
      <c r="G44" s="2735"/>
      <c r="H44" s="2735"/>
      <c r="I44" s="2735"/>
      <c r="J44" s="2735"/>
      <c r="K44" s="2821"/>
      <c r="L44" s="2821"/>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9" t="s">
        <v>675</v>
      </c>
      <c r="B45" s="2776">
        <v>0.03</v>
      </c>
      <c r="C45" s="2758" t="s">
        <v>676</v>
      </c>
      <c r="D45" s="2736"/>
      <c r="E45" s="2735"/>
      <c r="F45" s="2735"/>
      <c r="G45" s="2735"/>
      <c r="H45" s="2735"/>
      <c r="I45" s="2735"/>
      <c r="J45" s="2735"/>
      <c r="K45" s="2821"/>
      <c r="L45" s="2821"/>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9" t="s">
        <v>677</v>
      </c>
      <c r="B46" s="2776">
        <v>0.02</v>
      </c>
      <c r="C46" s="2758" t="s">
        <v>678</v>
      </c>
      <c r="D46" s="2736"/>
      <c r="E46" s="2735"/>
      <c r="F46" s="2735"/>
      <c r="G46" s="2735"/>
      <c r="H46" s="2735"/>
      <c r="I46" s="2735"/>
      <c r="J46" s="2735"/>
      <c r="K46" s="2821"/>
      <c r="L46" s="2821"/>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81" t="s">
        <v>679</v>
      </c>
      <c r="B47" s="2782"/>
      <c r="C47" s="2783" t="s">
        <v>680</v>
      </c>
      <c r="D47" s="2736"/>
      <c r="E47" s="2735"/>
      <c r="F47" s="2735"/>
      <c r="G47" s="2735"/>
      <c r="H47" s="2735"/>
      <c r="I47" s="2735"/>
      <c r="J47" s="2735"/>
      <c r="K47" s="2821"/>
      <c r="L47" s="2821"/>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84" t="s">
        <v>681</v>
      </c>
      <c r="B48" s="2785">
        <v>0.03</v>
      </c>
      <c r="C48" s="2758" t="s">
        <v>676</v>
      </c>
      <c r="D48" s="2736"/>
      <c r="E48" s="2735"/>
      <c r="F48" s="2735"/>
      <c r="G48" s="2735"/>
      <c r="H48" s="2735"/>
      <c r="I48" s="2735"/>
      <c r="J48" s="2735"/>
      <c r="K48" s="2821"/>
      <c r="L48" s="2821"/>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63" t="s">
        <v>682</v>
      </c>
      <c r="B49" s="2776">
        <v>0.0005</v>
      </c>
      <c r="C49" s="2758" t="s">
        <v>683</v>
      </c>
      <c r="D49" s="2736"/>
      <c r="E49" s="2735"/>
      <c r="F49" s="2735"/>
      <c r="G49" s="2735"/>
      <c r="H49" s="2735"/>
      <c r="I49" s="2735"/>
      <c r="J49" s="2735"/>
      <c r="K49" s="2821"/>
      <c r="L49" s="2821"/>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6" t="s">
        <v>684</v>
      </c>
      <c r="B50" s="2787">
        <v>0.012</v>
      </c>
      <c r="C50" s="1158"/>
      <c r="D50" s="2736"/>
      <c r="E50" s="2735"/>
      <c r="F50" s="2735"/>
      <c r="G50" s="2735"/>
      <c r="H50" s="2735"/>
      <c r="I50" s="2735"/>
      <c r="J50" s="2735"/>
      <c r="K50" s="2821"/>
      <c r="L50" s="2821"/>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6" t="s">
        <v>685</v>
      </c>
      <c r="B51" s="2788">
        <v>0.12</v>
      </c>
      <c r="C51" s="1158"/>
      <c r="D51" s="2736"/>
      <c r="E51" s="2735"/>
      <c r="F51" s="2735"/>
      <c r="G51" s="2735"/>
      <c r="H51" s="2735"/>
      <c r="I51" s="2735"/>
      <c r="J51" s="2735"/>
      <c r="K51" s="2821"/>
      <c r="L51" s="2821"/>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6" t="s">
        <v>686</v>
      </c>
      <c r="B52" s="2789">
        <f>SUMIF(A54:A63,B53,B54:B63)</f>
        <v>18</v>
      </c>
      <c r="C52" s="1158"/>
      <c r="D52" s="2736"/>
      <c r="E52" s="2735"/>
      <c r="F52" s="2735"/>
      <c r="G52" s="2735"/>
      <c r="H52" s="2735"/>
      <c r="I52" s="2735"/>
      <c r="J52" s="2735"/>
      <c r="K52" s="2821"/>
      <c r="L52" s="2821"/>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53" t="s">
        <v>687</v>
      </c>
      <c r="B53" s="2790" t="s">
        <v>253</v>
      </c>
      <c r="C53" s="1158" t="s">
        <v>688</v>
      </c>
      <c r="D53" s="2791" t="s">
        <v>689</v>
      </c>
      <c r="E53" s="2735"/>
      <c r="F53" s="2735"/>
      <c r="G53" s="2735"/>
      <c r="H53" s="2735"/>
      <c r="I53" s="2735"/>
      <c r="J53" s="2735"/>
      <c r="K53" s="2821"/>
      <c r="L53" s="2821"/>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92" t="s">
        <v>690</v>
      </c>
      <c r="B54" s="2793">
        <v>30</v>
      </c>
      <c r="C54" s="1158">
        <v>30</v>
      </c>
      <c r="D54" s="2736"/>
      <c r="E54" s="2735"/>
      <c r="F54" s="2735"/>
      <c r="G54" s="2735"/>
      <c r="H54" s="2735"/>
      <c r="I54" s="2735"/>
      <c r="J54" s="2735"/>
      <c r="K54" s="2821"/>
      <c r="L54" s="2821"/>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92" t="s">
        <v>691</v>
      </c>
      <c r="B55" s="2793">
        <v>24</v>
      </c>
      <c r="C55" s="1158">
        <v>24</v>
      </c>
      <c r="D55" s="2736"/>
      <c r="E55" s="2735"/>
      <c r="F55" s="2735"/>
      <c r="G55" s="2735"/>
      <c r="H55" s="2735"/>
      <c r="I55" s="2822"/>
      <c r="J55" s="2735"/>
      <c r="K55" s="2821"/>
      <c r="L55" s="2821"/>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92" t="s">
        <v>692</v>
      </c>
      <c r="B56" s="2793">
        <v>18</v>
      </c>
      <c r="C56" s="1158">
        <v>18</v>
      </c>
      <c r="D56" s="2736"/>
      <c r="E56" s="2735"/>
      <c r="F56" s="2735"/>
      <c r="G56" s="2735"/>
      <c r="H56" s="2735"/>
      <c r="I56" s="2735"/>
      <c r="J56" s="2735"/>
      <c r="K56" s="2821"/>
      <c r="L56" s="2821"/>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92" t="s">
        <v>693</v>
      </c>
      <c r="B57" s="2793">
        <v>12</v>
      </c>
      <c r="C57" s="1158">
        <v>12</v>
      </c>
      <c r="D57" s="2736"/>
      <c r="E57" s="2735"/>
      <c r="F57" s="2735"/>
      <c r="G57" s="2735"/>
      <c r="H57" s="2735"/>
      <c r="I57" s="2735"/>
      <c r="J57" s="2735"/>
      <c r="K57" s="2821"/>
      <c r="L57" s="2821"/>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92" t="s">
        <v>694</v>
      </c>
      <c r="B58" s="2793">
        <v>3</v>
      </c>
      <c r="C58" s="1158">
        <v>3</v>
      </c>
      <c r="D58" s="2736"/>
      <c r="E58" s="2735"/>
      <c r="F58" s="2735"/>
      <c r="G58" s="2735"/>
      <c r="H58" s="2735"/>
      <c r="I58" s="2735"/>
      <c r="J58" s="2735"/>
      <c r="K58" s="2821"/>
      <c r="L58" s="2821"/>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92" t="s">
        <v>695</v>
      </c>
      <c r="B59" s="2793">
        <v>1.5</v>
      </c>
      <c r="C59" s="1158">
        <v>1.5</v>
      </c>
      <c r="D59" s="2736"/>
      <c r="E59" s="2735"/>
      <c r="F59" s="2735"/>
      <c r="G59" s="2735"/>
      <c r="H59" s="2735"/>
      <c r="I59" s="2735"/>
      <c r="J59" s="2735"/>
      <c r="K59" s="2821"/>
      <c r="L59" s="2821"/>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92" t="s">
        <v>696</v>
      </c>
      <c r="B60" s="2793"/>
      <c r="C60" s="2735"/>
      <c r="D60" s="2736"/>
      <c r="E60" s="2735"/>
      <c r="F60" s="2735"/>
      <c r="G60" s="2735"/>
      <c r="H60" s="2735"/>
      <c r="I60" s="2735"/>
      <c r="J60" s="2735"/>
      <c r="K60" s="2821"/>
      <c r="L60" s="2821"/>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92" t="s">
        <v>697</v>
      </c>
      <c r="B61" s="2793"/>
      <c r="C61" s="2735"/>
      <c r="D61" s="2736"/>
      <c r="E61" s="2735"/>
      <c r="F61" s="2735"/>
      <c r="G61" s="2735"/>
      <c r="H61" s="2735"/>
      <c r="I61" s="2735"/>
      <c r="J61" s="2735"/>
      <c r="K61" s="2821"/>
      <c r="L61" s="2821"/>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92" t="s">
        <v>698</v>
      </c>
      <c r="B62" s="2793"/>
      <c r="C62" s="2735"/>
      <c r="D62" s="2736"/>
      <c r="E62" s="2735"/>
      <c r="F62" s="2735"/>
      <c r="G62" s="2735"/>
      <c r="H62" s="2735"/>
      <c r="I62" s="2735"/>
      <c r="J62" s="2735"/>
      <c r="K62" s="2821"/>
      <c r="L62" s="2821"/>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94" t="s">
        <v>699</v>
      </c>
      <c r="B63" s="2795"/>
      <c r="C63" s="2735"/>
      <c r="D63" s="2736"/>
      <c r="E63" s="2735"/>
      <c r="F63" s="2735"/>
      <c r="G63" s="2735"/>
      <c r="H63" s="2735"/>
      <c r="I63" s="2735"/>
      <c r="J63" s="2735"/>
      <c r="K63" s="2821"/>
      <c r="L63" s="2821"/>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6"/>
      <c r="B64" s="1833"/>
      <c r="C64" s="1833"/>
      <c r="D64" s="2733"/>
      <c r="E64" s="1833"/>
      <c r="F64" s="1833"/>
      <c r="G64" s="1833"/>
      <c r="H64" s="1833"/>
      <c r="I64" s="1833"/>
      <c r="J64" s="1833"/>
      <c r="K64" s="2821"/>
      <c r="L64" s="2821"/>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6"/>
      <c r="B65" s="1833"/>
      <c r="C65" s="1833"/>
      <c r="D65" s="2733"/>
      <c r="E65" s="1833"/>
      <c r="F65" s="1833"/>
      <c r="G65" s="1833"/>
      <c r="H65" s="1833"/>
      <c r="I65" s="1833"/>
      <c r="J65" s="1833"/>
      <c r="K65" s="2821"/>
      <c r="L65" s="2821"/>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6"/>
      <c r="B66" s="1833"/>
      <c r="C66" s="1833"/>
      <c r="D66" s="2733"/>
      <c r="E66" s="1833"/>
      <c r="F66" s="1833"/>
      <c r="G66" s="1833"/>
      <c r="H66" s="1833"/>
      <c r="I66" s="1833"/>
      <c r="J66" s="1833"/>
      <c r="K66" s="2821"/>
      <c r="L66" s="2821"/>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6"/>
      <c r="B67" s="1833"/>
      <c r="C67" s="1833"/>
      <c r="D67" s="2733"/>
      <c r="E67" s="1833"/>
      <c r="F67" s="1833"/>
      <c r="G67" s="1833"/>
      <c r="H67" s="1833"/>
      <c r="I67" s="1833"/>
      <c r="J67" s="1833"/>
      <c r="K67" s="2821"/>
      <c r="L67" s="2821"/>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6"/>
      <c r="B68" s="1833"/>
      <c r="C68" s="1833"/>
      <c r="D68" s="2733"/>
      <c r="E68" s="1833"/>
      <c r="F68" s="1833"/>
      <c r="G68" s="1833"/>
      <c r="H68" s="1833"/>
      <c r="I68" s="1833"/>
      <c r="J68" s="1833"/>
      <c r="K68" s="2821"/>
      <c r="L68" s="2821"/>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6"/>
      <c r="D69" s="2885"/>
      <c r="K69" s="1827"/>
      <c r="L69" s="1827"/>
    </row>
    <row r="70" s="1906" customFormat="1" spans="1:12">
      <c r="A70" s="2496"/>
      <c r="D70" s="2885"/>
      <c r="K70" s="1827"/>
      <c r="L70" s="1827"/>
    </row>
    <row r="71" s="1906" customFormat="1" spans="1:12">
      <c r="A71" s="2496"/>
      <c r="D71" s="2885"/>
      <c r="K71" s="1827"/>
      <c r="L71" s="1827"/>
    </row>
    <row r="72" s="1906" customFormat="1" spans="1:12">
      <c r="A72" s="2496"/>
      <c r="D72" s="2885"/>
      <c r="K72" s="1827"/>
      <c r="L72" s="1827"/>
    </row>
    <row r="73" s="1906" customFormat="1" spans="1:12">
      <c r="A73" s="2496"/>
      <c r="D73" s="2885"/>
      <c r="K73" s="1827"/>
      <c r="L73" s="1827"/>
    </row>
    <row r="74" s="1906" customFormat="1" spans="1:12">
      <c r="A74" s="2496"/>
      <c r="D74" s="2885"/>
      <c r="K74" s="1827"/>
      <c r="L74" s="1827"/>
    </row>
    <row r="75" s="1906" customFormat="1" spans="1:12">
      <c r="A75" s="2496"/>
      <c r="D75" s="2885"/>
      <c r="K75" s="1827"/>
      <c r="L75" s="1827"/>
    </row>
    <row r="76" s="1906" customFormat="1" spans="1:12">
      <c r="A76" s="2496"/>
      <c r="D76" s="2885"/>
      <c r="K76" s="1827"/>
      <c r="L76" s="1827"/>
    </row>
    <row r="77" s="1906" customFormat="1" spans="1:12">
      <c r="A77" s="2496"/>
      <c r="D77" s="2885"/>
      <c r="K77" s="1827"/>
      <c r="L77" s="1827"/>
    </row>
    <row r="78" s="1906" customFormat="1" spans="1:12">
      <c r="A78" s="2496"/>
      <c r="D78" s="2885"/>
      <c r="K78" s="1827"/>
      <c r="L78" s="1827"/>
    </row>
    <row r="79" s="1906" customFormat="1" spans="1:12">
      <c r="A79" s="2496"/>
      <c r="D79" s="2885"/>
      <c r="K79" s="1827"/>
      <c r="L79" s="1827"/>
    </row>
    <row r="80" s="1906" customFormat="1" spans="1:12">
      <c r="A80" s="2496"/>
      <c r="D80" s="2885"/>
      <c r="K80" s="1827"/>
      <c r="L80" s="1827"/>
    </row>
    <row r="81" s="1906" customFormat="1" spans="1:12">
      <c r="A81" s="2496"/>
      <c r="D81" s="2885"/>
      <c r="K81" s="1827"/>
      <c r="L81" s="1827"/>
    </row>
    <row r="82" s="1906" customFormat="1" spans="1:12">
      <c r="A82" s="2496"/>
      <c r="D82" s="2885"/>
      <c r="K82" s="1827"/>
      <c r="L82" s="1827"/>
    </row>
    <row r="83" s="1906" customFormat="1" spans="1:12">
      <c r="A83" s="2496"/>
      <c r="D83" s="2885"/>
      <c r="K83" s="1827"/>
      <c r="L83" s="1827"/>
    </row>
    <row r="84" s="1906" customFormat="1" spans="1:12">
      <c r="A84" s="2496"/>
      <c r="D84" s="2885"/>
      <c r="K84" s="1827"/>
      <c r="L84" s="1827"/>
    </row>
    <row r="85" s="1906" customFormat="1" spans="1:12">
      <c r="A85" s="2496"/>
      <c r="D85" s="2885"/>
      <c r="K85" s="1827"/>
      <c r="L85" s="1827"/>
    </row>
    <row r="86" s="1906" customFormat="1" spans="1:12">
      <c r="A86" s="2496"/>
      <c r="D86" s="2885"/>
      <c r="K86" s="1827"/>
      <c r="L86" s="1827"/>
    </row>
    <row r="87" s="1906" customFormat="1" spans="1:12">
      <c r="A87" s="2496"/>
      <c r="D87" s="2885"/>
      <c r="K87" s="1827"/>
      <c r="L87" s="1827"/>
    </row>
    <row r="88" s="1906" customFormat="1" spans="1:12">
      <c r="A88" s="2496"/>
      <c r="D88" s="2885"/>
      <c r="K88" s="1827"/>
      <c r="L88" s="1827"/>
    </row>
    <row r="89" s="1906" customFormat="1" spans="1:12">
      <c r="A89" s="2496"/>
      <c r="D89" s="2885"/>
      <c r="K89" s="1827"/>
      <c r="L89" s="1827"/>
    </row>
    <row r="90" s="1906" customFormat="1" spans="1:12">
      <c r="A90" s="2496"/>
      <c r="D90" s="2885"/>
      <c r="K90" s="1827"/>
      <c r="L90" s="1827"/>
    </row>
    <row r="91" s="1906" customFormat="1" spans="1:12">
      <c r="A91" s="2496"/>
      <c r="D91" s="2885"/>
      <c r="K91" s="1827"/>
      <c r="L91" s="1827"/>
    </row>
    <row r="92" s="1906" customFormat="1" spans="1:12">
      <c r="A92" s="2496"/>
      <c r="D92" s="2885"/>
      <c r="K92" s="1827"/>
      <c r="L92" s="1827"/>
    </row>
    <row r="93" s="1906" customFormat="1" spans="1:12">
      <c r="A93" s="2496"/>
      <c r="D93" s="2885"/>
      <c r="K93" s="1827"/>
      <c r="L93" s="1827"/>
    </row>
    <row r="94" s="1906" customFormat="1" spans="1:12">
      <c r="A94" s="2496"/>
      <c r="D94" s="2885"/>
      <c r="K94" s="1827"/>
      <c r="L94" s="1827"/>
    </row>
    <row r="95" s="1906" customFormat="1" spans="1:12">
      <c r="A95" s="2496"/>
      <c r="D95" s="2885"/>
      <c r="K95" s="1827"/>
      <c r="L95" s="1827"/>
    </row>
    <row r="96" s="1906" customFormat="1" spans="1:12">
      <c r="A96" s="2496"/>
      <c r="D96" s="2885"/>
      <c r="K96" s="1827"/>
      <c r="L96" s="1827"/>
    </row>
    <row r="97" s="1906" customFormat="1" spans="1:12">
      <c r="A97" s="2496"/>
      <c r="D97" s="2885"/>
      <c r="K97" s="1827"/>
      <c r="L97" s="1827"/>
    </row>
    <row r="98" s="1906" customFormat="1" spans="1:12">
      <c r="A98" s="2496"/>
      <c r="D98" s="2885"/>
      <c r="K98" s="1827"/>
      <c r="L98" s="1827"/>
    </row>
    <row r="99" s="1906" customFormat="1" spans="1:12">
      <c r="A99" s="2496"/>
      <c r="D99" s="2885"/>
      <c r="K99" s="1827"/>
      <c r="L99" s="1827"/>
    </row>
    <row r="100" s="1906" customFormat="1" spans="1:12">
      <c r="A100" s="2496"/>
      <c r="D100" s="2885"/>
      <c r="K100" s="1827"/>
      <c r="L100" s="1827"/>
    </row>
    <row r="101" s="1906" customFormat="1" spans="1:12">
      <c r="A101" s="2496"/>
      <c r="D101" s="2885"/>
      <c r="K101" s="1827"/>
      <c r="L101" s="1827"/>
    </row>
    <row r="102" s="1906" customFormat="1" spans="1:12">
      <c r="A102" s="2496"/>
      <c r="D102" s="2885"/>
      <c r="K102" s="1827"/>
      <c r="L102" s="1827"/>
    </row>
    <row r="103" s="1906" customFormat="1" spans="1:12">
      <c r="A103" s="2496"/>
      <c r="D103" s="2885"/>
      <c r="K103" s="1827"/>
      <c r="L103" s="1827"/>
    </row>
    <row r="104" s="1906" customFormat="1" spans="1:12">
      <c r="A104" s="2496"/>
      <c r="D104" s="2885"/>
      <c r="K104" s="1827"/>
      <c r="L104" s="1827"/>
    </row>
    <row r="105" s="1906" customFormat="1" spans="1:12">
      <c r="A105" s="2496"/>
      <c r="D105" s="2885"/>
      <c r="K105" s="1827"/>
      <c r="L105" s="1827"/>
    </row>
    <row r="106" s="1906" customFormat="1" spans="1:12">
      <c r="A106" s="2496"/>
      <c r="D106" s="2885"/>
      <c r="K106" s="1827"/>
      <c r="L106" s="1827"/>
    </row>
    <row r="107" s="1906" customFormat="1" spans="1:12">
      <c r="A107" s="2496"/>
      <c r="D107" s="2885"/>
      <c r="K107" s="1827"/>
      <c r="L107" s="1827"/>
    </row>
    <row r="108" s="1906" customFormat="1" spans="1:12">
      <c r="A108" s="2496"/>
      <c r="D108" s="2885"/>
      <c r="K108" s="1827"/>
      <c r="L108" s="1827"/>
    </row>
    <row r="109" s="1906" customFormat="1" spans="1:12">
      <c r="A109" s="2496"/>
      <c r="D109" s="2885"/>
      <c r="K109" s="1827"/>
      <c r="L109" s="1827"/>
    </row>
    <row r="110" s="1906" customFormat="1" spans="1:12">
      <c r="A110" s="2496"/>
      <c r="D110" s="2885"/>
      <c r="K110" s="1827"/>
      <c r="L110" s="1827"/>
    </row>
    <row r="111" s="1906" customFormat="1" spans="1:12">
      <c r="A111" s="2496"/>
      <c r="D111" s="2885"/>
      <c r="K111" s="1827"/>
      <c r="L111" s="1827"/>
    </row>
    <row r="112" s="1906" customFormat="1" spans="1:12">
      <c r="A112" s="2496"/>
      <c r="D112" s="2885"/>
      <c r="K112" s="1827"/>
      <c r="L112" s="1827"/>
    </row>
    <row r="113" s="1906" customFormat="1" spans="1:12">
      <c r="A113" s="2496"/>
      <c r="D113" s="2885"/>
      <c r="K113" s="1827"/>
      <c r="L113" s="1827"/>
    </row>
    <row r="114" s="1906" customFormat="1" spans="1:12">
      <c r="A114" s="2496"/>
      <c r="D114" s="2885"/>
      <c r="K114" s="1827"/>
      <c r="L114" s="1827"/>
    </row>
    <row r="115" s="1906" customFormat="1" spans="1:12">
      <c r="A115" s="2496"/>
      <c r="D115" s="2885"/>
      <c r="K115" s="1827"/>
      <c r="L115" s="1827"/>
    </row>
    <row r="116" s="1906" customFormat="1" spans="1:12">
      <c r="A116" s="2496"/>
      <c r="D116" s="2885"/>
      <c r="K116" s="1827"/>
      <c r="L116" s="1827"/>
    </row>
    <row r="117" s="1906" customFormat="1" spans="1:12">
      <c r="A117" s="2496"/>
      <c r="D117" s="2885"/>
      <c r="K117" s="1827"/>
      <c r="L117" s="1827"/>
    </row>
    <row r="118" s="1906" customFormat="1" spans="1:12">
      <c r="A118" s="2496"/>
      <c r="D118" s="2885"/>
      <c r="K118" s="1827"/>
      <c r="L118" s="1827"/>
    </row>
    <row r="119" s="1906" customFormat="1" spans="1:12">
      <c r="A119" s="2496"/>
      <c r="D119" s="2885"/>
      <c r="K119" s="1827"/>
      <c r="L119" s="1827"/>
    </row>
    <row r="120" s="1906" customFormat="1" spans="1:12">
      <c r="A120" s="2496"/>
      <c r="D120" s="2885"/>
      <c r="K120" s="1827"/>
      <c r="L120" s="1827"/>
    </row>
    <row r="121" s="1906" customFormat="1" spans="1:12">
      <c r="A121" s="2496"/>
      <c r="D121" s="2885"/>
      <c r="K121" s="1827"/>
      <c r="L121" s="1827"/>
    </row>
    <row r="122" s="1906" customFormat="1" spans="1:12">
      <c r="A122" s="2496"/>
      <c r="D122" s="2885"/>
      <c r="K122" s="1827"/>
      <c r="L122" s="1827"/>
    </row>
    <row r="123" s="1906" customFormat="1" spans="1:12">
      <c r="A123" s="2496"/>
      <c r="D123" s="2885"/>
      <c r="K123" s="1827"/>
      <c r="L123" s="1827"/>
    </row>
    <row r="124" s="1906" customFormat="1" spans="1:12">
      <c r="A124" s="2496"/>
      <c r="D124" s="2885"/>
      <c r="K124" s="1827"/>
      <c r="L124" s="1827"/>
    </row>
    <row r="125" s="1906" customFormat="1" spans="1:12">
      <c r="A125" s="2496"/>
      <c r="D125" s="2885"/>
      <c r="K125" s="1827"/>
      <c r="L125" s="1827"/>
    </row>
    <row r="126" s="1906" customFormat="1" spans="1:12">
      <c r="A126" s="2496"/>
      <c r="D126" s="2885"/>
      <c r="K126" s="1827"/>
      <c r="L126" s="1827"/>
    </row>
    <row r="127" s="1906" customFormat="1" spans="1:12">
      <c r="A127" s="2496"/>
      <c r="D127" s="2885"/>
      <c r="K127" s="1827"/>
      <c r="L127" s="1827"/>
    </row>
    <row r="128" s="1906" customFormat="1" spans="1:12">
      <c r="A128" s="2496"/>
      <c r="D128" s="2885"/>
      <c r="K128" s="1827"/>
      <c r="L128" s="1827"/>
    </row>
    <row r="129" s="1906" customFormat="1" spans="1:12">
      <c r="A129" s="2496"/>
      <c r="D129" s="2885"/>
      <c r="K129" s="1827"/>
      <c r="L129" s="1827"/>
    </row>
    <row r="130" s="1906" customFormat="1" spans="1:12">
      <c r="A130" s="2496"/>
      <c r="D130" s="2885"/>
      <c r="K130" s="1827"/>
      <c r="L130" s="1827"/>
    </row>
    <row r="131" s="1906" customFormat="1" spans="1:12">
      <c r="A131" s="2496"/>
      <c r="D131" s="2885"/>
      <c r="K131" s="1827"/>
      <c r="L131" s="1827"/>
    </row>
    <row r="132" s="1906" customFormat="1" spans="1:12">
      <c r="A132" s="2496"/>
      <c r="D132" s="2885"/>
      <c r="K132" s="1827"/>
      <c r="L132" s="1827"/>
    </row>
    <row r="133" s="1906" customFormat="1" spans="1:12">
      <c r="A133" s="2496"/>
      <c r="D133" s="2885"/>
      <c r="K133" s="1827"/>
      <c r="L133" s="1827"/>
    </row>
    <row r="134" s="2692" customFormat="1" spans="1:12">
      <c r="A134" s="2886"/>
      <c r="D134" s="2887"/>
      <c r="K134" s="1983"/>
      <c r="L134" s="1983"/>
    </row>
    <row r="135" s="2692" customFormat="1" spans="1:12">
      <c r="A135" s="2886"/>
      <c r="D135" s="2887"/>
      <c r="K135" s="1983"/>
      <c r="L135" s="1983"/>
    </row>
    <row r="136" s="2692" customFormat="1" spans="1:12">
      <c r="A136" s="2886"/>
      <c r="D136" s="2887"/>
      <c r="K136" s="1983"/>
      <c r="L136" s="1983"/>
    </row>
    <row r="137" s="2692" customFormat="1" spans="1:12">
      <c r="A137" s="2886"/>
      <c r="D137" s="2887"/>
      <c r="K137" s="1983"/>
      <c r="L137" s="1983"/>
    </row>
    <row r="138" s="2692" customFormat="1" spans="1:12">
      <c r="A138" s="2886"/>
      <c r="D138" s="2887"/>
      <c r="K138" s="1983"/>
      <c r="L138" s="1983"/>
    </row>
    <row r="139" s="2692" customFormat="1" spans="1:12">
      <c r="A139" s="2886"/>
      <c r="D139" s="2887"/>
      <c r="K139" s="1983"/>
      <c r="L139" s="1983"/>
    </row>
    <row r="140" s="2692" customFormat="1" spans="1:12">
      <c r="A140" s="2886"/>
      <c r="D140" s="2887"/>
      <c r="K140" s="1983"/>
      <c r="L140" s="1983"/>
    </row>
    <row r="141" s="2692" customFormat="1" spans="1:12">
      <c r="A141" s="2886"/>
      <c r="D141" s="2887"/>
      <c r="K141" s="1983"/>
      <c r="L141" s="1983"/>
    </row>
    <row r="142" s="2692" customFormat="1" spans="1:12">
      <c r="A142" s="2886"/>
      <c r="D142" s="2887"/>
      <c r="K142" s="1983"/>
      <c r="L142" s="1983"/>
    </row>
    <row r="143" s="2692" customFormat="1" spans="1:12">
      <c r="A143" s="2886"/>
      <c r="D143" s="2887"/>
      <c r="K143" s="1983"/>
      <c r="L143" s="1983"/>
    </row>
    <row r="144" s="2692" customFormat="1" spans="1:12">
      <c r="A144" s="2886"/>
      <c r="D144" s="2887"/>
      <c r="K144" s="1983"/>
      <c r="L144" s="1983"/>
    </row>
    <row r="145" s="2692" customFormat="1" spans="1:12">
      <c r="A145" s="2886"/>
      <c r="D145" s="2887"/>
      <c r="K145" s="1983"/>
      <c r="L145" s="1983"/>
    </row>
    <row r="146" s="2692" customFormat="1" spans="1:12">
      <c r="A146" s="2886"/>
      <c r="D146" s="2887"/>
      <c r="K146" s="1983"/>
      <c r="L146" s="1983"/>
    </row>
    <row r="147" s="2692" customFormat="1" spans="1:12">
      <c r="A147" s="2886"/>
      <c r="D147" s="2887"/>
      <c r="K147" s="1983"/>
      <c r="L147" s="1983"/>
    </row>
    <row r="148" s="2692" customFormat="1" spans="1:12">
      <c r="A148" s="2886"/>
      <c r="D148" s="2887"/>
      <c r="K148" s="1983"/>
      <c r="L148" s="1983"/>
    </row>
    <row r="149" s="2692" customFormat="1" spans="1:12">
      <c r="A149" s="2886"/>
      <c r="D149" s="2887"/>
      <c r="K149" s="1983"/>
      <c r="L149" s="1983"/>
    </row>
    <row r="150" s="2692" customFormat="1" spans="1:12">
      <c r="A150" s="2886"/>
      <c r="D150" s="2887"/>
      <c r="K150" s="1983"/>
      <c r="L150" s="1983"/>
    </row>
    <row r="151" s="2692" customFormat="1" spans="1:12">
      <c r="A151" s="2886"/>
      <c r="D151" s="2887"/>
      <c r="K151" s="1983"/>
      <c r="L151" s="1983"/>
    </row>
    <row r="152" s="2692" customFormat="1" spans="1:12">
      <c r="A152" s="2886"/>
      <c r="D152" s="2887"/>
      <c r="K152" s="1983"/>
      <c r="L152" s="1983"/>
    </row>
    <row r="153" s="2692" customFormat="1" spans="1:12">
      <c r="A153" s="2886"/>
      <c r="D153" s="2887"/>
      <c r="K153" s="1983"/>
      <c r="L153" s="1983"/>
    </row>
    <row r="154" s="2692" customFormat="1" spans="1:12">
      <c r="A154" s="2886"/>
      <c r="D154" s="2887"/>
      <c r="K154" s="1983"/>
      <c r="L154" s="1983"/>
    </row>
    <row r="155" s="2692" customFormat="1" spans="1:12">
      <c r="A155" s="2886"/>
      <c r="D155" s="2887"/>
      <c r="K155" s="1983"/>
      <c r="L155" s="1983"/>
    </row>
    <row r="156" s="2692" customFormat="1" spans="1:12">
      <c r="A156" s="2886"/>
      <c r="D156" s="2887"/>
      <c r="K156" s="1983"/>
      <c r="L156" s="1983"/>
    </row>
    <row r="157" s="2692" customFormat="1" spans="1:12">
      <c r="A157" s="2886"/>
      <c r="D157" s="2887"/>
      <c r="K157" s="1983"/>
      <c r="L157" s="1983"/>
    </row>
    <row r="158" s="2692" customFormat="1" spans="1:12">
      <c r="A158" s="2886"/>
      <c r="D158" s="2887"/>
      <c r="K158" s="1983"/>
      <c r="L158" s="1983"/>
    </row>
    <row r="159" s="2692" customFormat="1" spans="1:12">
      <c r="A159" s="2886"/>
      <c r="D159" s="2887"/>
      <c r="K159" s="1983"/>
      <c r="L159" s="1983"/>
    </row>
    <row r="160" s="2692" customFormat="1" spans="1:12">
      <c r="A160" s="2886"/>
      <c r="D160" s="2887"/>
      <c r="K160" s="1983"/>
      <c r="L160" s="1983"/>
    </row>
    <row r="161" s="2692" customFormat="1" spans="1:12">
      <c r="A161" s="2886"/>
      <c r="D161" s="2887"/>
      <c r="K161" s="1983"/>
      <c r="L161" s="1983"/>
    </row>
    <row r="162" s="2692" customFormat="1" spans="1:12">
      <c r="A162" s="2886"/>
      <c r="D162" s="2887"/>
      <c r="K162" s="1983"/>
      <c r="L162" s="1983"/>
    </row>
    <row r="163" s="2692" customFormat="1" spans="1:12">
      <c r="A163" s="2886"/>
      <c r="D163" s="2887"/>
      <c r="K163" s="1983"/>
      <c r="L163" s="1983"/>
    </row>
    <row r="164" s="2692" customFormat="1" spans="1:12">
      <c r="A164" s="2886"/>
      <c r="D164" s="2887"/>
      <c r="K164" s="1983"/>
      <c r="L164" s="1983"/>
    </row>
    <row r="165" s="2692" customFormat="1" spans="1:12">
      <c r="A165" s="2886"/>
      <c r="D165" s="2887"/>
      <c r="K165" s="1983"/>
      <c r="L165" s="1983"/>
    </row>
    <row r="166" s="2692" customFormat="1" spans="1:12">
      <c r="A166" s="2886"/>
      <c r="D166" s="2887"/>
      <c r="K166" s="1983"/>
      <c r="L166" s="1983"/>
    </row>
    <row r="167" s="2692" customFormat="1" spans="1:12">
      <c r="A167" s="2886"/>
      <c r="D167" s="2887"/>
      <c r="K167" s="1983"/>
      <c r="L167" s="1983"/>
    </row>
    <row r="168" s="2692" customFormat="1" spans="1:12">
      <c r="A168" s="2886"/>
      <c r="D168" s="2887"/>
      <c r="K168" s="1983"/>
      <c r="L168" s="1983"/>
    </row>
    <row r="169" s="2692" customFormat="1" spans="1:12">
      <c r="A169" s="2886"/>
      <c r="D169" s="2887"/>
      <c r="K169" s="1983"/>
      <c r="L169" s="1983"/>
    </row>
    <row r="170" s="2692" customFormat="1" spans="1:12">
      <c r="A170" s="2886"/>
      <c r="D170" s="2887"/>
      <c r="K170" s="1983"/>
      <c r="L170" s="1983"/>
    </row>
    <row r="171" s="2692" customFormat="1" spans="1:12">
      <c r="A171" s="2886"/>
      <c r="D171" s="2887"/>
      <c r="K171" s="1983"/>
      <c r="L171" s="1983"/>
    </row>
    <row r="172" s="2692" customFormat="1" spans="1:12">
      <c r="A172" s="2886"/>
      <c r="D172" s="2887"/>
      <c r="K172" s="1983"/>
      <c r="L172" s="1983"/>
    </row>
    <row r="173" s="2692" customFormat="1" spans="1:12">
      <c r="A173" s="2886"/>
      <c r="D173" s="2887"/>
      <c r="K173" s="1983"/>
      <c r="L173" s="1983"/>
    </row>
    <row r="174" s="2692" customFormat="1" spans="1:12">
      <c r="A174" s="2886"/>
      <c r="D174" s="2887"/>
      <c r="K174" s="1983"/>
      <c r="L174" s="1983"/>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I89" activePane="bottomRight" state="frozen"/>
      <selection/>
      <selection pane="topRight"/>
      <selection pane="bottomLeft"/>
      <selection pane="bottomRight" activeCell="N123" sqref="N123"/>
    </sheetView>
  </sheetViews>
  <sheetFormatPr defaultColWidth="7" defaultRowHeight="20.1" customHeight="1"/>
  <cols>
    <col min="1" max="1" width="10.375" style="2654" customWidth="1"/>
    <col min="2" max="2" width="7.875" style="2654" customWidth="1"/>
    <col min="3" max="3" width="8.125" style="2654" customWidth="1"/>
    <col min="4" max="4" width="15.375" style="2654" customWidth="1"/>
    <col min="5" max="5" width="37.125" style="2654" customWidth="1"/>
    <col min="6" max="6" width="11.125" style="2655" customWidth="1"/>
    <col min="7" max="7" width="7.375" style="2655" customWidth="1"/>
    <col min="8" max="8" width="21.5" style="2655" customWidth="1"/>
    <col min="9" max="9" width="9.625" style="2655" customWidth="1"/>
    <col min="10" max="10" width="7.875" style="2654" customWidth="1"/>
    <col min="11" max="11" width="11.125" style="2654" customWidth="1"/>
    <col min="12" max="12" width="9.125" style="2654"/>
    <col min="13" max="13" width="9.625" style="2654" customWidth="1"/>
    <col min="14" max="14" width="12.25" style="2654" customWidth="1"/>
    <col min="15" max="15" width="8.75" style="2654" customWidth="1"/>
    <col min="16" max="16" width="7.875" style="2654" customWidth="1"/>
    <col min="17" max="17" width="11.25" style="2654" customWidth="1"/>
    <col min="18" max="21" width="8.125" style="2654"/>
    <col min="22" max="16384" width="7" style="2654"/>
  </cols>
  <sheetData>
    <row r="1" s="2651" customFormat="1" customHeight="1" spans="1:9">
      <c r="A1" s="2656" t="s">
        <v>700</v>
      </c>
      <c r="B1" s="2656"/>
      <c r="C1" s="2656"/>
      <c r="D1" s="2656"/>
      <c r="E1" s="2656"/>
      <c r="F1" s="2656"/>
      <c r="G1" s="2656"/>
      <c r="H1" s="2656"/>
      <c r="I1" s="2656"/>
    </row>
    <row r="2" s="2651" customFormat="1" customHeight="1" spans="1:9">
      <c r="A2" s="2657" t="s">
        <v>701</v>
      </c>
      <c r="B2" s="2657"/>
      <c r="C2" s="2657"/>
      <c r="D2" s="2657"/>
      <c r="E2" s="2657"/>
      <c r="F2" s="2657"/>
      <c r="G2" s="2657"/>
      <c r="H2" s="2657"/>
      <c r="I2" s="2657"/>
    </row>
    <row r="3" s="2652" customFormat="1" customHeight="1" spans="1:9">
      <c r="A3" s="2658" t="s">
        <v>702</v>
      </c>
      <c r="B3" s="2659" t="s">
        <v>703</v>
      </c>
      <c r="C3" s="2659" t="s">
        <v>704</v>
      </c>
      <c r="D3" s="2659" t="s">
        <v>705</v>
      </c>
      <c r="E3" s="2659" t="s">
        <v>706</v>
      </c>
      <c r="F3" s="2660" t="s">
        <v>707</v>
      </c>
      <c r="G3" s="2661" t="s">
        <v>708</v>
      </c>
      <c r="H3" s="2661" t="s">
        <v>709</v>
      </c>
      <c r="I3" s="2660" t="s">
        <v>710</v>
      </c>
    </row>
    <row r="4" s="2652" customFormat="1" customHeight="1" spans="1:17">
      <c r="A4" s="2662"/>
      <c r="B4" s="2663"/>
      <c r="C4" s="2663"/>
      <c r="D4" s="2663"/>
      <c r="E4" s="2663"/>
      <c r="F4" s="2664" t="s">
        <v>711</v>
      </c>
      <c r="G4" s="2665"/>
      <c r="H4" s="2665"/>
      <c r="I4" s="2664"/>
      <c r="J4" s="2652" t="s">
        <v>712</v>
      </c>
      <c r="K4" s="2652" t="s">
        <v>713</v>
      </c>
      <c r="M4" s="2652" t="s">
        <v>714</v>
      </c>
      <c r="N4" s="2652" t="s">
        <v>715</v>
      </c>
      <c r="O4" s="2652" t="s">
        <v>716</v>
      </c>
      <c r="P4" s="2652" t="s">
        <v>717</v>
      </c>
      <c r="Q4" s="2652" t="s">
        <v>718</v>
      </c>
    </row>
    <row r="5" customHeight="1" spans="1:17">
      <c r="A5" s="1950" t="s">
        <v>719</v>
      </c>
      <c r="B5" s="1951" t="s">
        <v>720</v>
      </c>
      <c r="C5" s="1951" t="s">
        <v>721</v>
      </c>
      <c r="D5" s="1951" t="s">
        <v>722</v>
      </c>
      <c r="E5" s="2666" t="s">
        <v>723</v>
      </c>
      <c r="F5" s="1953">
        <v>1717.27</v>
      </c>
      <c r="G5" s="1953">
        <v>272</v>
      </c>
      <c r="H5" s="1953" t="s">
        <v>724</v>
      </c>
      <c r="I5" s="1953" t="s">
        <v>725</v>
      </c>
      <c r="J5" s="2654">
        <f>ROUND(G5/30,2)</f>
        <v>9.07</v>
      </c>
      <c r="K5" s="2654">
        <f>G5*F5*12</f>
        <v>5605169.28</v>
      </c>
      <c r="M5" s="2654">
        <f>SUM(K5:K48)</f>
        <v>93724473.3</v>
      </c>
      <c r="N5" s="2654">
        <f>F5+F6+F11+F12+F13+F14+F15+F16+F17+F18+F19+F20+F21+F22+F23+F24+F25+F27+F28+F29+F30+F31+F32+F33+F34+F35+F36+F39+F40+F41+F43+F44+F45+F46+F47+F48</f>
        <v>27850.5</v>
      </c>
      <c r="O5" s="2654">
        <f>面积!I4</f>
        <v>31653.37</v>
      </c>
      <c r="P5" s="2654">
        <f>ROUND(M5/O5/365,2)</f>
        <v>8.11</v>
      </c>
      <c r="Q5" s="2654">
        <f>ROUND(M5/N5/365,2)</f>
        <v>9.22</v>
      </c>
    </row>
    <row r="6" customHeight="1" spans="1:11">
      <c r="A6" s="1950" t="s">
        <v>719</v>
      </c>
      <c r="B6" s="1951" t="s">
        <v>720</v>
      </c>
      <c r="C6" s="1951" t="s">
        <v>726</v>
      </c>
      <c r="D6" s="1951" t="s">
        <v>727</v>
      </c>
      <c r="E6" s="2666" t="s">
        <v>728</v>
      </c>
      <c r="F6" s="1953">
        <v>985.46</v>
      </c>
      <c r="G6" s="1953">
        <v>270</v>
      </c>
      <c r="H6" s="1953" t="s">
        <v>729</v>
      </c>
      <c r="I6" s="1953" t="s">
        <v>725</v>
      </c>
      <c r="J6" s="2654">
        <f t="shared" ref="J6:J37" si="0">ROUND(G6/30,2)</f>
        <v>9</v>
      </c>
      <c r="K6" s="2654">
        <f t="shared" ref="K6:K37" si="1">G6*F6*12</f>
        <v>3192890.4</v>
      </c>
    </row>
    <row r="7" customHeight="1" spans="1:11">
      <c r="A7" s="1950" t="s">
        <v>719</v>
      </c>
      <c r="B7" s="1951" t="s">
        <v>720</v>
      </c>
      <c r="C7" s="1951" t="s">
        <v>726</v>
      </c>
      <c r="D7" s="1951" t="s">
        <v>730</v>
      </c>
      <c r="E7" s="2666"/>
      <c r="F7" s="1953">
        <v>722.49</v>
      </c>
      <c r="G7" s="1953">
        <v>0</v>
      </c>
      <c r="H7" s="1953"/>
      <c r="I7" s="1953" t="s">
        <v>731</v>
      </c>
      <c r="J7" s="2654">
        <f t="shared" si="0"/>
        <v>0</v>
      </c>
      <c r="K7" s="2654">
        <f t="shared" si="1"/>
        <v>0</v>
      </c>
    </row>
    <row r="8" customHeight="1" spans="1:11">
      <c r="A8" s="1950" t="s">
        <v>719</v>
      </c>
      <c r="B8" s="1951" t="s">
        <v>720</v>
      </c>
      <c r="C8" s="1951" t="s">
        <v>732</v>
      </c>
      <c r="D8" s="1951" t="s">
        <v>733</v>
      </c>
      <c r="E8" s="2666"/>
      <c r="F8" s="1953">
        <v>1117.02</v>
      </c>
      <c r="G8" s="1953">
        <v>0</v>
      </c>
      <c r="H8" s="1953"/>
      <c r="I8" s="1953" t="s">
        <v>731</v>
      </c>
      <c r="J8" s="2654">
        <f t="shared" si="0"/>
        <v>0</v>
      </c>
      <c r="K8" s="2654">
        <f t="shared" si="1"/>
        <v>0</v>
      </c>
    </row>
    <row r="9" customHeight="1" spans="1:11">
      <c r="A9" s="1950" t="s">
        <v>719</v>
      </c>
      <c r="B9" s="1951" t="s">
        <v>720</v>
      </c>
      <c r="C9" s="1951" t="s">
        <v>732</v>
      </c>
      <c r="D9" s="1951" t="s">
        <v>734</v>
      </c>
      <c r="E9" s="2666"/>
      <c r="F9" s="1953">
        <v>201.26</v>
      </c>
      <c r="G9" s="1953">
        <v>0</v>
      </c>
      <c r="H9" s="1953"/>
      <c r="I9" s="1953" t="s">
        <v>731</v>
      </c>
      <c r="J9" s="2654">
        <f t="shared" si="0"/>
        <v>0</v>
      </c>
      <c r="K9" s="2654">
        <f t="shared" si="1"/>
        <v>0</v>
      </c>
    </row>
    <row r="10" customHeight="1" spans="1:11">
      <c r="A10" s="1950" t="s">
        <v>719</v>
      </c>
      <c r="B10" s="1951" t="s">
        <v>720</v>
      </c>
      <c r="C10" s="1951" t="s">
        <v>732</v>
      </c>
      <c r="D10" s="1951" t="s">
        <v>735</v>
      </c>
      <c r="E10" s="2666"/>
      <c r="F10" s="1953">
        <v>380.36</v>
      </c>
      <c r="G10" s="1953"/>
      <c r="H10" s="1953"/>
      <c r="I10" s="1953" t="s">
        <v>731</v>
      </c>
      <c r="J10" s="2654">
        <f t="shared" si="0"/>
        <v>0</v>
      </c>
      <c r="K10" s="2654">
        <f t="shared" si="1"/>
        <v>0</v>
      </c>
    </row>
    <row r="11" customHeight="1" spans="1:11">
      <c r="A11" s="1950" t="s">
        <v>719</v>
      </c>
      <c r="B11" s="1951" t="s">
        <v>720</v>
      </c>
      <c r="C11" s="1951" t="s">
        <v>736</v>
      </c>
      <c r="D11" s="1951" t="s">
        <v>737</v>
      </c>
      <c r="E11" s="2666" t="s">
        <v>738</v>
      </c>
      <c r="F11" s="1953">
        <v>1680.01</v>
      </c>
      <c r="G11" s="1953">
        <v>290</v>
      </c>
      <c r="H11" s="1953" t="s">
        <v>739</v>
      </c>
      <c r="I11" s="1953" t="s">
        <v>725</v>
      </c>
      <c r="J11" s="2654">
        <f t="shared" si="0"/>
        <v>9.67</v>
      </c>
      <c r="K11" s="2654">
        <f t="shared" si="1"/>
        <v>5846434.8</v>
      </c>
    </row>
    <row r="12" customHeight="1" spans="1:11">
      <c r="A12" s="1950" t="s">
        <v>719</v>
      </c>
      <c r="B12" s="1951" t="s">
        <v>720</v>
      </c>
      <c r="C12" s="1951" t="s">
        <v>740</v>
      </c>
      <c r="D12" s="1951" t="s">
        <v>741</v>
      </c>
      <c r="E12" s="2666" t="s">
        <v>742</v>
      </c>
      <c r="F12" s="1953">
        <v>1670.69</v>
      </c>
      <c r="G12" s="1953">
        <v>287</v>
      </c>
      <c r="H12" s="1953" t="s">
        <v>743</v>
      </c>
      <c r="I12" s="1953" t="s">
        <v>725</v>
      </c>
      <c r="J12" s="2654">
        <f t="shared" si="0"/>
        <v>9.57</v>
      </c>
      <c r="K12" s="2654">
        <f t="shared" si="1"/>
        <v>5753856.36</v>
      </c>
    </row>
    <row r="13" customHeight="1" spans="1:11">
      <c r="A13" s="1950" t="s">
        <v>719</v>
      </c>
      <c r="B13" s="1951" t="s">
        <v>720</v>
      </c>
      <c r="C13" s="1951" t="s">
        <v>744</v>
      </c>
      <c r="D13" s="1951" t="s">
        <v>745</v>
      </c>
      <c r="E13" s="2666" t="s">
        <v>746</v>
      </c>
      <c r="F13" s="1953">
        <v>945.91</v>
      </c>
      <c r="G13" s="1953">
        <v>295</v>
      </c>
      <c r="H13" s="1953" t="s">
        <v>747</v>
      </c>
      <c r="I13" s="1953" t="s">
        <v>725</v>
      </c>
      <c r="J13" s="2654">
        <f t="shared" si="0"/>
        <v>9.83</v>
      </c>
      <c r="K13" s="2654">
        <f t="shared" si="1"/>
        <v>3348521.4</v>
      </c>
    </row>
    <row r="14" ht="19.5" customHeight="1" spans="1:11">
      <c r="A14" s="1950" t="s">
        <v>719</v>
      </c>
      <c r="B14" s="1951" t="s">
        <v>720</v>
      </c>
      <c r="C14" s="1951" t="s">
        <v>744</v>
      </c>
      <c r="D14" s="1951" t="s">
        <v>748</v>
      </c>
      <c r="E14" s="2666" t="s">
        <v>749</v>
      </c>
      <c r="F14" s="1953">
        <v>258.3</v>
      </c>
      <c r="G14" s="1953">
        <v>290</v>
      </c>
      <c r="H14" s="1953" t="s">
        <v>750</v>
      </c>
      <c r="I14" s="1953" t="s">
        <v>725</v>
      </c>
      <c r="J14" s="2654">
        <f t="shared" si="0"/>
        <v>9.67</v>
      </c>
      <c r="K14" s="2654">
        <f t="shared" si="1"/>
        <v>898884</v>
      </c>
    </row>
    <row r="15" customHeight="1" spans="1:11">
      <c r="A15" s="1950" t="s">
        <v>719</v>
      </c>
      <c r="B15" s="1951" t="s">
        <v>720</v>
      </c>
      <c r="C15" s="1951" t="s">
        <v>744</v>
      </c>
      <c r="D15" s="1951" t="s">
        <v>751</v>
      </c>
      <c r="E15" s="2666" t="s">
        <v>752</v>
      </c>
      <c r="F15" s="1953">
        <v>242.04</v>
      </c>
      <c r="G15" s="1953">
        <v>290</v>
      </c>
      <c r="H15" s="1953" t="s">
        <v>753</v>
      </c>
      <c r="I15" s="1953" t="s">
        <v>725</v>
      </c>
      <c r="J15" s="2654">
        <f t="shared" si="0"/>
        <v>9.67</v>
      </c>
      <c r="K15" s="2654">
        <f t="shared" si="1"/>
        <v>842299.2</v>
      </c>
    </row>
    <row r="16" customHeight="1" spans="1:11">
      <c r="A16" s="1950" t="s">
        <v>719</v>
      </c>
      <c r="B16" s="1951" t="s">
        <v>720</v>
      </c>
      <c r="C16" s="1951" t="s">
        <v>744</v>
      </c>
      <c r="D16" s="1951" t="s">
        <v>754</v>
      </c>
      <c r="E16" s="2666" t="s">
        <v>755</v>
      </c>
      <c r="F16" s="1953">
        <v>205.81</v>
      </c>
      <c r="G16" s="1953">
        <v>295</v>
      </c>
      <c r="H16" s="1953" t="s">
        <v>756</v>
      </c>
      <c r="I16" s="1953" t="s">
        <v>725</v>
      </c>
      <c r="J16" s="2654">
        <f t="shared" si="0"/>
        <v>9.83</v>
      </c>
      <c r="K16" s="2654">
        <f t="shared" si="1"/>
        <v>728567.4</v>
      </c>
    </row>
    <row r="17" customHeight="1" spans="1:11">
      <c r="A17" s="1950" t="s">
        <v>719</v>
      </c>
      <c r="B17" s="1951" t="s">
        <v>720</v>
      </c>
      <c r="C17" s="1951" t="s">
        <v>757</v>
      </c>
      <c r="D17" s="1951" t="s">
        <v>758</v>
      </c>
      <c r="E17" s="2666" t="s">
        <v>759</v>
      </c>
      <c r="F17" s="1953">
        <v>185.93</v>
      </c>
      <c r="G17" s="1953">
        <v>290</v>
      </c>
      <c r="H17" s="1953" t="s">
        <v>760</v>
      </c>
      <c r="I17" s="1953" t="s">
        <v>725</v>
      </c>
      <c r="J17" s="2654">
        <f t="shared" si="0"/>
        <v>9.67</v>
      </c>
      <c r="K17" s="2654">
        <f t="shared" si="1"/>
        <v>647036.4</v>
      </c>
    </row>
    <row r="18" customHeight="1" spans="1:11">
      <c r="A18" s="1950" t="s">
        <v>719</v>
      </c>
      <c r="B18" s="1951" t="s">
        <v>720</v>
      </c>
      <c r="C18" s="1951" t="s">
        <v>757</v>
      </c>
      <c r="D18" s="1951" t="s">
        <v>761</v>
      </c>
      <c r="E18" s="2666" t="s">
        <v>762</v>
      </c>
      <c r="F18" s="1953">
        <v>253.39</v>
      </c>
      <c r="G18" s="1953">
        <v>220</v>
      </c>
      <c r="H18" s="1953" t="s">
        <v>763</v>
      </c>
      <c r="I18" s="1953" t="s">
        <v>725</v>
      </c>
      <c r="J18" s="2654">
        <f t="shared" si="0"/>
        <v>7.33</v>
      </c>
      <c r="K18" s="2654">
        <f t="shared" si="1"/>
        <v>668949.6</v>
      </c>
    </row>
    <row r="19" customHeight="1" spans="1:11">
      <c r="A19" s="1950" t="s">
        <v>719</v>
      </c>
      <c r="B19" s="1951" t="s">
        <v>720</v>
      </c>
      <c r="C19" s="1951" t="s">
        <v>757</v>
      </c>
      <c r="D19" s="1951" t="s">
        <v>764</v>
      </c>
      <c r="E19" s="2666" t="s">
        <v>765</v>
      </c>
      <c r="F19" s="1953">
        <v>448.05</v>
      </c>
      <c r="G19" s="1953">
        <v>290</v>
      </c>
      <c r="H19" s="1953" t="s">
        <v>766</v>
      </c>
      <c r="I19" s="1953" t="s">
        <v>725</v>
      </c>
      <c r="J19" s="2654">
        <f t="shared" si="0"/>
        <v>9.67</v>
      </c>
      <c r="K19" s="2654">
        <f t="shared" si="1"/>
        <v>1559214</v>
      </c>
    </row>
    <row r="20" customHeight="1" spans="1:11">
      <c r="A20" s="1950" t="s">
        <v>719</v>
      </c>
      <c r="B20" s="1951" t="s">
        <v>720</v>
      </c>
      <c r="C20" s="1951" t="s">
        <v>757</v>
      </c>
      <c r="D20" s="1951" t="s">
        <v>767</v>
      </c>
      <c r="E20" s="2666" t="s">
        <v>768</v>
      </c>
      <c r="F20" s="1953">
        <v>122.97</v>
      </c>
      <c r="G20" s="1953">
        <v>260</v>
      </c>
      <c r="H20" s="1953" t="s">
        <v>769</v>
      </c>
      <c r="I20" s="1953" t="s">
        <v>725</v>
      </c>
      <c r="J20" s="2654">
        <f t="shared" si="0"/>
        <v>8.67</v>
      </c>
      <c r="K20" s="2654">
        <f t="shared" si="1"/>
        <v>383666.4</v>
      </c>
    </row>
    <row r="21" customHeight="1" spans="1:11">
      <c r="A21" s="1950" t="s">
        <v>719</v>
      </c>
      <c r="B21" s="1951" t="s">
        <v>720</v>
      </c>
      <c r="C21" s="1951" t="s">
        <v>757</v>
      </c>
      <c r="D21" s="1951" t="s">
        <v>770</v>
      </c>
      <c r="E21" s="2666" t="s">
        <v>771</v>
      </c>
      <c r="F21" s="1953">
        <v>189.74</v>
      </c>
      <c r="G21" s="1953">
        <v>220</v>
      </c>
      <c r="H21" s="1953" t="s">
        <v>772</v>
      </c>
      <c r="I21" s="1953" t="s">
        <v>725</v>
      </c>
      <c r="J21" s="2654">
        <f t="shared" si="0"/>
        <v>7.33</v>
      </c>
      <c r="K21" s="2654">
        <f t="shared" si="1"/>
        <v>500913.6</v>
      </c>
    </row>
    <row r="22" customHeight="1" spans="1:11">
      <c r="A22" s="1950" t="s">
        <v>719</v>
      </c>
      <c r="B22" s="1951" t="s">
        <v>720</v>
      </c>
      <c r="C22" s="1951" t="s">
        <v>757</v>
      </c>
      <c r="D22" s="1951" t="s">
        <v>773</v>
      </c>
      <c r="E22" s="2666" t="s">
        <v>774</v>
      </c>
      <c r="F22" s="1953">
        <v>442.73</v>
      </c>
      <c r="G22" s="1953">
        <v>220</v>
      </c>
      <c r="H22" s="1953" t="s">
        <v>772</v>
      </c>
      <c r="I22" s="1953" t="s">
        <v>725</v>
      </c>
      <c r="J22" s="2654">
        <f t="shared" si="0"/>
        <v>7.33</v>
      </c>
      <c r="K22" s="2654">
        <f t="shared" si="1"/>
        <v>1168807.2</v>
      </c>
    </row>
    <row r="23" customHeight="1" spans="1:11">
      <c r="A23" s="1950" t="s">
        <v>719</v>
      </c>
      <c r="B23" s="1951" t="s">
        <v>720</v>
      </c>
      <c r="C23" s="1951" t="s">
        <v>775</v>
      </c>
      <c r="D23" s="1951" t="s">
        <v>776</v>
      </c>
      <c r="E23" s="2666" t="s">
        <v>746</v>
      </c>
      <c r="F23" s="1953">
        <v>3238.92</v>
      </c>
      <c r="G23" s="1953">
        <v>300</v>
      </c>
      <c r="H23" s="1953" t="s">
        <v>777</v>
      </c>
      <c r="I23" s="1953" t="s">
        <v>725</v>
      </c>
      <c r="J23" s="2654">
        <f t="shared" si="0"/>
        <v>10</v>
      </c>
      <c r="K23" s="2654">
        <f t="shared" si="1"/>
        <v>11660112</v>
      </c>
    </row>
    <row r="24" customHeight="1" spans="1:11">
      <c r="A24" s="1950" t="s">
        <v>719</v>
      </c>
      <c r="B24" s="1951" t="s">
        <v>720</v>
      </c>
      <c r="C24" s="1951" t="s">
        <v>778</v>
      </c>
      <c r="D24" s="1951" t="s">
        <v>779</v>
      </c>
      <c r="E24" s="2666" t="s">
        <v>738</v>
      </c>
      <c r="F24" s="1953">
        <v>3183.02</v>
      </c>
      <c r="G24" s="1953">
        <v>260</v>
      </c>
      <c r="H24" s="1953" t="s">
        <v>769</v>
      </c>
      <c r="I24" s="1953" t="s">
        <v>725</v>
      </c>
      <c r="J24" s="2654">
        <f t="shared" si="0"/>
        <v>8.67</v>
      </c>
      <c r="K24" s="2654">
        <f t="shared" si="1"/>
        <v>9931022.4</v>
      </c>
    </row>
    <row r="25" customHeight="1" spans="1:11">
      <c r="A25" s="1950" t="s">
        <v>719</v>
      </c>
      <c r="B25" s="1951" t="s">
        <v>720</v>
      </c>
      <c r="C25" s="1951" t="s">
        <v>780</v>
      </c>
      <c r="D25" s="1951" t="s">
        <v>781</v>
      </c>
      <c r="E25" s="2666" t="s">
        <v>782</v>
      </c>
      <c r="F25" s="1953">
        <v>940.21</v>
      </c>
      <c r="G25" s="1953">
        <v>290</v>
      </c>
      <c r="H25" s="1953" t="s">
        <v>783</v>
      </c>
      <c r="I25" s="1953" t="s">
        <v>725</v>
      </c>
      <c r="J25" s="2654">
        <f t="shared" si="0"/>
        <v>9.67</v>
      </c>
      <c r="K25" s="2654">
        <f t="shared" si="1"/>
        <v>3271930.8</v>
      </c>
    </row>
    <row r="26" customHeight="1" spans="1:11">
      <c r="A26" s="1950" t="s">
        <v>719</v>
      </c>
      <c r="B26" s="1951" t="s">
        <v>720</v>
      </c>
      <c r="C26" s="1951" t="s">
        <v>780</v>
      </c>
      <c r="D26" s="1951" t="s">
        <v>784</v>
      </c>
      <c r="E26" s="2666"/>
      <c r="F26" s="1956">
        <v>293.25</v>
      </c>
      <c r="G26" s="1953">
        <v>0</v>
      </c>
      <c r="H26" s="1953"/>
      <c r="I26" s="1953" t="s">
        <v>731</v>
      </c>
      <c r="J26" s="2654">
        <f t="shared" si="0"/>
        <v>0</v>
      </c>
      <c r="K26" s="2654">
        <f t="shared" si="1"/>
        <v>0</v>
      </c>
    </row>
    <row r="27" customHeight="1" spans="1:11">
      <c r="A27" s="1950" t="s">
        <v>719</v>
      </c>
      <c r="B27" s="1951" t="s">
        <v>720</v>
      </c>
      <c r="C27" s="1951" t="s">
        <v>785</v>
      </c>
      <c r="D27" s="1951" t="s">
        <v>786</v>
      </c>
      <c r="E27" s="2666" t="s">
        <v>787</v>
      </c>
      <c r="F27" s="1953">
        <v>827.11</v>
      </c>
      <c r="G27" s="1953">
        <v>280</v>
      </c>
      <c r="H27" s="1953" t="s">
        <v>788</v>
      </c>
      <c r="I27" s="1953" t="s">
        <v>725</v>
      </c>
      <c r="J27" s="2654">
        <f t="shared" si="0"/>
        <v>9.33</v>
      </c>
      <c r="K27" s="2654">
        <f t="shared" si="1"/>
        <v>2779089.6</v>
      </c>
    </row>
    <row r="28" customHeight="1" spans="1:11">
      <c r="A28" s="1950" t="s">
        <v>719</v>
      </c>
      <c r="B28" s="1951" t="s">
        <v>720</v>
      </c>
      <c r="C28" s="1951" t="s">
        <v>785</v>
      </c>
      <c r="D28" s="1951" t="s">
        <v>789</v>
      </c>
      <c r="E28" s="2666" t="s">
        <v>790</v>
      </c>
      <c r="F28" s="1953">
        <v>118.41</v>
      </c>
      <c r="G28" s="1953">
        <v>280</v>
      </c>
      <c r="H28" s="1953" t="s">
        <v>788</v>
      </c>
      <c r="I28" s="1953" t="s">
        <v>725</v>
      </c>
      <c r="J28" s="2654">
        <f t="shared" si="0"/>
        <v>9.33</v>
      </c>
      <c r="K28" s="2654">
        <f t="shared" si="1"/>
        <v>397857.6</v>
      </c>
    </row>
    <row r="29" customHeight="1" spans="1:11">
      <c r="A29" s="1950" t="s">
        <v>719</v>
      </c>
      <c r="B29" s="1951" t="s">
        <v>720</v>
      </c>
      <c r="C29" s="1951" t="s">
        <v>785</v>
      </c>
      <c r="D29" s="1951" t="s">
        <v>791</v>
      </c>
      <c r="E29" s="2666" t="s">
        <v>792</v>
      </c>
      <c r="F29" s="1953">
        <v>193.85</v>
      </c>
      <c r="G29" s="1953">
        <v>280</v>
      </c>
      <c r="H29" s="1953" t="s">
        <v>788</v>
      </c>
      <c r="I29" s="1953" t="s">
        <v>725</v>
      </c>
      <c r="J29" s="2654">
        <f t="shared" si="0"/>
        <v>9.33</v>
      </c>
      <c r="K29" s="2654">
        <f t="shared" si="1"/>
        <v>651336</v>
      </c>
    </row>
    <row r="30" customHeight="1" spans="1:11">
      <c r="A30" s="1950" t="s">
        <v>719</v>
      </c>
      <c r="B30" s="1951" t="s">
        <v>720</v>
      </c>
      <c r="C30" s="1951" t="s">
        <v>785</v>
      </c>
      <c r="D30" s="1951" t="s">
        <v>793</v>
      </c>
      <c r="E30" s="2666" t="s">
        <v>794</v>
      </c>
      <c r="F30" s="1953">
        <v>156.5</v>
      </c>
      <c r="G30" s="1953">
        <v>280</v>
      </c>
      <c r="H30" s="1953" t="s">
        <v>788</v>
      </c>
      <c r="I30" s="1953" t="s">
        <v>725</v>
      </c>
      <c r="J30" s="2654">
        <f t="shared" si="0"/>
        <v>9.33</v>
      </c>
      <c r="K30" s="2654">
        <f t="shared" si="1"/>
        <v>525840</v>
      </c>
    </row>
    <row r="31" customHeight="1" spans="1:11">
      <c r="A31" s="1950" t="s">
        <v>719</v>
      </c>
      <c r="B31" s="1951" t="s">
        <v>720</v>
      </c>
      <c r="C31" s="1951" t="s">
        <v>785</v>
      </c>
      <c r="D31" s="1951" t="s">
        <v>795</v>
      </c>
      <c r="E31" s="2666" t="s">
        <v>796</v>
      </c>
      <c r="F31" s="1953">
        <v>265.52</v>
      </c>
      <c r="G31" s="1953">
        <v>280</v>
      </c>
      <c r="H31" s="1953" t="s">
        <v>788</v>
      </c>
      <c r="I31" s="1953" t="s">
        <v>725</v>
      </c>
      <c r="J31" s="2654">
        <f t="shared" si="0"/>
        <v>9.33</v>
      </c>
      <c r="K31" s="2654">
        <f t="shared" si="1"/>
        <v>892147.2</v>
      </c>
    </row>
    <row r="32" customHeight="1" spans="1:11">
      <c r="A32" s="1950" t="s">
        <v>719</v>
      </c>
      <c r="B32" s="1952" t="s">
        <v>720</v>
      </c>
      <c r="C32" s="1952" t="s">
        <v>797</v>
      </c>
      <c r="D32" s="1952" t="s">
        <v>798</v>
      </c>
      <c r="E32" s="2666" t="s">
        <v>799</v>
      </c>
      <c r="F32" s="1956">
        <v>901.48</v>
      </c>
      <c r="G32" s="1953">
        <v>226</v>
      </c>
      <c r="H32" s="1953" t="s">
        <v>800</v>
      </c>
      <c r="I32" s="1953" t="s">
        <v>801</v>
      </c>
      <c r="J32" s="2654">
        <f t="shared" si="0"/>
        <v>7.53</v>
      </c>
      <c r="K32" s="2654">
        <f t="shared" si="1"/>
        <v>2444813.76</v>
      </c>
    </row>
    <row r="33" customHeight="1" spans="1:11">
      <c r="A33" s="1950" t="s">
        <v>719</v>
      </c>
      <c r="B33" s="1951" t="s">
        <v>720</v>
      </c>
      <c r="C33" s="1951" t="s">
        <v>797</v>
      </c>
      <c r="D33" s="1951" t="s">
        <v>802</v>
      </c>
      <c r="E33" s="1951" t="s">
        <v>803</v>
      </c>
      <c r="F33" s="1953">
        <v>641.28</v>
      </c>
      <c r="G33" s="1953">
        <v>286</v>
      </c>
      <c r="H33" s="1953" t="s">
        <v>804</v>
      </c>
      <c r="I33" s="1953" t="s">
        <v>725</v>
      </c>
      <c r="J33" s="2654">
        <f t="shared" si="0"/>
        <v>9.53</v>
      </c>
      <c r="K33" s="2654">
        <f t="shared" si="1"/>
        <v>2200872.96</v>
      </c>
    </row>
    <row r="34" customHeight="1" spans="1:11">
      <c r="A34" s="1950" t="s">
        <v>719</v>
      </c>
      <c r="B34" s="1951" t="s">
        <v>720</v>
      </c>
      <c r="C34" s="1951" t="s">
        <v>797</v>
      </c>
      <c r="D34" s="1951" t="s">
        <v>805</v>
      </c>
      <c r="E34" s="1951" t="s">
        <v>806</v>
      </c>
      <c r="F34" s="1956">
        <v>177.19</v>
      </c>
      <c r="G34" s="1953">
        <v>243</v>
      </c>
      <c r="H34" s="1953" t="s">
        <v>807</v>
      </c>
      <c r="I34" s="1953" t="s">
        <v>801</v>
      </c>
      <c r="J34" s="2654">
        <f t="shared" si="0"/>
        <v>8.1</v>
      </c>
      <c r="K34" s="2654">
        <f t="shared" si="1"/>
        <v>516686.04</v>
      </c>
    </row>
    <row r="35" customHeight="1" spans="1:11">
      <c r="A35" s="1950" t="s">
        <v>719</v>
      </c>
      <c r="B35" s="1951" t="s">
        <v>720</v>
      </c>
      <c r="C35" s="1951" t="s">
        <v>808</v>
      </c>
      <c r="D35" s="1951" t="s">
        <v>809</v>
      </c>
      <c r="E35" s="1951" t="s">
        <v>810</v>
      </c>
      <c r="F35" s="1956">
        <v>239.17</v>
      </c>
      <c r="G35" s="1953">
        <v>300</v>
      </c>
      <c r="H35" s="1953" t="s">
        <v>811</v>
      </c>
      <c r="I35" s="1953" t="s">
        <v>725</v>
      </c>
      <c r="J35" s="2654">
        <f t="shared" si="0"/>
        <v>10</v>
      </c>
      <c r="K35" s="2654">
        <f t="shared" si="1"/>
        <v>861012</v>
      </c>
    </row>
    <row r="36" customHeight="1" spans="1:11">
      <c r="A36" s="1950" t="s">
        <v>719</v>
      </c>
      <c r="B36" s="1951" t="s">
        <v>720</v>
      </c>
      <c r="C36" s="1951" t="s">
        <v>808</v>
      </c>
      <c r="D36" s="1951" t="s">
        <v>812</v>
      </c>
      <c r="E36" s="1951" t="s">
        <v>813</v>
      </c>
      <c r="F36" s="1953">
        <v>391.8</v>
      </c>
      <c r="G36" s="1953">
        <v>294</v>
      </c>
      <c r="H36" s="1953" t="s">
        <v>814</v>
      </c>
      <c r="I36" s="1953" t="s">
        <v>725</v>
      </c>
      <c r="J36" s="2654">
        <f t="shared" si="0"/>
        <v>9.8</v>
      </c>
      <c r="K36" s="2654">
        <f t="shared" si="1"/>
        <v>1382270.4</v>
      </c>
    </row>
    <row r="37" customHeight="1" spans="1:11">
      <c r="A37" s="1950" t="s">
        <v>719</v>
      </c>
      <c r="B37" s="1951" t="s">
        <v>720</v>
      </c>
      <c r="C37" s="1951" t="s">
        <v>808</v>
      </c>
      <c r="D37" s="1951" t="s">
        <v>815</v>
      </c>
      <c r="E37" s="1951"/>
      <c r="F37" s="1956">
        <v>118.59</v>
      </c>
      <c r="G37" s="1953">
        <v>0</v>
      </c>
      <c r="H37" s="1953"/>
      <c r="I37" s="1953" t="s">
        <v>731</v>
      </c>
      <c r="J37" s="2654">
        <f t="shared" si="0"/>
        <v>0</v>
      </c>
      <c r="K37" s="2654">
        <f t="shared" si="1"/>
        <v>0</v>
      </c>
    </row>
    <row r="38" customHeight="1" spans="1:11">
      <c r="A38" s="1950" t="s">
        <v>719</v>
      </c>
      <c r="B38" s="1951" t="s">
        <v>720</v>
      </c>
      <c r="C38" s="1951" t="s">
        <v>808</v>
      </c>
      <c r="D38" s="1951" t="s">
        <v>816</v>
      </c>
      <c r="E38" s="1951"/>
      <c r="F38" s="1956">
        <v>606.7</v>
      </c>
      <c r="G38" s="1953">
        <v>0</v>
      </c>
      <c r="H38" s="1953"/>
      <c r="I38" s="1953" t="s">
        <v>731</v>
      </c>
      <c r="J38" s="2654">
        <f t="shared" ref="J38:J69" si="2">ROUND(G38/30,2)</f>
        <v>0</v>
      </c>
      <c r="K38" s="2654">
        <f t="shared" ref="K38:K69" si="3">G38*F38*12</f>
        <v>0</v>
      </c>
    </row>
    <row r="39" customHeight="1" spans="1:11">
      <c r="A39" s="1950" t="s">
        <v>719</v>
      </c>
      <c r="B39" s="1951" t="s">
        <v>720</v>
      </c>
      <c r="C39" s="1951" t="s">
        <v>817</v>
      </c>
      <c r="D39" s="1951" t="s">
        <v>818</v>
      </c>
      <c r="E39" s="1952" t="s">
        <v>819</v>
      </c>
      <c r="F39" s="1953">
        <v>1310.1</v>
      </c>
      <c r="G39" s="1953">
        <v>302</v>
      </c>
      <c r="H39" s="1953" t="s">
        <v>788</v>
      </c>
      <c r="I39" s="1953" t="s">
        <v>725</v>
      </c>
      <c r="J39" s="2654">
        <f t="shared" si="2"/>
        <v>10.07</v>
      </c>
      <c r="K39" s="2654">
        <f t="shared" si="3"/>
        <v>4747802.4</v>
      </c>
    </row>
    <row r="40" customHeight="1" spans="1:11">
      <c r="A40" s="1950" t="s">
        <v>719</v>
      </c>
      <c r="B40" s="1951" t="s">
        <v>720</v>
      </c>
      <c r="C40" s="1951" t="s">
        <v>820</v>
      </c>
      <c r="D40" s="1951" t="s">
        <v>821</v>
      </c>
      <c r="E40" s="1952" t="s">
        <v>822</v>
      </c>
      <c r="F40" s="1953">
        <v>204.72</v>
      </c>
      <c r="G40" s="1953">
        <v>302</v>
      </c>
      <c r="H40" s="1953" t="s">
        <v>788</v>
      </c>
      <c r="I40" s="1953" t="s">
        <v>725</v>
      </c>
      <c r="J40" s="2654">
        <f t="shared" si="2"/>
        <v>10.07</v>
      </c>
      <c r="K40" s="2654">
        <f t="shared" si="3"/>
        <v>741905.28</v>
      </c>
    </row>
    <row r="41" customHeight="1" spans="1:11">
      <c r="A41" s="1950" t="s">
        <v>719</v>
      </c>
      <c r="B41" s="1951" t="s">
        <v>720</v>
      </c>
      <c r="C41" s="1951" t="s">
        <v>820</v>
      </c>
      <c r="D41" s="1951" t="s">
        <v>823</v>
      </c>
      <c r="E41" s="1951" t="s">
        <v>824</v>
      </c>
      <c r="F41" s="1953">
        <v>2415.16</v>
      </c>
      <c r="G41" s="1953">
        <v>286</v>
      </c>
      <c r="H41" s="1953" t="s">
        <v>825</v>
      </c>
      <c r="I41" s="1953" t="s">
        <v>725</v>
      </c>
      <c r="J41" s="2654">
        <f t="shared" si="2"/>
        <v>9.53</v>
      </c>
      <c r="K41" s="2654">
        <f t="shared" si="3"/>
        <v>8288829.12</v>
      </c>
    </row>
    <row r="42" customHeight="1" spans="1:11">
      <c r="A42" s="1950" t="s">
        <v>719</v>
      </c>
      <c r="B42" s="1951" t="s">
        <v>720</v>
      </c>
      <c r="C42" s="1951" t="s">
        <v>826</v>
      </c>
      <c r="D42" s="1951" t="s">
        <v>827</v>
      </c>
      <c r="E42" s="1951"/>
      <c r="F42" s="1953">
        <v>573.4</v>
      </c>
      <c r="G42" s="1953">
        <v>0</v>
      </c>
      <c r="H42" s="1953"/>
      <c r="I42" s="1953" t="s">
        <v>731</v>
      </c>
      <c r="J42" s="2654">
        <f t="shared" si="2"/>
        <v>0</v>
      </c>
      <c r="K42" s="2654">
        <f t="shared" si="3"/>
        <v>0</v>
      </c>
    </row>
    <row r="43" customHeight="1" spans="1:11">
      <c r="A43" s="1950" t="s">
        <v>719</v>
      </c>
      <c r="B43" s="1951" t="s">
        <v>720</v>
      </c>
      <c r="C43" s="1951" t="s">
        <v>828</v>
      </c>
      <c r="D43" s="1951" t="s">
        <v>829</v>
      </c>
      <c r="E43" s="1952" t="s">
        <v>830</v>
      </c>
      <c r="F43" s="1953">
        <v>252.36</v>
      </c>
      <c r="G43" s="1953">
        <v>292</v>
      </c>
      <c r="H43" s="1953" t="s">
        <v>831</v>
      </c>
      <c r="I43" s="1953" t="s">
        <v>725</v>
      </c>
      <c r="J43" s="2654">
        <f t="shared" si="2"/>
        <v>9.73</v>
      </c>
      <c r="K43" s="2654">
        <f t="shared" si="3"/>
        <v>884269.44</v>
      </c>
    </row>
    <row r="44" customHeight="1" spans="1:11">
      <c r="A44" s="1950" t="s">
        <v>719</v>
      </c>
      <c r="B44" s="1951" t="s">
        <v>720</v>
      </c>
      <c r="C44" s="1951" t="s">
        <v>828</v>
      </c>
      <c r="D44" s="1951" t="s">
        <v>832</v>
      </c>
      <c r="E44" s="1951" t="s">
        <v>833</v>
      </c>
      <c r="F44" s="1953">
        <v>126.18</v>
      </c>
      <c r="G44" s="1953">
        <v>292</v>
      </c>
      <c r="H44" s="1953" t="s">
        <v>831</v>
      </c>
      <c r="I44" s="1953" t="s">
        <v>725</v>
      </c>
      <c r="J44" s="2654">
        <f t="shared" si="2"/>
        <v>9.73</v>
      </c>
      <c r="K44" s="2654">
        <f t="shared" si="3"/>
        <v>442134.72</v>
      </c>
    </row>
    <row r="45" customHeight="1" spans="1:11">
      <c r="A45" s="1950" t="s">
        <v>719</v>
      </c>
      <c r="B45" s="1951" t="s">
        <v>720</v>
      </c>
      <c r="C45" s="1951" t="s">
        <v>828</v>
      </c>
      <c r="D45" s="1951" t="s">
        <v>834</v>
      </c>
      <c r="E45" s="1951" t="s">
        <v>835</v>
      </c>
      <c r="F45" s="1953">
        <v>452.7</v>
      </c>
      <c r="G45" s="1953">
        <v>291</v>
      </c>
      <c r="H45" s="1953" t="s">
        <v>836</v>
      </c>
      <c r="I45" s="1953" t="s">
        <v>725</v>
      </c>
      <c r="J45" s="2654">
        <f t="shared" si="2"/>
        <v>9.7</v>
      </c>
      <c r="K45" s="2654">
        <f t="shared" si="3"/>
        <v>1580828.4</v>
      </c>
    </row>
    <row r="46" customHeight="1" spans="1:11">
      <c r="A46" s="1950" t="s">
        <v>719</v>
      </c>
      <c r="B46" s="1951" t="s">
        <v>720</v>
      </c>
      <c r="C46" s="1951" t="s">
        <v>837</v>
      </c>
      <c r="D46" s="1951" t="s">
        <v>838</v>
      </c>
      <c r="E46" s="1951" t="s">
        <v>839</v>
      </c>
      <c r="F46" s="1953">
        <v>921.5</v>
      </c>
      <c r="G46" s="1953">
        <v>364.13</v>
      </c>
      <c r="H46" s="1953" t="s">
        <v>840</v>
      </c>
      <c r="I46" s="1953" t="s">
        <v>725</v>
      </c>
      <c r="J46" s="2654">
        <f t="shared" si="2"/>
        <v>12.14</v>
      </c>
      <c r="K46" s="2654">
        <f t="shared" si="3"/>
        <v>4026549.54</v>
      </c>
    </row>
    <row r="47" customHeight="1" spans="1:11">
      <c r="A47" s="1950" t="s">
        <v>719</v>
      </c>
      <c r="B47" s="1951" t="s">
        <v>720</v>
      </c>
      <c r="C47" s="1951" t="s">
        <v>841</v>
      </c>
      <c r="D47" s="1951" t="s">
        <v>842</v>
      </c>
      <c r="E47" s="1951" t="s">
        <v>843</v>
      </c>
      <c r="F47" s="1953">
        <v>808.78</v>
      </c>
      <c r="G47" s="1953">
        <v>280</v>
      </c>
      <c r="H47" s="1953" t="s">
        <v>844</v>
      </c>
      <c r="I47" s="1953" t="s">
        <v>725</v>
      </c>
      <c r="J47" s="2654">
        <f t="shared" si="2"/>
        <v>9.33</v>
      </c>
      <c r="K47" s="2654">
        <f t="shared" si="3"/>
        <v>2717500.8</v>
      </c>
    </row>
    <row r="48" customHeight="1" spans="1:11">
      <c r="A48" s="1950" t="s">
        <v>719</v>
      </c>
      <c r="B48" s="1951" t="s">
        <v>720</v>
      </c>
      <c r="C48" s="1951" t="s">
        <v>845</v>
      </c>
      <c r="D48" s="1951" t="s">
        <v>846</v>
      </c>
      <c r="E48" s="1951" t="s">
        <v>847</v>
      </c>
      <c r="F48" s="1953">
        <v>736.24</v>
      </c>
      <c r="G48" s="1953">
        <v>185</v>
      </c>
      <c r="H48" s="1953" t="s">
        <v>848</v>
      </c>
      <c r="I48" s="1953" t="s">
        <v>725</v>
      </c>
      <c r="J48" s="2654">
        <f t="shared" si="2"/>
        <v>6.17</v>
      </c>
      <c r="K48" s="2654">
        <f t="shared" si="3"/>
        <v>1634452.8</v>
      </c>
    </row>
    <row r="49" s="2652" customFormat="1" customHeight="1" spans="1:17">
      <c r="A49" s="2667" t="s">
        <v>849</v>
      </c>
      <c r="B49" s="2668"/>
      <c r="C49" s="2668"/>
      <c r="D49" s="2668"/>
      <c r="E49" s="1951"/>
      <c r="F49" s="2669">
        <f>SUM(F5:F48)</f>
        <v>31863.57</v>
      </c>
      <c r="G49" s="1953"/>
      <c r="H49" s="1953"/>
      <c r="I49" s="1953" t="s">
        <v>731</v>
      </c>
      <c r="J49" s="2654">
        <f t="shared" si="2"/>
        <v>0</v>
      </c>
      <c r="K49" s="2652">
        <f>SUM(K5:K48)</f>
        <v>93724473.3</v>
      </c>
      <c r="M49" s="2652" t="s">
        <v>850</v>
      </c>
      <c r="N49" s="2652" t="s">
        <v>851</v>
      </c>
      <c r="O49" s="2652" t="s">
        <v>852</v>
      </c>
      <c r="P49" s="2652" t="s">
        <v>717</v>
      </c>
      <c r="Q49" s="2652" t="s">
        <v>718</v>
      </c>
    </row>
    <row r="50" customHeight="1" spans="1:17">
      <c r="A50" s="1950" t="s">
        <v>719</v>
      </c>
      <c r="B50" s="1951" t="s">
        <v>853</v>
      </c>
      <c r="C50" s="1951" t="s">
        <v>721</v>
      </c>
      <c r="D50" s="1951" t="s">
        <v>854</v>
      </c>
      <c r="E50" s="1951"/>
      <c r="F50" s="1953">
        <v>551.91</v>
      </c>
      <c r="G50" s="1953"/>
      <c r="H50" s="1953"/>
      <c r="I50" s="1953" t="s">
        <v>731</v>
      </c>
      <c r="J50" s="2654">
        <f t="shared" si="2"/>
        <v>0</v>
      </c>
      <c r="K50" s="2654">
        <f t="shared" si="3"/>
        <v>0</v>
      </c>
      <c r="M50" s="2654">
        <f>SUM(K50:K120)</f>
        <v>87860533.92</v>
      </c>
      <c r="N50" s="2654">
        <f>F51+F52+F53+F54+F57+F58+F59+F60+F61+F62+F63+F64+F65+F66+F69+F70+F71+F73+F74+F75+F76+F77+F78+F79+F80+F81+F82+F83+F84+F85+F86+F87+F88+F89+F90+F91+F92+F93+F95+F96+F97+F98+F99+F101+F102+F103+F104+F105+F106+F107+F108+F109+F110+F111+F112+F113+F114+F115+F116+F118+F119+F120</f>
        <v>28053.77</v>
      </c>
      <c r="O50" s="2654">
        <f>面积!I25</f>
        <v>31653.37</v>
      </c>
      <c r="P50" s="2654">
        <f>ROUND(M50/O50/365,2)</f>
        <v>7.6</v>
      </c>
      <c r="Q50" s="2654">
        <f>ROUND(M50/N50/365,2)</f>
        <v>8.58</v>
      </c>
    </row>
    <row r="51" customHeight="1" spans="1:11">
      <c r="A51" s="1950" t="s">
        <v>719</v>
      </c>
      <c r="B51" s="1951" t="s">
        <v>853</v>
      </c>
      <c r="C51" s="1951" t="s">
        <v>721</v>
      </c>
      <c r="D51" s="1951" t="s">
        <v>855</v>
      </c>
      <c r="E51" s="1951" t="s">
        <v>856</v>
      </c>
      <c r="F51" s="1953">
        <v>237.48</v>
      </c>
      <c r="G51" s="1953">
        <v>295</v>
      </c>
      <c r="H51" s="1953" t="s">
        <v>857</v>
      </c>
      <c r="I51" s="1953" t="s">
        <v>725</v>
      </c>
      <c r="J51" s="2654">
        <f t="shared" si="2"/>
        <v>9.83</v>
      </c>
      <c r="K51" s="2654">
        <f t="shared" si="3"/>
        <v>840679.2</v>
      </c>
    </row>
    <row r="52" customHeight="1" spans="1:11">
      <c r="A52" s="1950" t="s">
        <v>719</v>
      </c>
      <c r="B52" s="1951" t="s">
        <v>853</v>
      </c>
      <c r="C52" s="1951" t="s">
        <v>721</v>
      </c>
      <c r="D52" s="1951" t="s">
        <v>858</v>
      </c>
      <c r="E52" s="1951" t="s">
        <v>859</v>
      </c>
      <c r="F52" s="1953">
        <v>337.26</v>
      </c>
      <c r="G52" s="1953">
        <v>290</v>
      </c>
      <c r="H52" s="1953" t="s">
        <v>860</v>
      </c>
      <c r="I52" s="1953" t="s">
        <v>725</v>
      </c>
      <c r="J52" s="2654">
        <f t="shared" si="2"/>
        <v>9.67</v>
      </c>
      <c r="K52" s="2654">
        <f t="shared" si="3"/>
        <v>1173664.8</v>
      </c>
    </row>
    <row r="53" customHeight="1" spans="1:11">
      <c r="A53" s="1950" t="s">
        <v>719</v>
      </c>
      <c r="B53" s="1951" t="s">
        <v>853</v>
      </c>
      <c r="C53" s="1951" t="s">
        <v>721</v>
      </c>
      <c r="D53" s="1951" t="s">
        <v>861</v>
      </c>
      <c r="E53" s="1951" t="s">
        <v>862</v>
      </c>
      <c r="F53" s="1953">
        <v>170.86</v>
      </c>
      <c r="G53" s="1953">
        <v>270</v>
      </c>
      <c r="H53" s="1953" t="s">
        <v>863</v>
      </c>
      <c r="I53" s="1953" t="s">
        <v>725</v>
      </c>
      <c r="J53" s="2654">
        <f t="shared" si="2"/>
        <v>9</v>
      </c>
      <c r="K53" s="2654">
        <f t="shared" si="3"/>
        <v>553586.4</v>
      </c>
    </row>
    <row r="54" customHeight="1" spans="1:11">
      <c r="A54" s="1950" t="s">
        <v>719</v>
      </c>
      <c r="B54" s="1951" t="s">
        <v>853</v>
      </c>
      <c r="C54" s="1951" t="s">
        <v>721</v>
      </c>
      <c r="D54" s="1951" t="s">
        <v>864</v>
      </c>
      <c r="E54" s="1951" t="s">
        <v>865</v>
      </c>
      <c r="F54" s="1953">
        <v>420.61</v>
      </c>
      <c r="G54" s="1953">
        <v>270</v>
      </c>
      <c r="H54" s="1953" t="s">
        <v>863</v>
      </c>
      <c r="I54" s="1953" t="s">
        <v>725</v>
      </c>
      <c r="J54" s="2654">
        <f t="shared" si="2"/>
        <v>9</v>
      </c>
      <c r="K54" s="2654">
        <f t="shared" si="3"/>
        <v>1362776.4</v>
      </c>
    </row>
    <row r="55" customHeight="1" spans="1:11">
      <c r="A55" s="1950" t="s">
        <v>719</v>
      </c>
      <c r="B55" s="1951" t="s">
        <v>853</v>
      </c>
      <c r="C55" s="1951" t="s">
        <v>726</v>
      </c>
      <c r="D55" s="1951" t="s">
        <v>866</v>
      </c>
      <c r="E55" s="1951"/>
      <c r="F55" s="1953">
        <v>791.43</v>
      </c>
      <c r="G55" s="1953">
        <v>0</v>
      </c>
      <c r="H55" s="1953"/>
      <c r="I55" s="1953" t="s">
        <v>731</v>
      </c>
      <c r="J55" s="2654">
        <f t="shared" si="2"/>
        <v>0</v>
      </c>
      <c r="K55" s="2654">
        <f t="shared" si="3"/>
        <v>0</v>
      </c>
    </row>
    <row r="56" customHeight="1" spans="1:11">
      <c r="A56" s="1950" t="s">
        <v>719</v>
      </c>
      <c r="B56" s="1951" t="s">
        <v>853</v>
      </c>
      <c r="C56" s="1951" t="s">
        <v>726</v>
      </c>
      <c r="D56" s="1951" t="s">
        <v>867</v>
      </c>
      <c r="E56" s="1951"/>
      <c r="F56" s="1953">
        <v>340</v>
      </c>
      <c r="G56" s="1953">
        <v>0</v>
      </c>
      <c r="H56" s="1953"/>
      <c r="I56" s="1953" t="s">
        <v>731</v>
      </c>
      <c r="J56" s="2654">
        <f t="shared" si="2"/>
        <v>0</v>
      </c>
      <c r="K56" s="2654">
        <f t="shared" si="3"/>
        <v>0</v>
      </c>
    </row>
    <row r="57" customHeight="1" spans="1:11">
      <c r="A57" s="1950" t="s">
        <v>719</v>
      </c>
      <c r="B57" s="1951" t="s">
        <v>853</v>
      </c>
      <c r="C57" s="1951" t="s">
        <v>726</v>
      </c>
      <c r="D57" s="1951" t="s">
        <v>868</v>
      </c>
      <c r="E57" s="1951" t="s">
        <v>869</v>
      </c>
      <c r="F57" s="1953">
        <v>385.42</v>
      </c>
      <c r="G57" s="1953">
        <v>286</v>
      </c>
      <c r="H57" s="1953" t="s">
        <v>870</v>
      </c>
      <c r="I57" s="1953" t="s">
        <v>725</v>
      </c>
      <c r="J57" s="2654">
        <f t="shared" si="2"/>
        <v>9.53</v>
      </c>
      <c r="K57" s="2654">
        <f t="shared" si="3"/>
        <v>1322761.44</v>
      </c>
    </row>
    <row r="58" customHeight="1" spans="1:11">
      <c r="A58" s="1950" t="s">
        <v>719</v>
      </c>
      <c r="B58" s="1951" t="s">
        <v>853</v>
      </c>
      <c r="C58" s="1951" t="s">
        <v>726</v>
      </c>
      <c r="D58" s="1951" t="s">
        <v>871</v>
      </c>
      <c r="E58" s="1951" t="s">
        <v>872</v>
      </c>
      <c r="F58" s="1953">
        <v>201.27</v>
      </c>
      <c r="G58" s="1953">
        <v>280</v>
      </c>
      <c r="H58" s="2670" t="s">
        <v>873</v>
      </c>
      <c r="I58" s="1953" t="s">
        <v>725</v>
      </c>
      <c r="J58" s="2654">
        <f t="shared" si="2"/>
        <v>9.33</v>
      </c>
      <c r="K58" s="2654">
        <f t="shared" si="3"/>
        <v>676267.2</v>
      </c>
    </row>
    <row r="59" customHeight="1" spans="1:11">
      <c r="A59" s="1950" t="s">
        <v>719</v>
      </c>
      <c r="B59" s="1951" t="s">
        <v>853</v>
      </c>
      <c r="C59" s="1951" t="s">
        <v>732</v>
      </c>
      <c r="D59" s="1951" t="s">
        <v>874</v>
      </c>
      <c r="E59" s="1951" t="s">
        <v>875</v>
      </c>
      <c r="F59" s="1953">
        <v>707.36</v>
      </c>
      <c r="G59" s="1953">
        <v>283</v>
      </c>
      <c r="H59" s="2670" t="s">
        <v>876</v>
      </c>
      <c r="I59" s="1953" t="s">
        <v>725</v>
      </c>
      <c r="J59" s="2654">
        <f t="shared" si="2"/>
        <v>9.43</v>
      </c>
      <c r="K59" s="2654">
        <f t="shared" si="3"/>
        <v>2402194.56</v>
      </c>
    </row>
    <row r="60" customHeight="1" spans="1:11">
      <c r="A60" s="1950" t="s">
        <v>719</v>
      </c>
      <c r="B60" s="1951" t="s">
        <v>853</v>
      </c>
      <c r="C60" s="1951" t="s">
        <v>732</v>
      </c>
      <c r="D60" s="1951" t="s">
        <v>877</v>
      </c>
      <c r="E60" s="1951" t="s">
        <v>878</v>
      </c>
      <c r="F60" s="1953">
        <v>73</v>
      </c>
      <c r="G60" s="1953">
        <v>283</v>
      </c>
      <c r="H60" s="2670" t="s">
        <v>876</v>
      </c>
      <c r="I60" s="1953" t="s">
        <v>725</v>
      </c>
      <c r="J60" s="2654">
        <f t="shared" si="2"/>
        <v>9.43</v>
      </c>
      <c r="K60" s="2654">
        <f t="shared" si="3"/>
        <v>247908</v>
      </c>
    </row>
    <row r="61" customHeight="1" spans="1:11">
      <c r="A61" s="1950" t="s">
        <v>719</v>
      </c>
      <c r="B61" s="1951" t="s">
        <v>853</v>
      </c>
      <c r="C61" s="1951" t="s">
        <v>732</v>
      </c>
      <c r="D61" s="1951" t="s">
        <v>879</v>
      </c>
      <c r="E61" s="1951" t="s">
        <v>880</v>
      </c>
      <c r="F61" s="1953">
        <v>207</v>
      </c>
      <c r="G61" s="1953">
        <v>283</v>
      </c>
      <c r="H61" s="2670" t="s">
        <v>876</v>
      </c>
      <c r="I61" s="1953" t="s">
        <v>725</v>
      </c>
      <c r="J61" s="2654">
        <f t="shared" si="2"/>
        <v>9.43</v>
      </c>
      <c r="K61" s="2654">
        <f t="shared" si="3"/>
        <v>702972</v>
      </c>
    </row>
    <row r="62" customHeight="1" spans="1:11">
      <c r="A62" s="1950" t="s">
        <v>719</v>
      </c>
      <c r="B62" s="1951" t="s">
        <v>853</v>
      </c>
      <c r="C62" s="1951" t="s">
        <v>732</v>
      </c>
      <c r="D62" s="1951" t="s">
        <v>881</v>
      </c>
      <c r="E62" s="1951" t="s">
        <v>882</v>
      </c>
      <c r="F62" s="1953">
        <v>337.58</v>
      </c>
      <c r="G62" s="1953">
        <v>290</v>
      </c>
      <c r="H62" s="1955" t="s">
        <v>883</v>
      </c>
      <c r="I62" s="1953" t="s">
        <v>725</v>
      </c>
      <c r="J62" s="2654">
        <f t="shared" si="2"/>
        <v>9.67</v>
      </c>
      <c r="K62" s="2654">
        <f t="shared" si="3"/>
        <v>1174778.4</v>
      </c>
    </row>
    <row r="63" s="2653" customFormat="1" customHeight="1" spans="1:11">
      <c r="A63" s="2671" t="s">
        <v>719</v>
      </c>
      <c r="B63" s="1952" t="s">
        <v>853</v>
      </c>
      <c r="C63" s="1952" t="s">
        <v>732</v>
      </c>
      <c r="D63" s="1952" t="s">
        <v>884</v>
      </c>
      <c r="E63" s="1952" t="s">
        <v>885</v>
      </c>
      <c r="F63" s="1956">
        <v>171.01</v>
      </c>
      <c r="G63" s="1956">
        <v>270</v>
      </c>
      <c r="H63" s="1955" t="s">
        <v>886</v>
      </c>
      <c r="I63" s="1956" t="s">
        <v>725</v>
      </c>
      <c r="J63" s="2654">
        <f t="shared" si="2"/>
        <v>9</v>
      </c>
      <c r="K63" s="2654">
        <f t="shared" si="3"/>
        <v>554072.4</v>
      </c>
    </row>
    <row r="64" customHeight="1" spans="1:11">
      <c r="A64" s="1950" t="s">
        <v>719</v>
      </c>
      <c r="B64" s="1951" t="s">
        <v>853</v>
      </c>
      <c r="C64" s="1951" t="s">
        <v>732</v>
      </c>
      <c r="D64" s="1951" t="s">
        <v>887</v>
      </c>
      <c r="E64" s="1951" t="s">
        <v>888</v>
      </c>
      <c r="F64" s="1953">
        <v>209.53</v>
      </c>
      <c r="G64" s="1953">
        <v>268</v>
      </c>
      <c r="H64" s="1955" t="s">
        <v>889</v>
      </c>
      <c r="I64" s="1953" t="s">
        <v>725</v>
      </c>
      <c r="J64" s="2654">
        <f t="shared" si="2"/>
        <v>8.93</v>
      </c>
      <c r="K64" s="2654">
        <f t="shared" si="3"/>
        <v>673848.48</v>
      </c>
    </row>
    <row r="65" customHeight="1" spans="1:11">
      <c r="A65" s="1950" t="s">
        <v>719</v>
      </c>
      <c r="B65" s="1951" t="s">
        <v>853</v>
      </c>
      <c r="C65" s="1951" t="s">
        <v>736</v>
      </c>
      <c r="D65" s="2672" t="s">
        <v>890</v>
      </c>
      <c r="E65" s="2673" t="s">
        <v>891</v>
      </c>
      <c r="F65" s="1953">
        <v>553.58</v>
      </c>
      <c r="G65" s="1953">
        <v>260</v>
      </c>
      <c r="H65" s="1955" t="s">
        <v>892</v>
      </c>
      <c r="I65" s="1953" t="s">
        <v>725</v>
      </c>
      <c r="J65" s="2654">
        <f t="shared" si="2"/>
        <v>8.67</v>
      </c>
      <c r="K65" s="2654">
        <f t="shared" si="3"/>
        <v>1727169.6</v>
      </c>
    </row>
    <row r="66" customHeight="1" spans="1:11">
      <c r="A66" s="1950" t="s">
        <v>719</v>
      </c>
      <c r="B66" s="1951" t="s">
        <v>853</v>
      </c>
      <c r="C66" s="1951" t="s">
        <v>736</v>
      </c>
      <c r="D66" s="1951" t="s">
        <v>893</v>
      </c>
      <c r="E66" s="1951" t="s">
        <v>894</v>
      </c>
      <c r="F66" s="1953">
        <v>217.27</v>
      </c>
      <c r="G66" s="1953">
        <v>288</v>
      </c>
      <c r="H66" s="1955" t="s">
        <v>895</v>
      </c>
      <c r="I66" s="1953" t="s">
        <v>725</v>
      </c>
      <c r="J66" s="2654">
        <f t="shared" si="2"/>
        <v>9.6</v>
      </c>
      <c r="K66" s="2654">
        <f t="shared" si="3"/>
        <v>750885.12</v>
      </c>
    </row>
    <row r="67" customHeight="1" spans="1:11">
      <c r="A67" s="1950" t="s">
        <v>719</v>
      </c>
      <c r="B67" s="1951" t="s">
        <v>853</v>
      </c>
      <c r="C67" s="1951" t="s">
        <v>736</v>
      </c>
      <c r="D67" s="1951" t="s">
        <v>896</v>
      </c>
      <c r="E67" s="1952"/>
      <c r="F67" s="1953">
        <v>338.01</v>
      </c>
      <c r="G67" s="1953"/>
      <c r="H67" s="1953"/>
      <c r="I67" s="1953" t="s">
        <v>731</v>
      </c>
      <c r="J67" s="2654">
        <f t="shared" si="2"/>
        <v>0</v>
      </c>
      <c r="K67" s="2654">
        <f t="shared" si="3"/>
        <v>0</v>
      </c>
    </row>
    <row r="68" customHeight="1" spans="1:11">
      <c r="A68" s="1950" t="s">
        <v>719</v>
      </c>
      <c r="B68" s="1951" t="s">
        <v>853</v>
      </c>
      <c r="C68" s="1951" t="s">
        <v>736</v>
      </c>
      <c r="D68" s="1951" t="s">
        <v>897</v>
      </c>
      <c r="E68" s="1952"/>
      <c r="F68" s="1953">
        <v>571.98</v>
      </c>
      <c r="G68" s="1953"/>
      <c r="H68" s="1953"/>
      <c r="I68" s="1953" t="s">
        <v>731</v>
      </c>
      <c r="J68" s="2654">
        <f t="shared" si="2"/>
        <v>0</v>
      </c>
      <c r="K68" s="2654">
        <f t="shared" si="3"/>
        <v>0</v>
      </c>
    </row>
    <row r="69" customHeight="1" spans="1:11">
      <c r="A69" s="1950" t="s">
        <v>719</v>
      </c>
      <c r="B69" s="1951" t="s">
        <v>853</v>
      </c>
      <c r="C69" s="1951" t="s">
        <v>740</v>
      </c>
      <c r="D69" s="1951" t="s">
        <v>898</v>
      </c>
      <c r="E69" s="1951" t="s">
        <v>899</v>
      </c>
      <c r="F69" s="1953">
        <v>205.73</v>
      </c>
      <c r="G69" s="1953">
        <v>280</v>
      </c>
      <c r="H69" s="2670" t="s">
        <v>900</v>
      </c>
      <c r="I69" s="1953" t="s">
        <v>725</v>
      </c>
      <c r="J69" s="2654">
        <f t="shared" si="2"/>
        <v>9.33</v>
      </c>
      <c r="K69" s="2654">
        <f t="shared" si="3"/>
        <v>691252.8</v>
      </c>
    </row>
    <row r="70" customHeight="1" spans="1:11">
      <c r="A70" s="1950" t="s">
        <v>719</v>
      </c>
      <c r="B70" s="1951" t="s">
        <v>853</v>
      </c>
      <c r="C70" s="1951" t="s">
        <v>740</v>
      </c>
      <c r="D70" s="1951" t="s">
        <v>901</v>
      </c>
      <c r="E70" s="1951" t="s">
        <v>902</v>
      </c>
      <c r="F70" s="1953">
        <v>241.94</v>
      </c>
      <c r="G70" s="1953">
        <v>280</v>
      </c>
      <c r="H70" s="2670" t="s">
        <v>900</v>
      </c>
      <c r="I70" s="1953" t="s">
        <v>725</v>
      </c>
      <c r="J70" s="2654">
        <f t="shared" ref="J70:J101" si="4">ROUND(G70/30,2)</f>
        <v>9.33</v>
      </c>
      <c r="K70" s="2654">
        <f t="shared" ref="K70:K101" si="5">G70*F70*12</f>
        <v>812918.4</v>
      </c>
    </row>
    <row r="71" customHeight="1" spans="1:11">
      <c r="A71" s="1950" t="s">
        <v>719</v>
      </c>
      <c r="B71" s="1951" t="s">
        <v>853</v>
      </c>
      <c r="C71" s="1951" t="s">
        <v>740</v>
      </c>
      <c r="D71" s="1951" t="s">
        <v>903</v>
      </c>
      <c r="E71" s="1951" t="s">
        <v>904</v>
      </c>
      <c r="F71" s="1953">
        <v>263.23</v>
      </c>
      <c r="G71" s="1953">
        <v>280</v>
      </c>
      <c r="H71" s="2670" t="s">
        <v>900</v>
      </c>
      <c r="I71" s="1953" t="s">
        <v>725</v>
      </c>
      <c r="J71" s="2654">
        <f t="shared" si="4"/>
        <v>9.33</v>
      </c>
      <c r="K71" s="2654">
        <f t="shared" si="5"/>
        <v>884452.8</v>
      </c>
    </row>
    <row r="72" customHeight="1" spans="1:11">
      <c r="A72" s="1950" t="s">
        <v>719</v>
      </c>
      <c r="B72" s="1951" t="s">
        <v>853</v>
      </c>
      <c r="C72" s="1951" t="s">
        <v>740</v>
      </c>
      <c r="D72" s="1951" t="s">
        <v>905</v>
      </c>
      <c r="E72" s="1951"/>
      <c r="F72" s="1953">
        <v>827.7</v>
      </c>
      <c r="G72" s="1953"/>
      <c r="H72" s="2670"/>
      <c r="I72" s="1953" t="s">
        <v>731</v>
      </c>
      <c r="J72" s="2654">
        <f t="shared" si="4"/>
        <v>0</v>
      </c>
      <c r="K72" s="2654">
        <f t="shared" si="5"/>
        <v>0</v>
      </c>
    </row>
    <row r="73" customHeight="1" spans="1:11">
      <c r="A73" s="1950" t="s">
        <v>719</v>
      </c>
      <c r="B73" s="1951" t="s">
        <v>853</v>
      </c>
      <c r="C73" s="1951" t="s">
        <v>740</v>
      </c>
      <c r="D73" s="1951" t="s">
        <v>906</v>
      </c>
      <c r="E73" s="1951" t="s">
        <v>907</v>
      </c>
      <c r="F73" s="1953">
        <v>132.92</v>
      </c>
      <c r="G73" s="1953">
        <v>280</v>
      </c>
      <c r="H73" s="2670" t="s">
        <v>900</v>
      </c>
      <c r="I73" s="1953" t="s">
        <v>725</v>
      </c>
      <c r="J73" s="2654">
        <f t="shared" si="4"/>
        <v>9.33</v>
      </c>
      <c r="K73" s="2654">
        <f t="shared" si="5"/>
        <v>446611.2</v>
      </c>
    </row>
    <row r="74" customHeight="1" spans="1:11">
      <c r="A74" s="1950" t="s">
        <v>719</v>
      </c>
      <c r="B74" s="1951" t="s">
        <v>853</v>
      </c>
      <c r="C74" s="1951" t="s">
        <v>744</v>
      </c>
      <c r="D74" s="1951" t="s">
        <v>908</v>
      </c>
      <c r="E74" s="1951" t="s">
        <v>909</v>
      </c>
      <c r="F74" s="1953">
        <v>205.91</v>
      </c>
      <c r="G74" s="1953">
        <v>280</v>
      </c>
      <c r="H74" s="1955" t="s">
        <v>910</v>
      </c>
      <c r="I74" s="1953" t="s">
        <v>725</v>
      </c>
      <c r="J74" s="2654">
        <f t="shared" si="4"/>
        <v>9.33</v>
      </c>
      <c r="K74" s="2654">
        <f t="shared" si="5"/>
        <v>691857.6</v>
      </c>
    </row>
    <row r="75" customHeight="1" spans="1:11">
      <c r="A75" s="1950" t="s">
        <v>719</v>
      </c>
      <c r="B75" s="1951" t="s">
        <v>853</v>
      </c>
      <c r="C75" s="1951" t="s">
        <v>744</v>
      </c>
      <c r="D75" s="1951" t="s">
        <v>911</v>
      </c>
      <c r="E75" s="1951" t="s">
        <v>912</v>
      </c>
      <c r="F75" s="1953">
        <v>242.16</v>
      </c>
      <c r="G75" s="1953">
        <v>280</v>
      </c>
      <c r="H75" s="1955" t="s">
        <v>910</v>
      </c>
      <c r="I75" s="1953" t="s">
        <v>725</v>
      </c>
      <c r="J75" s="2654">
        <f t="shared" si="4"/>
        <v>9.33</v>
      </c>
      <c r="K75" s="2654">
        <f t="shared" si="5"/>
        <v>813657.6</v>
      </c>
    </row>
    <row r="76" customHeight="1" spans="1:11">
      <c r="A76" s="1950" t="s">
        <v>719</v>
      </c>
      <c r="B76" s="1951" t="s">
        <v>853</v>
      </c>
      <c r="C76" s="1951" t="s">
        <v>744</v>
      </c>
      <c r="D76" s="1951" t="s">
        <v>913</v>
      </c>
      <c r="E76" s="1951" t="s">
        <v>914</v>
      </c>
      <c r="F76" s="1953">
        <v>258.43</v>
      </c>
      <c r="G76" s="1953">
        <v>280</v>
      </c>
      <c r="H76" s="1955" t="s">
        <v>910</v>
      </c>
      <c r="I76" s="1953" t="s">
        <v>725</v>
      </c>
      <c r="J76" s="2654">
        <f t="shared" si="4"/>
        <v>9.33</v>
      </c>
      <c r="K76" s="2654">
        <f t="shared" si="5"/>
        <v>868324.8</v>
      </c>
    </row>
    <row r="77" customHeight="1" spans="1:11">
      <c r="A77" s="1950" t="s">
        <v>719</v>
      </c>
      <c r="B77" s="1951" t="s">
        <v>853</v>
      </c>
      <c r="C77" s="1951" t="s">
        <v>744</v>
      </c>
      <c r="D77" s="1951" t="s">
        <v>915</v>
      </c>
      <c r="E77" s="1952" t="s">
        <v>916</v>
      </c>
      <c r="F77" s="1953">
        <v>625.31</v>
      </c>
      <c r="G77" s="1953">
        <v>210</v>
      </c>
      <c r="H77" s="1955" t="s">
        <v>917</v>
      </c>
      <c r="I77" s="1953" t="s">
        <v>725</v>
      </c>
      <c r="J77" s="2654">
        <f t="shared" si="4"/>
        <v>7</v>
      </c>
      <c r="K77" s="2654">
        <f t="shared" si="5"/>
        <v>1575781.2</v>
      </c>
    </row>
    <row r="78" customHeight="1" spans="1:11">
      <c r="A78" s="1950" t="s">
        <v>719</v>
      </c>
      <c r="B78" s="1951" t="s">
        <v>853</v>
      </c>
      <c r="C78" s="1951" t="s">
        <v>744</v>
      </c>
      <c r="D78" s="1951" t="s">
        <v>918</v>
      </c>
      <c r="E78" s="1951" t="s">
        <v>919</v>
      </c>
      <c r="F78" s="1953">
        <v>321.07</v>
      </c>
      <c r="G78" s="1953">
        <v>325</v>
      </c>
      <c r="H78" s="1955" t="s">
        <v>920</v>
      </c>
      <c r="I78" s="1953" t="s">
        <v>725</v>
      </c>
      <c r="J78" s="2654">
        <f t="shared" si="4"/>
        <v>10.83</v>
      </c>
      <c r="K78" s="2654">
        <f t="shared" si="5"/>
        <v>1252173</v>
      </c>
    </row>
    <row r="79" customHeight="1" spans="1:11">
      <c r="A79" s="1950" t="s">
        <v>719</v>
      </c>
      <c r="B79" s="1951" t="s">
        <v>853</v>
      </c>
      <c r="C79" s="1951" t="s">
        <v>757</v>
      </c>
      <c r="D79" s="1951" t="s">
        <v>921</v>
      </c>
      <c r="E79" s="1951" t="s">
        <v>922</v>
      </c>
      <c r="F79" s="1953">
        <v>206</v>
      </c>
      <c r="G79" s="1953">
        <v>310</v>
      </c>
      <c r="H79" s="1955" t="s">
        <v>923</v>
      </c>
      <c r="I79" s="1953" t="s">
        <v>725</v>
      </c>
      <c r="J79" s="2654">
        <f t="shared" si="4"/>
        <v>10.33</v>
      </c>
      <c r="K79" s="2654">
        <f t="shared" si="5"/>
        <v>766320</v>
      </c>
    </row>
    <row r="80" customHeight="1" spans="1:11">
      <c r="A80" s="1950" t="s">
        <v>719</v>
      </c>
      <c r="B80" s="1951" t="s">
        <v>853</v>
      </c>
      <c r="C80" s="1951" t="s">
        <v>757</v>
      </c>
      <c r="D80" s="1951" t="s">
        <v>924</v>
      </c>
      <c r="E80" s="1951" t="s">
        <v>925</v>
      </c>
      <c r="F80" s="1953">
        <v>242.27</v>
      </c>
      <c r="G80" s="1956">
        <v>285</v>
      </c>
      <c r="H80" s="2670" t="s">
        <v>926</v>
      </c>
      <c r="I80" s="1953" t="s">
        <v>725</v>
      </c>
      <c r="J80" s="2654">
        <f t="shared" si="4"/>
        <v>9.5</v>
      </c>
      <c r="K80" s="2654">
        <f t="shared" si="5"/>
        <v>828563.4</v>
      </c>
    </row>
    <row r="81" customHeight="1" spans="1:11">
      <c r="A81" s="1950" t="s">
        <v>719</v>
      </c>
      <c r="B81" s="1951" t="s">
        <v>853</v>
      </c>
      <c r="C81" s="1951" t="s">
        <v>757</v>
      </c>
      <c r="D81" s="1951" t="s">
        <v>927</v>
      </c>
      <c r="E81" s="1951" t="s">
        <v>928</v>
      </c>
      <c r="F81" s="1953">
        <v>439.54</v>
      </c>
      <c r="G81" s="1953">
        <v>290</v>
      </c>
      <c r="H81" s="1955" t="s">
        <v>929</v>
      </c>
      <c r="I81" s="1953" t="s">
        <v>725</v>
      </c>
      <c r="J81" s="2654">
        <f t="shared" si="4"/>
        <v>9.67</v>
      </c>
      <c r="K81" s="2654">
        <f t="shared" si="5"/>
        <v>1529599.2</v>
      </c>
    </row>
    <row r="82" customHeight="1" spans="1:11">
      <c r="A82" s="1950" t="s">
        <v>719</v>
      </c>
      <c r="B82" s="1951" t="s">
        <v>853</v>
      </c>
      <c r="C82" s="1951" t="s">
        <v>757</v>
      </c>
      <c r="D82" s="1951" t="s">
        <v>930</v>
      </c>
      <c r="E82" s="1951" t="s">
        <v>931</v>
      </c>
      <c r="F82" s="1953">
        <v>755.75</v>
      </c>
      <c r="G82" s="1953">
        <v>292</v>
      </c>
      <c r="H82" s="1955" t="s">
        <v>932</v>
      </c>
      <c r="I82" s="1953" t="s">
        <v>725</v>
      </c>
      <c r="J82" s="2654">
        <f t="shared" si="4"/>
        <v>9.73</v>
      </c>
      <c r="K82" s="2654">
        <f t="shared" si="5"/>
        <v>2648148</v>
      </c>
    </row>
    <row r="83" s="2653" customFormat="1" customHeight="1" spans="1:12">
      <c r="A83" s="2671" t="s">
        <v>719</v>
      </c>
      <c r="B83" s="1952" t="s">
        <v>853</v>
      </c>
      <c r="C83" s="1952" t="s">
        <v>933</v>
      </c>
      <c r="D83" s="1952" t="s">
        <v>934</v>
      </c>
      <c r="E83" s="1952" t="s">
        <v>935</v>
      </c>
      <c r="F83" s="1956">
        <v>1624.92</v>
      </c>
      <c r="G83" s="1956">
        <v>200</v>
      </c>
      <c r="H83" s="2670" t="s">
        <v>936</v>
      </c>
      <c r="I83" s="1956" t="s">
        <v>801</v>
      </c>
      <c r="J83" s="2654">
        <f t="shared" si="4"/>
        <v>6.67</v>
      </c>
      <c r="K83" s="2654">
        <f t="shared" si="5"/>
        <v>3899808</v>
      </c>
      <c r="L83" s="2654"/>
    </row>
    <row r="84" customHeight="1" spans="1:11">
      <c r="A84" s="1950" t="s">
        <v>719</v>
      </c>
      <c r="B84" s="1951" t="s">
        <v>853</v>
      </c>
      <c r="C84" s="1951" t="s">
        <v>937</v>
      </c>
      <c r="D84" s="1951" t="s">
        <v>938</v>
      </c>
      <c r="E84" s="1951" t="s">
        <v>939</v>
      </c>
      <c r="F84" s="1953">
        <v>201.77</v>
      </c>
      <c r="G84" s="1953">
        <v>301</v>
      </c>
      <c r="H84" s="1955" t="s">
        <v>940</v>
      </c>
      <c r="I84" s="1953" t="s">
        <v>725</v>
      </c>
      <c r="J84" s="2654">
        <f t="shared" si="4"/>
        <v>10.03</v>
      </c>
      <c r="K84" s="2654">
        <f t="shared" si="5"/>
        <v>728793.24</v>
      </c>
    </row>
    <row r="85" customHeight="1" spans="1:11">
      <c r="A85" s="1950" t="s">
        <v>719</v>
      </c>
      <c r="B85" s="1951" t="s">
        <v>853</v>
      </c>
      <c r="C85" s="1951" t="s">
        <v>937</v>
      </c>
      <c r="D85" s="1951" t="s">
        <v>941</v>
      </c>
      <c r="E85" s="1951" t="s">
        <v>942</v>
      </c>
      <c r="F85" s="1953">
        <v>242.6</v>
      </c>
      <c r="G85" s="1953">
        <v>290</v>
      </c>
      <c r="H85" s="1955" t="s">
        <v>943</v>
      </c>
      <c r="I85" s="1953" t="s">
        <v>725</v>
      </c>
      <c r="J85" s="2654">
        <f t="shared" si="4"/>
        <v>9.67</v>
      </c>
      <c r="K85" s="2654">
        <f t="shared" si="5"/>
        <v>844248</v>
      </c>
    </row>
    <row r="86" customHeight="1" spans="1:11">
      <c r="A86" s="1950" t="s">
        <v>719</v>
      </c>
      <c r="B86" s="1951" t="s">
        <v>853</v>
      </c>
      <c r="C86" s="1951" t="s">
        <v>937</v>
      </c>
      <c r="D86" s="1951" t="s">
        <v>944</v>
      </c>
      <c r="E86" s="1951" t="s">
        <v>945</v>
      </c>
      <c r="F86" s="1953">
        <v>243.79</v>
      </c>
      <c r="G86" s="1953">
        <v>300</v>
      </c>
      <c r="H86" s="1955" t="s">
        <v>946</v>
      </c>
      <c r="I86" s="1953" t="s">
        <v>725</v>
      </c>
      <c r="J86" s="2654">
        <f t="shared" si="4"/>
        <v>10</v>
      </c>
      <c r="K86" s="2654">
        <f t="shared" si="5"/>
        <v>877644</v>
      </c>
    </row>
    <row r="87" customHeight="1" spans="1:11">
      <c r="A87" s="1950" t="s">
        <v>719</v>
      </c>
      <c r="B87" s="1951" t="s">
        <v>853</v>
      </c>
      <c r="C87" s="1951" t="s">
        <v>937</v>
      </c>
      <c r="D87" s="1951" t="s">
        <v>947</v>
      </c>
      <c r="E87" s="1951" t="s">
        <v>948</v>
      </c>
      <c r="F87" s="1953">
        <v>181.24</v>
      </c>
      <c r="G87" s="1953">
        <v>300</v>
      </c>
      <c r="H87" s="1955" t="s">
        <v>949</v>
      </c>
      <c r="I87" s="1953" t="s">
        <v>725</v>
      </c>
      <c r="J87" s="2654">
        <f t="shared" si="4"/>
        <v>10</v>
      </c>
      <c r="K87" s="2654">
        <f t="shared" si="5"/>
        <v>652464</v>
      </c>
    </row>
    <row r="88" customHeight="1" spans="1:11">
      <c r="A88" s="1950" t="s">
        <v>719</v>
      </c>
      <c r="B88" s="1951" t="s">
        <v>853</v>
      </c>
      <c r="C88" s="1951" t="s">
        <v>937</v>
      </c>
      <c r="D88" s="1951" t="s">
        <v>950</v>
      </c>
      <c r="E88" s="1952" t="s">
        <v>951</v>
      </c>
      <c r="F88" s="1953">
        <v>435.15</v>
      </c>
      <c r="G88" s="1953">
        <v>210</v>
      </c>
      <c r="H88" s="2670" t="s">
        <v>952</v>
      </c>
      <c r="I88" s="1953" t="s">
        <v>725</v>
      </c>
      <c r="J88" s="2654">
        <f t="shared" si="4"/>
        <v>7</v>
      </c>
      <c r="K88" s="2654">
        <f t="shared" si="5"/>
        <v>1096578</v>
      </c>
    </row>
    <row r="89" customHeight="1" spans="1:11">
      <c r="A89" s="1950" t="s">
        <v>719</v>
      </c>
      <c r="B89" s="1951" t="s">
        <v>853</v>
      </c>
      <c r="C89" s="1951" t="s">
        <v>937</v>
      </c>
      <c r="D89" s="1951" t="s">
        <v>953</v>
      </c>
      <c r="E89" s="1952" t="s">
        <v>954</v>
      </c>
      <c r="F89" s="1953">
        <v>311.05</v>
      </c>
      <c r="G89" s="1953">
        <v>282</v>
      </c>
      <c r="H89" s="1955" t="s">
        <v>917</v>
      </c>
      <c r="I89" s="1953" t="s">
        <v>725</v>
      </c>
      <c r="J89" s="2654">
        <f t="shared" si="4"/>
        <v>9.4</v>
      </c>
      <c r="K89" s="2654">
        <f t="shared" si="5"/>
        <v>1052593.2</v>
      </c>
    </row>
    <row r="90" customHeight="1" spans="1:11">
      <c r="A90" s="1950" t="s">
        <v>719</v>
      </c>
      <c r="B90" s="1951" t="s">
        <v>853</v>
      </c>
      <c r="C90" s="1951" t="s">
        <v>955</v>
      </c>
      <c r="D90" s="1951" t="s">
        <v>956</v>
      </c>
      <c r="E90" s="1951" t="s">
        <v>738</v>
      </c>
      <c r="F90" s="1953">
        <v>854.58</v>
      </c>
      <c r="G90" s="1953">
        <v>260</v>
      </c>
      <c r="H90" s="2670" t="s">
        <v>769</v>
      </c>
      <c r="I90" s="1953" t="s">
        <v>725</v>
      </c>
      <c r="J90" s="2654">
        <f t="shared" si="4"/>
        <v>8.67</v>
      </c>
      <c r="K90" s="2654">
        <f t="shared" si="5"/>
        <v>2666289.6</v>
      </c>
    </row>
    <row r="91" customHeight="1" spans="1:11">
      <c r="A91" s="1950" t="s">
        <v>719</v>
      </c>
      <c r="B91" s="1951" t="s">
        <v>853</v>
      </c>
      <c r="C91" s="1951" t="s">
        <v>955</v>
      </c>
      <c r="D91" s="1951" t="s">
        <v>957</v>
      </c>
      <c r="E91" s="1952" t="s">
        <v>958</v>
      </c>
      <c r="F91" s="1953">
        <v>431.05</v>
      </c>
      <c r="G91" s="1953">
        <v>272</v>
      </c>
      <c r="H91" s="1955" t="s">
        <v>959</v>
      </c>
      <c r="I91" s="1953" t="s">
        <v>725</v>
      </c>
      <c r="J91" s="2654">
        <f t="shared" si="4"/>
        <v>9.07</v>
      </c>
      <c r="K91" s="2654">
        <f t="shared" si="5"/>
        <v>1406947.2</v>
      </c>
    </row>
    <row r="92" customHeight="1" spans="1:11">
      <c r="A92" s="1950" t="s">
        <v>719</v>
      </c>
      <c r="B92" s="1951" t="s">
        <v>853</v>
      </c>
      <c r="C92" s="1951" t="s">
        <v>955</v>
      </c>
      <c r="D92" s="1951" t="s">
        <v>960</v>
      </c>
      <c r="E92" s="1952" t="s">
        <v>961</v>
      </c>
      <c r="F92" s="1953">
        <v>311.33</v>
      </c>
      <c r="G92" s="1953">
        <v>210</v>
      </c>
      <c r="H92" s="1953" t="s">
        <v>962</v>
      </c>
      <c r="I92" s="1953" t="s">
        <v>725</v>
      </c>
      <c r="J92" s="2654">
        <f t="shared" si="4"/>
        <v>7</v>
      </c>
      <c r="K92" s="2654">
        <f t="shared" si="5"/>
        <v>784551.6</v>
      </c>
    </row>
    <row r="93" customHeight="1" spans="1:11">
      <c r="A93" s="1950" t="s">
        <v>719</v>
      </c>
      <c r="B93" s="1951" t="s">
        <v>853</v>
      </c>
      <c r="C93" s="1951" t="s">
        <v>963</v>
      </c>
      <c r="D93" s="1951" t="s">
        <v>964</v>
      </c>
      <c r="E93" s="1951" t="s">
        <v>965</v>
      </c>
      <c r="F93" s="1953">
        <v>980.47</v>
      </c>
      <c r="G93" s="1953">
        <v>286</v>
      </c>
      <c r="H93" s="1955" t="s">
        <v>966</v>
      </c>
      <c r="I93" s="1953" t="s">
        <v>725</v>
      </c>
      <c r="J93" s="2654">
        <f t="shared" si="4"/>
        <v>9.53</v>
      </c>
      <c r="K93" s="2654">
        <f t="shared" si="5"/>
        <v>3364973.04</v>
      </c>
    </row>
    <row r="94" customHeight="1" spans="1:11">
      <c r="A94" s="1950" t="s">
        <v>719</v>
      </c>
      <c r="B94" s="1951" t="s">
        <v>853</v>
      </c>
      <c r="C94" s="1951" t="s">
        <v>963</v>
      </c>
      <c r="D94" s="1951" t="s">
        <v>967</v>
      </c>
      <c r="E94" s="1951"/>
      <c r="F94" s="1953">
        <v>186.34</v>
      </c>
      <c r="G94" s="1953"/>
      <c r="H94" s="1953"/>
      <c r="I94" s="1953" t="s">
        <v>731</v>
      </c>
      <c r="J94" s="2654">
        <f t="shared" si="4"/>
        <v>0</v>
      </c>
      <c r="K94" s="2654">
        <f t="shared" si="5"/>
        <v>0</v>
      </c>
    </row>
    <row r="95" ht="20.25" customHeight="1" spans="1:11">
      <c r="A95" s="1950" t="s">
        <v>719</v>
      </c>
      <c r="B95" s="1951" t="s">
        <v>853</v>
      </c>
      <c r="C95" s="1951" t="s">
        <v>963</v>
      </c>
      <c r="D95" s="1951" t="s">
        <v>968</v>
      </c>
      <c r="E95" s="1951" t="s">
        <v>969</v>
      </c>
      <c r="F95" s="1953">
        <v>191.66</v>
      </c>
      <c r="G95" s="1953">
        <v>286</v>
      </c>
      <c r="H95" s="2670" t="s">
        <v>970</v>
      </c>
      <c r="I95" s="1953" t="s">
        <v>725</v>
      </c>
      <c r="J95" s="2654">
        <f t="shared" si="4"/>
        <v>9.53</v>
      </c>
      <c r="K95" s="2654">
        <f t="shared" si="5"/>
        <v>657777.12</v>
      </c>
    </row>
    <row r="96" customHeight="1" spans="1:11">
      <c r="A96" s="1950" t="s">
        <v>719</v>
      </c>
      <c r="B96" s="1951" t="s">
        <v>853</v>
      </c>
      <c r="C96" s="1951" t="s">
        <v>963</v>
      </c>
      <c r="D96" s="1951" t="s">
        <v>971</v>
      </c>
      <c r="E96" s="1951" t="s">
        <v>972</v>
      </c>
      <c r="F96" s="1953">
        <v>239.58</v>
      </c>
      <c r="G96" s="1953">
        <v>286</v>
      </c>
      <c r="H96" s="2670" t="s">
        <v>970</v>
      </c>
      <c r="I96" s="1953" t="s">
        <v>725</v>
      </c>
      <c r="J96" s="2654">
        <f t="shared" si="4"/>
        <v>9.53</v>
      </c>
      <c r="K96" s="2654">
        <f t="shared" si="5"/>
        <v>822238.56</v>
      </c>
    </row>
    <row r="97" customHeight="1" spans="1:11">
      <c r="A97" s="1950" t="s">
        <v>719</v>
      </c>
      <c r="B97" s="1951" t="s">
        <v>853</v>
      </c>
      <c r="C97" s="1951" t="s">
        <v>780</v>
      </c>
      <c r="D97" s="1951" t="s">
        <v>973</v>
      </c>
      <c r="E97" s="1951" t="s">
        <v>974</v>
      </c>
      <c r="F97" s="1953">
        <v>228.33</v>
      </c>
      <c r="G97" s="1956">
        <v>210</v>
      </c>
      <c r="H97" s="1955" t="s">
        <v>952</v>
      </c>
      <c r="I97" s="1953" t="s">
        <v>725</v>
      </c>
      <c r="J97" s="2654">
        <f t="shared" si="4"/>
        <v>7</v>
      </c>
      <c r="K97" s="2654">
        <f t="shared" si="5"/>
        <v>575391.6</v>
      </c>
    </row>
    <row r="98" customHeight="1" spans="1:11">
      <c r="A98" s="1950" t="s">
        <v>719</v>
      </c>
      <c r="B98" s="1951" t="s">
        <v>853</v>
      </c>
      <c r="C98" s="1951" t="s">
        <v>780</v>
      </c>
      <c r="D98" s="1951" t="s">
        <v>975</v>
      </c>
      <c r="E98" s="1951" t="s">
        <v>976</v>
      </c>
      <c r="F98" s="1953">
        <v>359.02</v>
      </c>
      <c r="G98" s="1956">
        <v>210</v>
      </c>
      <c r="H98" s="1955" t="s">
        <v>952</v>
      </c>
      <c r="I98" s="1953" t="s">
        <v>725</v>
      </c>
      <c r="J98" s="2654">
        <f t="shared" si="4"/>
        <v>7</v>
      </c>
      <c r="K98" s="2654">
        <f t="shared" si="5"/>
        <v>904730.4</v>
      </c>
    </row>
    <row r="99" customHeight="1" spans="1:11">
      <c r="A99" s="1950" t="s">
        <v>719</v>
      </c>
      <c r="B99" s="1951" t="s">
        <v>853</v>
      </c>
      <c r="C99" s="1951" t="s">
        <v>780</v>
      </c>
      <c r="D99" s="1951" t="s">
        <v>977</v>
      </c>
      <c r="E99" s="1951" t="s">
        <v>978</v>
      </c>
      <c r="F99" s="1953">
        <v>352.88</v>
      </c>
      <c r="G99" s="1956">
        <v>210</v>
      </c>
      <c r="H99" s="1955" t="s">
        <v>952</v>
      </c>
      <c r="I99" s="1953" t="s">
        <v>725</v>
      </c>
      <c r="J99" s="2654">
        <f t="shared" si="4"/>
        <v>7</v>
      </c>
      <c r="K99" s="2654">
        <f t="shared" si="5"/>
        <v>889257.6</v>
      </c>
    </row>
    <row r="100" customHeight="1" spans="1:11">
      <c r="A100" s="1950" t="s">
        <v>719</v>
      </c>
      <c r="B100" s="1951" t="s">
        <v>853</v>
      </c>
      <c r="C100" s="1951" t="s">
        <v>780</v>
      </c>
      <c r="D100" s="1951" t="s">
        <v>979</v>
      </c>
      <c r="E100" s="1951"/>
      <c r="F100" s="1953">
        <v>295.71</v>
      </c>
      <c r="G100" s="1956">
        <v>0</v>
      </c>
      <c r="H100" s="1956"/>
      <c r="I100" s="1953" t="s">
        <v>731</v>
      </c>
      <c r="J100" s="2654">
        <f t="shared" si="4"/>
        <v>0</v>
      </c>
      <c r="K100" s="2654">
        <f t="shared" si="5"/>
        <v>0</v>
      </c>
    </row>
    <row r="101" customHeight="1" spans="1:11">
      <c r="A101" s="1950" t="s">
        <v>719</v>
      </c>
      <c r="B101" s="1951" t="s">
        <v>853</v>
      </c>
      <c r="C101" s="1951" t="s">
        <v>785</v>
      </c>
      <c r="D101" s="1951" t="s">
        <v>980</v>
      </c>
      <c r="E101" s="1951" t="s">
        <v>981</v>
      </c>
      <c r="F101" s="1953">
        <v>182.96</v>
      </c>
      <c r="G101" s="1953">
        <v>275</v>
      </c>
      <c r="H101" s="1955" t="s">
        <v>982</v>
      </c>
      <c r="I101" s="1953" t="s">
        <v>725</v>
      </c>
      <c r="J101" s="2654">
        <f t="shared" si="4"/>
        <v>9.17</v>
      </c>
      <c r="K101" s="2654">
        <f t="shared" si="5"/>
        <v>603768</v>
      </c>
    </row>
    <row r="102" customHeight="1" spans="1:11">
      <c r="A102" s="1950" t="s">
        <v>719</v>
      </c>
      <c r="B102" s="1951" t="s">
        <v>853</v>
      </c>
      <c r="C102" s="1951" t="s">
        <v>785</v>
      </c>
      <c r="D102" s="1951" t="s">
        <v>983</v>
      </c>
      <c r="E102" s="1951" t="s">
        <v>984</v>
      </c>
      <c r="F102" s="1953">
        <v>228.64</v>
      </c>
      <c r="G102" s="1953">
        <v>275</v>
      </c>
      <c r="H102" s="1955" t="s">
        <v>985</v>
      </c>
      <c r="I102" s="1953" t="s">
        <v>725</v>
      </c>
      <c r="J102" s="2654">
        <f t="shared" ref="J102:J120" si="6">ROUND(G102/30,2)</f>
        <v>9.17</v>
      </c>
      <c r="K102" s="2654">
        <f t="shared" ref="K102:K120" si="7">G102*F102*12</f>
        <v>754512</v>
      </c>
    </row>
    <row r="103" customHeight="1" spans="1:11">
      <c r="A103" s="1950" t="s">
        <v>719</v>
      </c>
      <c r="B103" s="1951" t="s">
        <v>853</v>
      </c>
      <c r="C103" s="1951" t="s">
        <v>785</v>
      </c>
      <c r="D103" s="1951" t="s">
        <v>986</v>
      </c>
      <c r="E103" s="1951" t="s">
        <v>987</v>
      </c>
      <c r="F103" s="1953">
        <v>415.93</v>
      </c>
      <c r="G103" s="1953">
        <v>285</v>
      </c>
      <c r="H103" s="1955" t="s">
        <v>988</v>
      </c>
      <c r="I103" s="1953" t="s">
        <v>725</v>
      </c>
      <c r="J103" s="2654">
        <f t="shared" si="6"/>
        <v>9.5</v>
      </c>
      <c r="K103" s="2654">
        <f t="shared" si="7"/>
        <v>1422480.6</v>
      </c>
    </row>
    <row r="104" customHeight="1" spans="1:11">
      <c r="A104" s="1950" t="s">
        <v>719</v>
      </c>
      <c r="B104" s="1951" t="s">
        <v>853</v>
      </c>
      <c r="C104" s="1951" t="s">
        <v>785</v>
      </c>
      <c r="D104" s="1951" t="s">
        <v>989</v>
      </c>
      <c r="E104" s="1951" t="s">
        <v>990</v>
      </c>
      <c r="F104" s="1953">
        <v>734.64</v>
      </c>
      <c r="G104" s="1956">
        <v>285</v>
      </c>
      <c r="H104" s="1955" t="s">
        <v>991</v>
      </c>
      <c r="I104" s="1953" t="s">
        <v>725</v>
      </c>
      <c r="J104" s="2654">
        <f t="shared" si="6"/>
        <v>9.5</v>
      </c>
      <c r="K104" s="2654">
        <f t="shared" si="7"/>
        <v>2512468.8</v>
      </c>
    </row>
    <row r="105" customHeight="1" spans="1:11">
      <c r="A105" s="1950" t="s">
        <v>719</v>
      </c>
      <c r="B105" s="1951" t="s">
        <v>853</v>
      </c>
      <c r="C105" s="1951" t="s">
        <v>797</v>
      </c>
      <c r="D105" s="1951" t="s">
        <v>992</v>
      </c>
      <c r="E105" s="2672" t="s">
        <v>993</v>
      </c>
      <c r="F105" s="1953">
        <v>1130.99</v>
      </c>
      <c r="G105" s="2674">
        <v>238</v>
      </c>
      <c r="H105" s="2674" t="s">
        <v>994</v>
      </c>
      <c r="I105" s="2674" t="s">
        <v>725</v>
      </c>
      <c r="J105" s="2684">
        <f t="shared" si="6"/>
        <v>7.93</v>
      </c>
      <c r="K105" s="2684">
        <f>G105*(F105+F106+F107)*12</f>
        <v>7310103.36</v>
      </c>
    </row>
    <row r="106" customHeight="1" spans="1:11">
      <c r="A106" s="1950" t="s">
        <v>719</v>
      </c>
      <c r="B106" s="1951" t="s">
        <v>853</v>
      </c>
      <c r="C106" s="1951" t="s">
        <v>797</v>
      </c>
      <c r="D106" s="1951" t="s">
        <v>995</v>
      </c>
      <c r="E106" s="2675"/>
      <c r="F106" s="1953">
        <v>412.54</v>
      </c>
      <c r="G106" s="2676"/>
      <c r="H106" s="2676"/>
      <c r="I106" s="2676"/>
      <c r="J106" s="2684"/>
      <c r="K106" s="2684"/>
    </row>
    <row r="107" customHeight="1" spans="1:11">
      <c r="A107" s="1950" t="s">
        <v>719</v>
      </c>
      <c r="B107" s="1951" t="s">
        <v>853</v>
      </c>
      <c r="C107" s="1951" t="s">
        <v>826</v>
      </c>
      <c r="D107" s="1951" t="s">
        <v>996</v>
      </c>
      <c r="E107" s="2677"/>
      <c r="F107" s="1953">
        <v>1016.03</v>
      </c>
      <c r="G107" s="2678"/>
      <c r="H107" s="2678"/>
      <c r="I107" s="2678"/>
      <c r="J107" s="2684"/>
      <c r="K107" s="2684"/>
    </row>
    <row r="108" customHeight="1" spans="1:11">
      <c r="A108" s="1950" t="s">
        <v>719</v>
      </c>
      <c r="B108" s="1951" t="s">
        <v>853</v>
      </c>
      <c r="C108" s="1951" t="s">
        <v>808</v>
      </c>
      <c r="D108" s="1951" t="s">
        <v>997</v>
      </c>
      <c r="E108" s="1952" t="s">
        <v>998</v>
      </c>
      <c r="F108" s="1953">
        <v>808.57</v>
      </c>
      <c r="G108" s="1953">
        <v>211</v>
      </c>
      <c r="H108" s="1955" t="s">
        <v>999</v>
      </c>
      <c r="I108" s="1953" t="s">
        <v>725</v>
      </c>
      <c r="J108" s="2654">
        <f t="shared" si="6"/>
        <v>7.03</v>
      </c>
      <c r="K108" s="2654">
        <f t="shared" si="7"/>
        <v>2047299.24</v>
      </c>
    </row>
    <row r="109" customHeight="1" spans="1:11">
      <c r="A109" s="1950" t="s">
        <v>719</v>
      </c>
      <c r="B109" s="1951" t="s">
        <v>853</v>
      </c>
      <c r="C109" s="1951" t="s">
        <v>808</v>
      </c>
      <c r="D109" s="1951" t="s">
        <v>1000</v>
      </c>
      <c r="E109" s="1952" t="s">
        <v>1001</v>
      </c>
      <c r="F109" s="1953">
        <v>550</v>
      </c>
      <c r="G109" s="1956">
        <v>295</v>
      </c>
      <c r="H109" s="1955" t="s">
        <v>1002</v>
      </c>
      <c r="I109" s="1953" t="s">
        <v>725</v>
      </c>
      <c r="J109" s="2654">
        <f t="shared" si="6"/>
        <v>9.83</v>
      </c>
      <c r="K109" s="2654">
        <f t="shared" si="7"/>
        <v>1947000</v>
      </c>
    </row>
    <row r="110" customHeight="1" spans="1:11">
      <c r="A110" s="1950" t="s">
        <v>719</v>
      </c>
      <c r="B110" s="1951" t="s">
        <v>853</v>
      </c>
      <c r="C110" s="1951" t="s">
        <v>808</v>
      </c>
      <c r="D110" s="1951" t="s">
        <v>1003</v>
      </c>
      <c r="E110" s="1952" t="s">
        <v>1004</v>
      </c>
      <c r="F110" s="1953">
        <v>175.64</v>
      </c>
      <c r="G110" s="1956">
        <v>295</v>
      </c>
      <c r="H110" s="1955" t="s">
        <v>1002</v>
      </c>
      <c r="I110" s="1953" t="s">
        <v>725</v>
      </c>
      <c r="J110" s="2654">
        <f t="shared" si="6"/>
        <v>9.83</v>
      </c>
      <c r="K110" s="2654">
        <f t="shared" si="7"/>
        <v>621765.6</v>
      </c>
    </row>
    <row r="111" customHeight="1" spans="1:11">
      <c r="A111" s="1950" t="s">
        <v>719</v>
      </c>
      <c r="B111" s="1951" t="s">
        <v>853</v>
      </c>
      <c r="C111" s="1951" t="s">
        <v>817</v>
      </c>
      <c r="D111" s="1951" t="s">
        <v>1005</v>
      </c>
      <c r="E111" s="1951" t="s">
        <v>1006</v>
      </c>
      <c r="F111" s="1953">
        <v>1310.75</v>
      </c>
      <c r="G111" s="1953">
        <v>290</v>
      </c>
      <c r="H111" s="1955" t="s">
        <v>1007</v>
      </c>
      <c r="I111" s="1953" t="s">
        <v>725</v>
      </c>
      <c r="J111" s="2654">
        <f t="shared" si="6"/>
        <v>9.67</v>
      </c>
      <c r="K111" s="2654">
        <f t="shared" si="7"/>
        <v>4561410</v>
      </c>
    </row>
    <row r="112" s="2653" customFormat="1" customHeight="1" spans="1:11">
      <c r="A112" s="2671" t="s">
        <v>719</v>
      </c>
      <c r="B112" s="1952" t="s">
        <v>853</v>
      </c>
      <c r="C112" s="1952" t="s">
        <v>817</v>
      </c>
      <c r="D112" s="1952" t="s">
        <v>1008</v>
      </c>
      <c r="E112" s="1952" t="s">
        <v>1009</v>
      </c>
      <c r="F112" s="1956">
        <v>204.82</v>
      </c>
      <c r="G112" s="1956">
        <v>278</v>
      </c>
      <c r="H112" s="1955" t="s">
        <v>1010</v>
      </c>
      <c r="I112" s="1956" t="s">
        <v>725</v>
      </c>
      <c r="J112" s="2654">
        <f t="shared" si="6"/>
        <v>9.27</v>
      </c>
      <c r="K112" s="2654">
        <f t="shared" si="7"/>
        <v>683279.52</v>
      </c>
    </row>
    <row r="113" customHeight="1" spans="1:11">
      <c r="A113" s="1950" t="s">
        <v>719</v>
      </c>
      <c r="B113" s="1951" t="s">
        <v>853</v>
      </c>
      <c r="C113" s="1951" t="s">
        <v>820</v>
      </c>
      <c r="D113" s="1951" t="s">
        <v>1011</v>
      </c>
      <c r="E113" s="1951" t="s">
        <v>965</v>
      </c>
      <c r="F113" s="1953">
        <v>1501.77</v>
      </c>
      <c r="G113" s="1953">
        <v>286</v>
      </c>
      <c r="H113" s="1955" t="s">
        <v>1012</v>
      </c>
      <c r="I113" s="1953" t="s">
        <v>725</v>
      </c>
      <c r="J113" s="2654">
        <f t="shared" si="6"/>
        <v>9.53</v>
      </c>
      <c r="K113" s="2654">
        <f t="shared" si="7"/>
        <v>5154074.64</v>
      </c>
    </row>
    <row r="114" customHeight="1" spans="1:11">
      <c r="A114" s="1950" t="s">
        <v>719</v>
      </c>
      <c r="B114" s="1951" t="s">
        <v>853</v>
      </c>
      <c r="C114" s="1951" t="s">
        <v>826</v>
      </c>
      <c r="D114" s="1951" t="s">
        <v>1013</v>
      </c>
      <c r="E114" s="1951" t="s">
        <v>1014</v>
      </c>
      <c r="F114" s="1953">
        <v>472.24</v>
      </c>
      <c r="G114" s="1953">
        <v>238</v>
      </c>
      <c r="H114" s="2670" t="s">
        <v>994</v>
      </c>
      <c r="I114" s="1953" t="s">
        <v>725</v>
      </c>
      <c r="J114" s="2654">
        <f t="shared" si="6"/>
        <v>7.93</v>
      </c>
      <c r="K114" s="2654">
        <f t="shared" si="7"/>
        <v>1348717.44</v>
      </c>
    </row>
    <row r="115" customHeight="1" spans="1:11">
      <c r="A115" s="1950" t="s">
        <v>719</v>
      </c>
      <c r="B115" s="1951" t="s">
        <v>853</v>
      </c>
      <c r="C115" s="1951" t="s">
        <v>828</v>
      </c>
      <c r="D115" s="1951" t="s">
        <v>1015</v>
      </c>
      <c r="E115" s="1951" t="s">
        <v>1016</v>
      </c>
      <c r="F115" s="1953">
        <v>216.19</v>
      </c>
      <c r="G115" s="1953">
        <v>280</v>
      </c>
      <c r="H115" s="1955" t="s">
        <v>1017</v>
      </c>
      <c r="I115" s="1953" t="s">
        <v>725</v>
      </c>
      <c r="J115" s="2654">
        <f t="shared" si="6"/>
        <v>9.33</v>
      </c>
      <c r="K115" s="2654">
        <f t="shared" si="7"/>
        <v>726398.4</v>
      </c>
    </row>
    <row r="116" customHeight="1" spans="1:11">
      <c r="A116" s="1950" t="s">
        <v>719</v>
      </c>
      <c r="B116" s="1951" t="s">
        <v>853</v>
      </c>
      <c r="C116" s="1951" t="s">
        <v>828</v>
      </c>
      <c r="D116" s="1951" t="s">
        <v>1018</v>
      </c>
      <c r="E116" s="1951" t="s">
        <v>1019</v>
      </c>
      <c r="F116" s="1953">
        <v>477.22</v>
      </c>
      <c r="G116" s="1953">
        <v>290</v>
      </c>
      <c r="H116" s="1955" t="s">
        <v>1020</v>
      </c>
      <c r="I116" s="1953" t="s">
        <v>725</v>
      </c>
      <c r="J116" s="2654">
        <f t="shared" si="6"/>
        <v>9.67</v>
      </c>
      <c r="K116" s="2654">
        <f t="shared" si="7"/>
        <v>1660725.6</v>
      </c>
    </row>
    <row r="117" customHeight="1" spans="1:11">
      <c r="A117" s="1950" t="s">
        <v>719</v>
      </c>
      <c r="B117" s="1951" t="s">
        <v>853</v>
      </c>
      <c r="C117" s="1951" t="s">
        <v>828</v>
      </c>
      <c r="D117" s="1951" t="s">
        <v>1021</v>
      </c>
      <c r="E117" s="1952"/>
      <c r="F117" s="1953">
        <v>237.87</v>
      </c>
      <c r="G117" s="1953"/>
      <c r="H117" s="1953"/>
      <c r="I117" s="1953" t="s">
        <v>731</v>
      </c>
      <c r="J117" s="2654">
        <f t="shared" si="6"/>
        <v>0</v>
      </c>
      <c r="K117" s="2654">
        <f t="shared" si="7"/>
        <v>0</v>
      </c>
    </row>
    <row r="118" customHeight="1" spans="1:11">
      <c r="A118" s="1950" t="s">
        <v>719</v>
      </c>
      <c r="B118" s="1951" t="s">
        <v>853</v>
      </c>
      <c r="C118" s="1951" t="s">
        <v>1022</v>
      </c>
      <c r="D118" s="1951" t="s">
        <v>1023</v>
      </c>
      <c r="E118" s="1951" t="s">
        <v>746</v>
      </c>
      <c r="F118" s="1953">
        <v>1157.5</v>
      </c>
      <c r="G118" s="1953">
        <v>300</v>
      </c>
      <c r="H118" s="1955" t="s">
        <v>777</v>
      </c>
      <c r="I118" s="1953" t="s">
        <v>725</v>
      </c>
      <c r="J118" s="2654">
        <f t="shared" si="6"/>
        <v>10</v>
      </c>
      <c r="K118" s="2654">
        <f t="shared" si="7"/>
        <v>4167000</v>
      </c>
    </row>
    <row r="119" customHeight="1" spans="1:11">
      <c r="A119" s="1950" t="s">
        <v>719</v>
      </c>
      <c r="B119" s="1951" t="s">
        <v>853</v>
      </c>
      <c r="C119" s="1951" t="s">
        <v>841</v>
      </c>
      <c r="D119" s="1951" t="s">
        <v>1024</v>
      </c>
      <c r="E119" s="1951" t="s">
        <v>1025</v>
      </c>
      <c r="F119" s="1953">
        <v>809.18</v>
      </c>
      <c r="G119" s="1953">
        <v>166</v>
      </c>
      <c r="H119" s="1953" t="s">
        <v>1026</v>
      </c>
      <c r="I119" s="1953" t="s">
        <v>725</v>
      </c>
      <c r="J119" s="2654">
        <f t="shared" si="6"/>
        <v>5.53</v>
      </c>
      <c r="K119" s="2654">
        <f t="shared" si="7"/>
        <v>1611886.56</v>
      </c>
    </row>
    <row r="120" customHeight="1" spans="1:11">
      <c r="A120" s="1950" t="s">
        <v>719</v>
      </c>
      <c r="B120" s="1951" t="s">
        <v>853</v>
      </c>
      <c r="C120" s="1951" t="s">
        <v>845</v>
      </c>
      <c r="D120" s="1951" t="s">
        <v>1027</v>
      </c>
      <c r="E120" s="1951" t="s">
        <v>1028</v>
      </c>
      <c r="F120" s="1953">
        <v>689.25</v>
      </c>
      <c r="G120" s="1953">
        <v>185</v>
      </c>
      <c r="H120" s="2670" t="s">
        <v>1029</v>
      </c>
      <c r="I120" s="1953" t="s">
        <v>725</v>
      </c>
      <c r="J120" s="2654">
        <f t="shared" si="6"/>
        <v>6.17</v>
      </c>
      <c r="K120" s="2654">
        <f t="shared" si="7"/>
        <v>1530135</v>
      </c>
    </row>
    <row r="121" customHeight="1" spans="1:17">
      <c r="A121" s="2679" t="s">
        <v>1030</v>
      </c>
      <c r="B121" s="1974"/>
      <c r="C121" s="1974"/>
      <c r="D121" s="1974"/>
      <c r="E121" s="1974"/>
      <c r="F121" s="1975">
        <f>SUM(F50:F120)</f>
        <v>32194.72</v>
      </c>
      <c r="G121" s="1975"/>
      <c r="H121" s="1975"/>
      <c r="I121" s="2685"/>
      <c r="K121" s="2652"/>
      <c r="M121" s="2654" t="s">
        <v>1031</v>
      </c>
      <c r="N121" s="2654" t="s">
        <v>1032</v>
      </c>
      <c r="O121" s="2654" t="s">
        <v>1033</v>
      </c>
      <c r="P121" s="2654" t="s">
        <v>717</v>
      </c>
      <c r="Q121" s="2654" t="s">
        <v>718</v>
      </c>
    </row>
    <row r="122" customHeight="1" spans="1:17">
      <c r="A122" s="2680" t="s">
        <v>719</v>
      </c>
      <c r="B122" s="2681"/>
      <c r="C122" s="2681"/>
      <c r="D122" s="2681"/>
      <c r="E122" s="2681"/>
      <c r="F122" s="2682">
        <f>F121+F49</f>
        <v>64058.29</v>
      </c>
      <c r="G122" s="2682"/>
      <c r="H122" s="2682"/>
      <c r="I122" s="2682"/>
      <c r="M122" s="2654">
        <f>M5+M50</f>
        <v>181585007.22</v>
      </c>
      <c r="N122" s="2654">
        <f>N5+N50</f>
        <v>55904.27</v>
      </c>
      <c r="O122" s="2654">
        <f>O5+O50</f>
        <v>63306.74</v>
      </c>
      <c r="P122" s="2654">
        <f>ROUND(M122/O122/365,2)</f>
        <v>7.86</v>
      </c>
      <c r="Q122" s="2654">
        <f>ROUND(M122/N122/365,3)</f>
        <v>8.899</v>
      </c>
    </row>
    <row r="123" customHeight="1" spans="1:14">
      <c r="A123" s="2683"/>
      <c r="N123" s="2654">
        <f>N122/F122</f>
        <v>0.872709371417813</v>
      </c>
    </row>
    <row r="126" customHeight="1" spans="13:21">
      <c r="M126" s="2686">
        <v>44167</v>
      </c>
      <c r="N126" s="2686">
        <v>44531</v>
      </c>
      <c r="O126" s="2686">
        <v>44896</v>
      </c>
      <c r="P126" s="2686">
        <v>45261</v>
      </c>
      <c r="Q126" s="2686">
        <v>45627</v>
      </c>
      <c r="R126" s="2686">
        <v>45992</v>
      </c>
      <c r="S126" s="2686">
        <v>46357</v>
      </c>
      <c r="T126" s="2686">
        <v>46722</v>
      </c>
      <c r="U126" s="2686">
        <v>46873</v>
      </c>
    </row>
    <row r="127" customHeight="1" spans="13:21">
      <c r="M127" s="2654">
        <v>9</v>
      </c>
      <c r="N127" s="2654">
        <f>ROUND(M127*(1+$N$128),2)</f>
        <v>9.27</v>
      </c>
      <c r="O127" s="2654">
        <f t="shared" ref="O127:T127" si="8">ROUND(N127*(1+$N$128),2)</f>
        <v>9.55</v>
      </c>
      <c r="P127" s="2654">
        <f t="shared" si="8"/>
        <v>9.84</v>
      </c>
      <c r="Q127" s="2654">
        <f t="shared" si="8"/>
        <v>10.14</v>
      </c>
      <c r="R127" s="2654">
        <f t="shared" si="8"/>
        <v>10.44</v>
      </c>
      <c r="S127" s="2654">
        <f t="shared" si="8"/>
        <v>10.75</v>
      </c>
      <c r="T127" s="2654">
        <f t="shared" si="8"/>
        <v>11.07</v>
      </c>
      <c r="U127" s="2654">
        <f>ROUND(T127*(1+$N$128)^0.41,2)</f>
        <v>11.2</v>
      </c>
    </row>
    <row r="128" customHeight="1" spans="13:16">
      <c r="M128" s="2687" t="s">
        <v>1034</v>
      </c>
      <c r="N128" s="2688">
        <v>0.03</v>
      </c>
      <c r="O128" s="2687" t="s">
        <v>1035</v>
      </c>
      <c r="P128" s="2688">
        <v>0.1</v>
      </c>
    </row>
    <row r="129" customHeight="1" spans="13:16">
      <c r="M129" s="2687" t="s">
        <v>1036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02"/>
  <sheetViews>
    <sheetView topLeftCell="A85" workbookViewId="0">
      <selection activeCell="B3" sqref="B3:J102"/>
    </sheetView>
  </sheetViews>
  <sheetFormatPr defaultColWidth="8" defaultRowHeight="13.5"/>
  <cols>
    <col min="1" max="16384" width="8" style="2647" customWidth="1"/>
  </cols>
  <sheetData>
    <row r="3" spans="2:10">
      <c r="B3" s="2648" t="s">
        <v>703</v>
      </c>
      <c r="C3" s="2648" t="s">
        <v>704</v>
      </c>
      <c r="D3" s="2648" t="s">
        <v>705</v>
      </c>
      <c r="E3" s="2648" t="s">
        <v>706</v>
      </c>
      <c r="F3" s="2648" t="s">
        <v>707</v>
      </c>
      <c r="G3" s="2648" t="s">
        <v>708</v>
      </c>
      <c r="H3" s="2648" t="s">
        <v>709</v>
      </c>
      <c r="I3" s="2649" t="s">
        <v>1037</v>
      </c>
      <c r="J3" s="2649" t="s">
        <v>1038</v>
      </c>
    </row>
    <row r="4" spans="2:10">
      <c r="B4" s="2648"/>
      <c r="C4" s="2648"/>
      <c r="D4" s="2648"/>
      <c r="E4" s="2648"/>
      <c r="F4" s="2648" t="s">
        <v>711</v>
      </c>
      <c r="G4" s="2648"/>
      <c r="H4" s="2648"/>
      <c r="I4" s="2650"/>
      <c r="J4" s="2650"/>
    </row>
    <row r="5" ht="48" spans="2:10">
      <c r="B5" s="2648" t="s">
        <v>720</v>
      </c>
      <c r="C5" s="2648" t="s">
        <v>721</v>
      </c>
      <c r="D5" s="2648" t="s">
        <v>722</v>
      </c>
      <c r="E5" s="2648" t="s">
        <v>723</v>
      </c>
      <c r="F5" s="2648">
        <v>1717.27</v>
      </c>
      <c r="G5" s="2648">
        <v>272</v>
      </c>
      <c r="H5" s="2648" t="s">
        <v>724</v>
      </c>
      <c r="I5" s="2648">
        <v>9.07</v>
      </c>
      <c r="J5" s="2648">
        <v>5605169.28</v>
      </c>
    </row>
    <row r="6" ht="36" spans="2:10">
      <c r="B6" s="2648" t="s">
        <v>720</v>
      </c>
      <c r="C6" s="2648" t="s">
        <v>726</v>
      </c>
      <c r="D6" s="2648" t="s">
        <v>727</v>
      </c>
      <c r="E6" s="2648" t="s">
        <v>728</v>
      </c>
      <c r="F6" s="2648">
        <v>985.46</v>
      </c>
      <c r="G6" s="2648">
        <v>270</v>
      </c>
      <c r="H6" s="2648" t="s">
        <v>729</v>
      </c>
      <c r="I6" s="2648">
        <v>9</v>
      </c>
      <c r="J6" s="2648">
        <v>3192890.4</v>
      </c>
    </row>
    <row r="7" ht="48" spans="2:10">
      <c r="B7" s="2648" t="s">
        <v>720</v>
      </c>
      <c r="C7" s="2648" t="s">
        <v>736</v>
      </c>
      <c r="D7" s="2648" t="s">
        <v>737</v>
      </c>
      <c r="E7" s="2648" t="s">
        <v>738</v>
      </c>
      <c r="F7" s="2648">
        <v>1680.01</v>
      </c>
      <c r="G7" s="2648">
        <v>290</v>
      </c>
      <c r="H7" s="2648" t="s">
        <v>739</v>
      </c>
      <c r="I7" s="2648">
        <v>9.67</v>
      </c>
      <c r="J7" s="2648">
        <v>5846434.8</v>
      </c>
    </row>
    <row r="8" ht="36" spans="2:10">
      <c r="B8" s="2648" t="s">
        <v>720</v>
      </c>
      <c r="C8" s="2648" t="s">
        <v>740</v>
      </c>
      <c r="D8" s="2648" t="s">
        <v>741</v>
      </c>
      <c r="E8" s="2648" t="s">
        <v>742</v>
      </c>
      <c r="F8" s="2648">
        <v>1670.69</v>
      </c>
      <c r="G8" s="2648">
        <v>287</v>
      </c>
      <c r="H8" s="2648" t="s">
        <v>743</v>
      </c>
      <c r="I8" s="2648">
        <v>9.57</v>
      </c>
      <c r="J8" s="2648">
        <v>5753856.36</v>
      </c>
    </row>
    <row r="9" ht="36" spans="2:10">
      <c r="B9" s="2648" t="s">
        <v>720</v>
      </c>
      <c r="C9" s="2648" t="s">
        <v>744</v>
      </c>
      <c r="D9" s="2648" t="s">
        <v>745</v>
      </c>
      <c r="E9" s="2648" t="s">
        <v>746</v>
      </c>
      <c r="F9" s="2648">
        <v>945.91</v>
      </c>
      <c r="G9" s="2648">
        <v>295</v>
      </c>
      <c r="H9" s="2648" t="s">
        <v>747</v>
      </c>
      <c r="I9" s="2648">
        <v>9.83</v>
      </c>
      <c r="J9" s="2648">
        <v>3348521.4</v>
      </c>
    </row>
    <row r="10" ht="36" spans="2:10">
      <c r="B10" s="2648" t="s">
        <v>720</v>
      </c>
      <c r="C10" s="2648" t="s">
        <v>744</v>
      </c>
      <c r="D10" s="2648" t="s">
        <v>748</v>
      </c>
      <c r="E10" s="2648" t="s">
        <v>749</v>
      </c>
      <c r="F10" s="2648">
        <v>258.3</v>
      </c>
      <c r="G10" s="2648">
        <v>290</v>
      </c>
      <c r="H10" s="2648" t="s">
        <v>750</v>
      </c>
      <c r="I10" s="2648">
        <v>9.67</v>
      </c>
      <c r="J10" s="2648">
        <v>898884</v>
      </c>
    </row>
    <row r="11" ht="15" customHeight="1" spans="2:10">
      <c r="B11" s="2648" t="s">
        <v>720</v>
      </c>
      <c r="C11" s="2648" t="s">
        <v>744</v>
      </c>
      <c r="D11" s="2648" t="s">
        <v>751</v>
      </c>
      <c r="E11" s="2648" t="s">
        <v>752</v>
      </c>
      <c r="F11" s="2648">
        <v>242.04</v>
      </c>
      <c r="G11" s="2648">
        <v>290</v>
      </c>
      <c r="H11" s="2648" t="s">
        <v>753</v>
      </c>
      <c r="I11" s="2648">
        <v>9.67</v>
      </c>
      <c r="J11" s="2648">
        <v>842299.2</v>
      </c>
    </row>
    <row r="12" ht="36" spans="2:10">
      <c r="B12" s="2648" t="s">
        <v>720</v>
      </c>
      <c r="C12" s="2648" t="s">
        <v>744</v>
      </c>
      <c r="D12" s="2648" t="s">
        <v>754</v>
      </c>
      <c r="E12" s="2648" t="s">
        <v>755</v>
      </c>
      <c r="F12" s="2648">
        <v>205.81</v>
      </c>
      <c r="G12" s="2648">
        <v>295</v>
      </c>
      <c r="H12" s="2648" t="s">
        <v>756</v>
      </c>
      <c r="I12" s="2648">
        <v>9.83</v>
      </c>
      <c r="J12" s="2648">
        <v>728567.4</v>
      </c>
    </row>
    <row r="13" ht="36" spans="2:10">
      <c r="B13" s="2648" t="s">
        <v>720</v>
      </c>
      <c r="C13" s="2648" t="s">
        <v>757</v>
      </c>
      <c r="D13" s="2648" t="s">
        <v>758</v>
      </c>
      <c r="E13" s="2648" t="s">
        <v>759</v>
      </c>
      <c r="F13" s="2648">
        <v>185.93</v>
      </c>
      <c r="G13" s="2648">
        <v>290</v>
      </c>
      <c r="H13" s="2648" t="s">
        <v>760</v>
      </c>
      <c r="I13" s="2648">
        <v>9.67</v>
      </c>
      <c r="J13" s="2648">
        <v>647036.4</v>
      </c>
    </row>
    <row r="14" ht="48" spans="2:10">
      <c r="B14" s="2648" t="s">
        <v>720</v>
      </c>
      <c r="C14" s="2648" t="s">
        <v>757</v>
      </c>
      <c r="D14" s="2648" t="s">
        <v>761</v>
      </c>
      <c r="E14" s="2648" t="s">
        <v>762</v>
      </c>
      <c r="F14" s="2648">
        <v>253.39</v>
      </c>
      <c r="G14" s="2648">
        <v>220</v>
      </c>
      <c r="H14" s="2648" t="s">
        <v>763</v>
      </c>
      <c r="I14" s="2648">
        <v>7.33</v>
      </c>
      <c r="J14" s="2648">
        <v>668949.6</v>
      </c>
    </row>
    <row r="15" ht="48" spans="2:10">
      <c r="B15" s="2648" t="s">
        <v>720</v>
      </c>
      <c r="C15" s="2648" t="s">
        <v>757</v>
      </c>
      <c r="D15" s="2648" t="s">
        <v>764</v>
      </c>
      <c r="E15" s="2648" t="s">
        <v>765</v>
      </c>
      <c r="F15" s="2648">
        <v>448.05</v>
      </c>
      <c r="G15" s="2648">
        <v>290</v>
      </c>
      <c r="H15" s="2648" t="s">
        <v>766</v>
      </c>
      <c r="I15" s="2648">
        <v>9.67</v>
      </c>
      <c r="J15" s="2648">
        <v>1559214</v>
      </c>
    </row>
    <row r="16" ht="48" spans="2:10">
      <c r="B16" s="2648" t="s">
        <v>720</v>
      </c>
      <c r="C16" s="2648" t="s">
        <v>757</v>
      </c>
      <c r="D16" s="2648" t="s">
        <v>767</v>
      </c>
      <c r="E16" s="2648" t="s">
        <v>768</v>
      </c>
      <c r="F16" s="2648">
        <v>122.97</v>
      </c>
      <c r="G16" s="2648">
        <v>260</v>
      </c>
      <c r="H16" s="2648" t="s">
        <v>769</v>
      </c>
      <c r="I16" s="2648">
        <v>8.67</v>
      </c>
      <c r="J16" s="2648">
        <v>383666.4</v>
      </c>
    </row>
    <row r="17" ht="36" spans="2:10">
      <c r="B17" s="2648" t="s">
        <v>720</v>
      </c>
      <c r="C17" s="2648" t="s">
        <v>757</v>
      </c>
      <c r="D17" s="2648" t="s">
        <v>770</v>
      </c>
      <c r="E17" s="2648" t="s">
        <v>771</v>
      </c>
      <c r="F17" s="2648">
        <v>189.74</v>
      </c>
      <c r="G17" s="2648">
        <v>220</v>
      </c>
      <c r="H17" s="2648" t="s">
        <v>772</v>
      </c>
      <c r="I17" s="2648">
        <v>7.33</v>
      </c>
      <c r="J17" s="2648">
        <v>500913.6</v>
      </c>
    </row>
    <row r="18" ht="36" spans="2:10">
      <c r="B18" s="2648" t="s">
        <v>720</v>
      </c>
      <c r="C18" s="2648" t="s">
        <v>757</v>
      </c>
      <c r="D18" s="2648" t="s">
        <v>773</v>
      </c>
      <c r="E18" s="2648" t="s">
        <v>774</v>
      </c>
      <c r="F18" s="2648">
        <v>442.73</v>
      </c>
      <c r="G18" s="2648">
        <v>220</v>
      </c>
      <c r="H18" s="2648" t="s">
        <v>772</v>
      </c>
      <c r="I18" s="2648">
        <v>7.33</v>
      </c>
      <c r="J18" s="2648">
        <v>1168807.2</v>
      </c>
    </row>
    <row r="19" ht="36" spans="2:10">
      <c r="B19" s="2648" t="s">
        <v>720</v>
      </c>
      <c r="C19" s="2648" t="s">
        <v>775</v>
      </c>
      <c r="D19" s="2648" t="s">
        <v>776</v>
      </c>
      <c r="E19" s="2648" t="s">
        <v>746</v>
      </c>
      <c r="F19" s="2648">
        <v>3238.92</v>
      </c>
      <c r="G19" s="2648">
        <v>300</v>
      </c>
      <c r="H19" s="2648" t="s">
        <v>777</v>
      </c>
      <c r="I19" s="2648">
        <v>10</v>
      </c>
      <c r="J19" s="2648">
        <v>11660112</v>
      </c>
    </row>
    <row r="20" ht="48" spans="2:10">
      <c r="B20" s="2648" t="s">
        <v>720</v>
      </c>
      <c r="C20" s="2648" t="s">
        <v>778</v>
      </c>
      <c r="D20" s="2648" t="s">
        <v>779</v>
      </c>
      <c r="E20" s="2648" t="s">
        <v>738</v>
      </c>
      <c r="F20" s="2648">
        <v>3183.02</v>
      </c>
      <c r="G20" s="2648">
        <v>260</v>
      </c>
      <c r="H20" s="2648" t="s">
        <v>769</v>
      </c>
      <c r="I20" s="2648">
        <v>8.67</v>
      </c>
      <c r="J20" s="2648">
        <v>9931022.4</v>
      </c>
    </row>
    <row r="21" ht="36" spans="2:10">
      <c r="B21" s="2648" t="s">
        <v>720</v>
      </c>
      <c r="C21" s="2648" t="s">
        <v>780</v>
      </c>
      <c r="D21" s="2648" t="s">
        <v>781</v>
      </c>
      <c r="E21" s="2648" t="s">
        <v>782</v>
      </c>
      <c r="F21" s="2648">
        <v>940.21</v>
      </c>
      <c r="G21" s="2648">
        <v>290</v>
      </c>
      <c r="H21" s="2648" t="s">
        <v>783</v>
      </c>
      <c r="I21" s="2648">
        <v>9.67</v>
      </c>
      <c r="J21" s="2648">
        <v>3271930.8</v>
      </c>
    </row>
    <row r="22" ht="48" spans="2:10">
      <c r="B22" s="2648" t="s">
        <v>720</v>
      </c>
      <c r="C22" s="2648" t="s">
        <v>785</v>
      </c>
      <c r="D22" s="2648" t="s">
        <v>786</v>
      </c>
      <c r="E22" s="2648" t="s">
        <v>787</v>
      </c>
      <c r="F22" s="2648">
        <v>827.11</v>
      </c>
      <c r="G22" s="2648">
        <v>280</v>
      </c>
      <c r="H22" s="2648" t="s">
        <v>788</v>
      </c>
      <c r="I22" s="2648">
        <v>9.33</v>
      </c>
      <c r="J22" s="2648">
        <v>2779089.6</v>
      </c>
    </row>
    <row r="23" ht="48" spans="2:10">
      <c r="B23" s="2648" t="s">
        <v>720</v>
      </c>
      <c r="C23" s="2648" t="s">
        <v>785</v>
      </c>
      <c r="D23" s="2648" t="s">
        <v>789</v>
      </c>
      <c r="E23" s="2648" t="s">
        <v>790</v>
      </c>
      <c r="F23" s="2648">
        <v>118.41</v>
      </c>
      <c r="G23" s="2648">
        <v>280</v>
      </c>
      <c r="H23" s="2648" t="s">
        <v>788</v>
      </c>
      <c r="I23" s="2648">
        <v>9.33</v>
      </c>
      <c r="J23" s="2648">
        <v>397857.6</v>
      </c>
    </row>
    <row r="24" ht="36" spans="2:10">
      <c r="B24" s="2648" t="s">
        <v>720</v>
      </c>
      <c r="C24" s="2648" t="s">
        <v>785</v>
      </c>
      <c r="D24" s="2648" t="s">
        <v>791</v>
      </c>
      <c r="E24" s="2648" t="s">
        <v>792</v>
      </c>
      <c r="F24" s="2648">
        <v>193.85</v>
      </c>
      <c r="G24" s="2648">
        <v>280</v>
      </c>
      <c r="H24" s="2648" t="s">
        <v>788</v>
      </c>
      <c r="I24" s="2648">
        <v>9.33</v>
      </c>
      <c r="J24" s="2648">
        <v>651336</v>
      </c>
    </row>
    <row r="25" ht="36" spans="2:10">
      <c r="B25" s="2648" t="s">
        <v>720</v>
      </c>
      <c r="C25" s="2648" t="s">
        <v>785</v>
      </c>
      <c r="D25" s="2648" t="s">
        <v>793</v>
      </c>
      <c r="E25" s="2648" t="s">
        <v>794</v>
      </c>
      <c r="F25" s="2648">
        <v>156.5</v>
      </c>
      <c r="G25" s="2648">
        <v>280</v>
      </c>
      <c r="H25" s="2648" t="s">
        <v>788</v>
      </c>
      <c r="I25" s="2648">
        <v>9.33</v>
      </c>
      <c r="J25" s="2648">
        <v>525840</v>
      </c>
    </row>
    <row r="26" ht="48" spans="2:10">
      <c r="B26" s="2648" t="s">
        <v>720</v>
      </c>
      <c r="C26" s="2648" t="s">
        <v>785</v>
      </c>
      <c r="D26" s="2648" t="s">
        <v>795</v>
      </c>
      <c r="E26" s="2648" t="s">
        <v>796</v>
      </c>
      <c r="F26" s="2648">
        <v>265.52</v>
      </c>
      <c r="G26" s="2648">
        <v>280</v>
      </c>
      <c r="H26" s="2648" t="s">
        <v>788</v>
      </c>
      <c r="I26" s="2648">
        <v>9.33</v>
      </c>
      <c r="J26" s="2648">
        <v>892147.2</v>
      </c>
    </row>
    <row r="27" ht="48" spans="2:10">
      <c r="B27" s="2648" t="s">
        <v>720</v>
      </c>
      <c r="C27" s="2648" t="s">
        <v>797</v>
      </c>
      <c r="D27" s="2648" t="s">
        <v>798</v>
      </c>
      <c r="E27" s="2648" t="s">
        <v>799</v>
      </c>
      <c r="F27" s="2648">
        <v>901.48</v>
      </c>
      <c r="G27" s="2648">
        <v>226</v>
      </c>
      <c r="H27" s="2648" t="s">
        <v>800</v>
      </c>
      <c r="I27" s="2648">
        <v>7.53</v>
      </c>
      <c r="J27" s="2648">
        <v>2444813.76</v>
      </c>
    </row>
    <row r="28" ht="36" spans="2:10">
      <c r="B28" s="2648" t="s">
        <v>720</v>
      </c>
      <c r="C28" s="2648" t="s">
        <v>797</v>
      </c>
      <c r="D28" s="2648" t="s">
        <v>802</v>
      </c>
      <c r="E28" s="2648" t="s">
        <v>803</v>
      </c>
      <c r="F28" s="2648">
        <v>641.28</v>
      </c>
      <c r="G28" s="2648">
        <v>286</v>
      </c>
      <c r="H28" s="2648" t="s">
        <v>804</v>
      </c>
      <c r="I28" s="2648">
        <v>9.53</v>
      </c>
      <c r="J28" s="2648">
        <v>2200872.96</v>
      </c>
    </row>
    <row r="29" ht="36" spans="2:10">
      <c r="B29" s="2648" t="s">
        <v>720</v>
      </c>
      <c r="C29" s="2648" t="s">
        <v>797</v>
      </c>
      <c r="D29" s="2648" t="s">
        <v>805</v>
      </c>
      <c r="E29" s="2648" t="s">
        <v>806</v>
      </c>
      <c r="F29" s="2648">
        <v>177.19</v>
      </c>
      <c r="G29" s="2648">
        <v>243</v>
      </c>
      <c r="H29" s="2648" t="s">
        <v>807</v>
      </c>
      <c r="I29" s="2648">
        <v>8.1</v>
      </c>
      <c r="J29" s="2648">
        <v>516686.04</v>
      </c>
    </row>
    <row r="30" ht="36" spans="2:10">
      <c r="B30" s="2648" t="s">
        <v>720</v>
      </c>
      <c r="C30" s="2648" t="s">
        <v>808</v>
      </c>
      <c r="D30" s="2648" t="s">
        <v>809</v>
      </c>
      <c r="E30" s="2648" t="s">
        <v>810</v>
      </c>
      <c r="F30" s="2648">
        <v>239.17</v>
      </c>
      <c r="G30" s="2648">
        <v>300</v>
      </c>
      <c r="H30" s="2648" t="s">
        <v>811</v>
      </c>
      <c r="I30" s="2648">
        <v>10</v>
      </c>
      <c r="J30" s="2648">
        <v>861012</v>
      </c>
    </row>
    <row r="31" ht="36" spans="2:10">
      <c r="B31" s="2648" t="s">
        <v>720</v>
      </c>
      <c r="C31" s="2648" t="s">
        <v>808</v>
      </c>
      <c r="D31" s="2648" t="s">
        <v>812</v>
      </c>
      <c r="E31" s="2648" t="s">
        <v>813</v>
      </c>
      <c r="F31" s="2648">
        <v>391.8</v>
      </c>
      <c r="G31" s="2648">
        <v>294</v>
      </c>
      <c r="H31" s="2648" t="s">
        <v>814</v>
      </c>
      <c r="I31" s="2648">
        <v>9.8</v>
      </c>
      <c r="J31" s="2648">
        <v>1382270.4</v>
      </c>
    </row>
    <row r="32" ht="36" spans="2:10">
      <c r="B32" s="2648" t="s">
        <v>720</v>
      </c>
      <c r="C32" s="2648" t="s">
        <v>817</v>
      </c>
      <c r="D32" s="2648" t="s">
        <v>818</v>
      </c>
      <c r="E32" s="2648" t="s">
        <v>819</v>
      </c>
      <c r="F32" s="2648">
        <v>1310.1</v>
      </c>
      <c r="G32" s="2648">
        <v>302</v>
      </c>
      <c r="H32" s="2648" t="s">
        <v>788</v>
      </c>
      <c r="I32" s="2648">
        <v>10.07</v>
      </c>
      <c r="J32" s="2648">
        <v>4747802.4</v>
      </c>
    </row>
    <row r="33" ht="36" spans="2:10">
      <c r="B33" s="2648" t="s">
        <v>720</v>
      </c>
      <c r="C33" s="2648" t="s">
        <v>820</v>
      </c>
      <c r="D33" s="2648" t="s">
        <v>821</v>
      </c>
      <c r="E33" s="2648" t="s">
        <v>822</v>
      </c>
      <c r="F33" s="2648">
        <v>204.72</v>
      </c>
      <c r="G33" s="2648">
        <v>302</v>
      </c>
      <c r="H33" s="2648" t="s">
        <v>788</v>
      </c>
      <c r="I33" s="2648">
        <v>10.07</v>
      </c>
      <c r="J33" s="2648">
        <v>741905.28</v>
      </c>
    </row>
    <row r="34" ht="36" spans="2:10">
      <c r="B34" s="2648" t="s">
        <v>720</v>
      </c>
      <c r="C34" s="2648" t="s">
        <v>820</v>
      </c>
      <c r="D34" s="2648" t="s">
        <v>823</v>
      </c>
      <c r="E34" s="2648" t="s">
        <v>824</v>
      </c>
      <c r="F34" s="2648">
        <v>2415.16</v>
      </c>
      <c r="G34" s="2648">
        <v>286</v>
      </c>
      <c r="H34" s="2648" t="s">
        <v>825</v>
      </c>
      <c r="I34" s="2648">
        <v>9.53</v>
      </c>
      <c r="J34" s="2648">
        <v>8288829.12</v>
      </c>
    </row>
    <row r="35" ht="36" spans="2:10">
      <c r="B35" s="2648" t="s">
        <v>720</v>
      </c>
      <c r="C35" s="2648" t="s">
        <v>828</v>
      </c>
      <c r="D35" s="2648" t="s">
        <v>829</v>
      </c>
      <c r="E35" s="2648" t="s">
        <v>830</v>
      </c>
      <c r="F35" s="2648">
        <v>252.36</v>
      </c>
      <c r="G35" s="2648">
        <v>292</v>
      </c>
      <c r="H35" s="2648" t="s">
        <v>831</v>
      </c>
      <c r="I35" s="2648">
        <v>9.73</v>
      </c>
      <c r="J35" s="2648">
        <v>884269.44</v>
      </c>
    </row>
    <row r="36" ht="36" spans="2:10">
      <c r="B36" s="2648" t="s">
        <v>720</v>
      </c>
      <c r="C36" s="2648" t="s">
        <v>828</v>
      </c>
      <c r="D36" s="2648" t="s">
        <v>832</v>
      </c>
      <c r="E36" s="2648" t="s">
        <v>833</v>
      </c>
      <c r="F36" s="2648">
        <v>126.18</v>
      </c>
      <c r="G36" s="2648">
        <v>292</v>
      </c>
      <c r="H36" s="2648" t="s">
        <v>831</v>
      </c>
      <c r="I36" s="2648">
        <v>9.73</v>
      </c>
      <c r="J36" s="2648">
        <v>442134.72</v>
      </c>
    </row>
    <row r="37" ht="36" spans="2:10">
      <c r="B37" s="2648" t="s">
        <v>720</v>
      </c>
      <c r="C37" s="2648" t="s">
        <v>828</v>
      </c>
      <c r="D37" s="2648" t="s">
        <v>834</v>
      </c>
      <c r="E37" s="2648" t="s">
        <v>835</v>
      </c>
      <c r="F37" s="2648">
        <v>452.7</v>
      </c>
      <c r="G37" s="2648">
        <v>291</v>
      </c>
      <c r="H37" s="2648" t="s">
        <v>836</v>
      </c>
      <c r="I37" s="2648">
        <v>9.7</v>
      </c>
      <c r="J37" s="2648">
        <v>1580828.4</v>
      </c>
    </row>
    <row r="38" ht="36" spans="2:10">
      <c r="B38" s="2648" t="s">
        <v>720</v>
      </c>
      <c r="C38" s="2648" t="s">
        <v>837</v>
      </c>
      <c r="D38" s="2648" t="s">
        <v>838</v>
      </c>
      <c r="E38" s="2648" t="s">
        <v>839</v>
      </c>
      <c r="F38" s="2648">
        <v>921.5</v>
      </c>
      <c r="G38" s="2648">
        <v>364.13</v>
      </c>
      <c r="H38" s="2648" t="s">
        <v>840</v>
      </c>
      <c r="I38" s="2648">
        <v>12.14</v>
      </c>
      <c r="J38" s="2648">
        <v>4026549.54</v>
      </c>
    </row>
    <row r="39" ht="36" spans="2:10">
      <c r="B39" s="2648" t="s">
        <v>720</v>
      </c>
      <c r="C39" s="2648" t="s">
        <v>841</v>
      </c>
      <c r="D39" s="2648" t="s">
        <v>842</v>
      </c>
      <c r="E39" s="2648" t="s">
        <v>843</v>
      </c>
      <c r="F39" s="2648">
        <v>808.78</v>
      </c>
      <c r="G39" s="2648">
        <v>280</v>
      </c>
      <c r="H39" s="2648" t="s">
        <v>844</v>
      </c>
      <c r="I39" s="2648">
        <v>9.33</v>
      </c>
      <c r="J39" s="2648">
        <v>2717500.8</v>
      </c>
    </row>
    <row r="40" ht="36" spans="2:10">
      <c r="B40" s="2648" t="s">
        <v>720</v>
      </c>
      <c r="C40" s="2648" t="s">
        <v>845</v>
      </c>
      <c r="D40" s="2648" t="s">
        <v>846</v>
      </c>
      <c r="E40" s="2648" t="s">
        <v>847</v>
      </c>
      <c r="F40" s="2648">
        <v>736.24</v>
      </c>
      <c r="G40" s="2648">
        <v>185</v>
      </c>
      <c r="H40" s="2648" t="s">
        <v>848</v>
      </c>
      <c r="I40" s="2648">
        <v>6.17</v>
      </c>
      <c r="J40" s="2648">
        <v>1634452.8</v>
      </c>
    </row>
    <row r="41" ht="36" spans="2:10">
      <c r="B41" s="2648" t="s">
        <v>853</v>
      </c>
      <c r="C41" s="2648" t="s">
        <v>721</v>
      </c>
      <c r="D41" s="2648" t="s">
        <v>855</v>
      </c>
      <c r="E41" s="2648" t="s">
        <v>856</v>
      </c>
      <c r="F41" s="2648">
        <v>237.48</v>
      </c>
      <c r="G41" s="2648">
        <v>295</v>
      </c>
      <c r="H41" s="2648" t="s">
        <v>857</v>
      </c>
      <c r="I41" s="2648">
        <v>9.83</v>
      </c>
      <c r="J41" s="2648">
        <v>840679.2</v>
      </c>
    </row>
    <row r="42" ht="36" spans="2:10">
      <c r="B42" s="2648" t="s">
        <v>853</v>
      </c>
      <c r="C42" s="2648" t="s">
        <v>721</v>
      </c>
      <c r="D42" s="2648" t="s">
        <v>858</v>
      </c>
      <c r="E42" s="2648" t="s">
        <v>859</v>
      </c>
      <c r="F42" s="2648">
        <v>337.26</v>
      </c>
      <c r="G42" s="2648">
        <v>290</v>
      </c>
      <c r="H42" s="2648" t="s">
        <v>860</v>
      </c>
      <c r="I42" s="2648">
        <v>9.67</v>
      </c>
      <c r="J42" s="2648">
        <v>1173664.8</v>
      </c>
    </row>
    <row r="43" ht="48" spans="2:10">
      <c r="B43" s="2648" t="s">
        <v>853</v>
      </c>
      <c r="C43" s="2648" t="s">
        <v>721</v>
      </c>
      <c r="D43" s="2648" t="s">
        <v>861</v>
      </c>
      <c r="E43" s="2648" t="s">
        <v>862</v>
      </c>
      <c r="F43" s="2648">
        <v>170.86</v>
      </c>
      <c r="G43" s="2648">
        <v>270</v>
      </c>
      <c r="H43" s="2648" t="s">
        <v>863</v>
      </c>
      <c r="I43" s="2648">
        <v>9</v>
      </c>
      <c r="J43" s="2648">
        <v>553586.4</v>
      </c>
    </row>
    <row r="44" ht="36" spans="2:10">
      <c r="B44" s="2648" t="s">
        <v>853</v>
      </c>
      <c r="C44" s="2648" t="s">
        <v>721</v>
      </c>
      <c r="D44" s="2648" t="s">
        <v>864</v>
      </c>
      <c r="E44" s="2648" t="s">
        <v>865</v>
      </c>
      <c r="F44" s="2648">
        <v>420.61</v>
      </c>
      <c r="G44" s="2648">
        <v>270</v>
      </c>
      <c r="H44" s="2648" t="s">
        <v>863</v>
      </c>
      <c r="I44" s="2648">
        <v>9</v>
      </c>
      <c r="J44" s="2648">
        <v>1362776.4</v>
      </c>
    </row>
    <row r="45" ht="48" spans="2:10">
      <c r="B45" s="2648" t="s">
        <v>853</v>
      </c>
      <c r="C45" s="2648" t="s">
        <v>726</v>
      </c>
      <c r="D45" s="2648" t="s">
        <v>868</v>
      </c>
      <c r="E45" s="2648" t="s">
        <v>869</v>
      </c>
      <c r="F45" s="2648">
        <v>385.42</v>
      </c>
      <c r="G45" s="2648">
        <v>286</v>
      </c>
      <c r="H45" s="2648" t="s">
        <v>870</v>
      </c>
      <c r="I45" s="2648">
        <v>9.53</v>
      </c>
      <c r="J45" s="2648">
        <v>1322761.44</v>
      </c>
    </row>
    <row r="46" ht="36" spans="2:10">
      <c r="B46" s="2648" t="s">
        <v>853</v>
      </c>
      <c r="C46" s="2648" t="s">
        <v>726</v>
      </c>
      <c r="D46" s="2648" t="s">
        <v>871</v>
      </c>
      <c r="E46" s="2648" t="s">
        <v>872</v>
      </c>
      <c r="F46" s="2648">
        <v>201.27</v>
      </c>
      <c r="G46" s="2648">
        <v>280</v>
      </c>
      <c r="H46" s="2648" t="s">
        <v>873</v>
      </c>
      <c r="I46" s="2648">
        <v>9.33</v>
      </c>
      <c r="J46" s="2648">
        <v>676267.2</v>
      </c>
    </row>
    <row r="47" ht="48" spans="2:10">
      <c r="B47" s="2648" t="s">
        <v>853</v>
      </c>
      <c r="C47" s="2648" t="s">
        <v>732</v>
      </c>
      <c r="D47" s="2648" t="s">
        <v>874</v>
      </c>
      <c r="E47" s="2648" t="s">
        <v>875</v>
      </c>
      <c r="F47" s="2648">
        <v>707.36</v>
      </c>
      <c r="G47" s="2648">
        <v>283</v>
      </c>
      <c r="H47" s="2648" t="s">
        <v>876</v>
      </c>
      <c r="I47" s="2648">
        <v>9.43</v>
      </c>
      <c r="J47" s="2648">
        <v>2402194.56</v>
      </c>
    </row>
    <row r="48" ht="36" spans="2:10">
      <c r="B48" s="2648" t="s">
        <v>853</v>
      </c>
      <c r="C48" s="2648" t="s">
        <v>732</v>
      </c>
      <c r="D48" s="2648" t="s">
        <v>877</v>
      </c>
      <c r="E48" s="2648" t="s">
        <v>878</v>
      </c>
      <c r="F48" s="2648">
        <v>73</v>
      </c>
      <c r="G48" s="2648">
        <v>283</v>
      </c>
      <c r="H48" s="2648" t="s">
        <v>876</v>
      </c>
      <c r="I48" s="2648">
        <v>9.43</v>
      </c>
      <c r="J48" s="2648">
        <v>247908</v>
      </c>
    </row>
    <row r="49" ht="36" spans="2:10">
      <c r="B49" s="2648" t="s">
        <v>853</v>
      </c>
      <c r="C49" s="2648" t="s">
        <v>732</v>
      </c>
      <c r="D49" s="2648" t="s">
        <v>879</v>
      </c>
      <c r="E49" s="2648" t="s">
        <v>880</v>
      </c>
      <c r="F49" s="2648">
        <v>207</v>
      </c>
      <c r="G49" s="2648">
        <v>283</v>
      </c>
      <c r="H49" s="2648" t="s">
        <v>876</v>
      </c>
      <c r="I49" s="2648">
        <v>9.43</v>
      </c>
      <c r="J49" s="2648">
        <v>702972</v>
      </c>
    </row>
    <row r="50" ht="36" spans="2:10">
      <c r="B50" s="2648" t="s">
        <v>853</v>
      </c>
      <c r="C50" s="2648" t="s">
        <v>732</v>
      </c>
      <c r="D50" s="2648" t="s">
        <v>881</v>
      </c>
      <c r="E50" s="2648" t="s">
        <v>882</v>
      </c>
      <c r="F50" s="2648">
        <v>337.58</v>
      </c>
      <c r="G50" s="2648">
        <v>290</v>
      </c>
      <c r="H50" s="2648" t="s">
        <v>883</v>
      </c>
      <c r="I50" s="2648">
        <v>9.67</v>
      </c>
      <c r="J50" s="2648">
        <v>1174778.4</v>
      </c>
    </row>
    <row r="51" ht="36" spans="2:10">
      <c r="B51" s="2648" t="s">
        <v>853</v>
      </c>
      <c r="C51" s="2648" t="s">
        <v>732</v>
      </c>
      <c r="D51" s="2648" t="s">
        <v>884</v>
      </c>
      <c r="E51" s="2648" t="s">
        <v>885</v>
      </c>
      <c r="F51" s="2648">
        <v>171.01</v>
      </c>
      <c r="G51" s="2648">
        <v>270</v>
      </c>
      <c r="H51" s="2648" t="s">
        <v>886</v>
      </c>
      <c r="I51" s="2648">
        <v>9</v>
      </c>
      <c r="J51" s="2648">
        <v>554072.4</v>
      </c>
    </row>
    <row r="52" ht="36" spans="2:10">
      <c r="B52" s="2648" t="s">
        <v>853</v>
      </c>
      <c r="C52" s="2648" t="s">
        <v>732</v>
      </c>
      <c r="D52" s="2648" t="s">
        <v>887</v>
      </c>
      <c r="E52" s="2648" t="s">
        <v>888</v>
      </c>
      <c r="F52" s="2648">
        <v>209.53</v>
      </c>
      <c r="G52" s="2648">
        <v>268</v>
      </c>
      <c r="H52" s="2648" t="s">
        <v>889</v>
      </c>
      <c r="I52" s="2648">
        <v>8.93</v>
      </c>
      <c r="J52" s="2648">
        <v>673848.48</v>
      </c>
    </row>
    <row r="53" ht="36" spans="2:10">
      <c r="B53" s="2648" t="s">
        <v>853</v>
      </c>
      <c r="C53" s="2648" t="s">
        <v>736</v>
      </c>
      <c r="D53" s="2648" t="s">
        <v>890</v>
      </c>
      <c r="E53" s="2648" t="s">
        <v>891</v>
      </c>
      <c r="F53" s="2648">
        <v>553.58</v>
      </c>
      <c r="G53" s="2648">
        <v>260</v>
      </c>
      <c r="H53" s="2648" t="s">
        <v>892</v>
      </c>
      <c r="I53" s="2648">
        <v>8.67</v>
      </c>
      <c r="J53" s="2648">
        <v>1727169.6</v>
      </c>
    </row>
    <row r="54" ht="36" spans="2:10">
      <c r="B54" s="2648" t="s">
        <v>853</v>
      </c>
      <c r="C54" s="2648" t="s">
        <v>736</v>
      </c>
      <c r="D54" s="2648" t="s">
        <v>893</v>
      </c>
      <c r="E54" s="2648" t="s">
        <v>894</v>
      </c>
      <c r="F54" s="2648">
        <v>217.27</v>
      </c>
      <c r="G54" s="2648">
        <v>288</v>
      </c>
      <c r="H54" s="2648" t="s">
        <v>895</v>
      </c>
      <c r="I54" s="2648">
        <v>9.6</v>
      </c>
      <c r="J54" s="2648">
        <v>750885.12</v>
      </c>
    </row>
    <row r="55" ht="48" spans="2:10">
      <c r="B55" s="2648" t="s">
        <v>853</v>
      </c>
      <c r="C55" s="2648" t="s">
        <v>740</v>
      </c>
      <c r="D55" s="2648" t="s">
        <v>898</v>
      </c>
      <c r="E55" s="2648" t="s">
        <v>899</v>
      </c>
      <c r="F55" s="2648">
        <v>205.73</v>
      </c>
      <c r="G55" s="2648">
        <v>280</v>
      </c>
      <c r="H55" s="2648" t="s">
        <v>900</v>
      </c>
      <c r="I55" s="2648">
        <v>9.33</v>
      </c>
      <c r="J55" s="2648">
        <v>691252.8</v>
      </c>
    </row>
    <row r="56" ht="36" spans="2:10">
      <c r="B56" s="2648" t="s">
        <v>853</v>
      </c>
      <c r="C56" s="2648" t="s">
        <v>740</v>
      </c>
      <c r="D56" s="2648" t="s">
        <v>901</v>
      </c>
      <c r="E56" s="2648" t="s">
        <v>902</v>
      </c>
      <c r="F56" s="2648">
        <v>241.94</v>
      </c>
      <c r="G56" s="2648">
        <v>280</v>
      </c>
      <c r="H56" s="2648" t="s">
        <v>900</v>
      </c>
      <c r="I56" s="2648">
        <v>9.33</v>
      </c>
      <c r="J56" s="2648">
        <v>812918.4</v>
      </c>
    </row>
    <row r="57" ht="48" spans="2:10">
      <c r="B57" s="2648" t="s">
        <v>853</v>
      </c>
      <c r="C57" s="2648" t="s">
        <v>740</v>
      </c>
      <c r="D57" s="2648" t="s">
        <v>903</v>
      </c>
      <c r="E57" s="2648" t="s">
        <v>904</v>
      </c>
      <c r="F57" s="2648">
        <v>263.23</v>
      </c>
      <c r="G57" s="2648">
        <v>280</v>
      </c>
      <c r="H57" s="2648" t="s">
        <v>900</v>
      </c>
      <c r="I57" s="2648">
        <v>9.33</v>
      </c>
      <c r="J57" s="2648">
        <v>884452.8</v>
      </c>
    </row>
    <row r="58" ht="36" spans="2:10">
      <c r="B58" s="2648" t="s">
        <v>853</v>
      </c>
      <c r="C58" s="2648" t="s">
        <v>740</v>
      </c>
      <c r="D58" s="2648" t="s">
        <v>906</v>
      </c>
      <c r="E58" s="2648" t="s">
        <v>907</v>
      </c>
      <c r="F58" s="2648">
        <v>132.92</v>
      </c>
      <c r="G58" s="2648">
        <v>280</v>
      </c>
      <c r="H58" s="2648" t="s">
        <v>900</v>
      </c>
      <c r="I58" s="2648">
        <v>9.33</v>
      </c>
      <c r="J58" s="2648">
        <v>446611.2</v>
      </c>
    </row>
    <row r="59" ht="36" spans="2:10">
      <c r="B59" s="2648" t="s">
        <v>853</v>
      </c>
      <c r="C59" s="2648" t="s">
        <v>744</v>
      </c>
      <c r="D59" s="2648" t="s">
        <v>908</v>
      </c>
      <c r="E59" s="2648" t="s">
        <v>909</v>
      </c>
      <c r="F59" s="2648">
        <v>205.91</v>
      </c>
      <c r="G59" s="2648">
        <v>280</v>
      </c>
      <c r="H59" s="2648" t="s">
        <v>910</v>
      </c>
      <c r="I59" s="2648">
        <v>9.33</v>
      </c>
      <c r="J59" s="2648">
        <v>691857.6</v>
      </c>
    </row>
    <row r="60" ht="48" spans="2:10">
      <c r="B60" s="2648" t="s">
        <v>853</v>
      </c>
      <c r="C60" s="2648" t="s">
        <v>744</v>
      </c>
      <c r="D60" s="2648" t="s">
        <v>911</v>
      </c>
      <c r="E60" s="2648" t="s">
        <v>912</v>
      </c>
      <c r="F60" s="2648">
        <v>242.16</v>
      </c>
      <c r="G60" s="2648">
        <v>280</v>
      </c>
      <c r="H60" s="2648" t="s">
        <v>910</v>
      </c>
      <c r="I60" s="2648">
        <v>9.33</v>
      </c>
      <c r="J60" s="2648">
        <v>813657.6</v>
      </c>
    </row>
    <row r="61" ht="36" spans="2:10">
      <c r="B61" s="2648" t="s">
        <v>853</v>
      </c>
      <c r="C61" s="2648" t="s">
        <v>744</v>
      </c>
      <c r="D61" s="2648" t="s">
        <v>913</v>
      </c>
      <c r="E61" s="2648" t="s">
        <v>914</v>
      </c>
      <c r="F61" s="2648">
        <v>258.43</v>
      </c>
      <c r="G61" s="2648">
        <v>280</v>
      </c>
      <c r="H61" s="2648" t="s">
        <v>910</v>
      </c>
      <c r="I61" s="2648">
        <v>9.33</v>
      </c>
      <c r="J61" s="2648">
        <v>868324.8</v>
      </c>
    </row>
    <row r="62" ht="48" spans="2:10">
      <c r="B62" s="2648" t="s">
        <v>853</v>
      </c>
      <c r="C62" s="2648" t="s">
        <v>744</v>
      </c>
      <c r="D62" s="2648" t="s">
        <v>915</v>
      </c>
      <c r="E62" s="2648" t="s">
        <v>916</v>
      </c>
      <c r="F62" s="2648">
        <v>625.31</v>
      </c>
      <c r="G62" s="2648">
        <v>210</v>
      </c>
      <c r="H62" s="2648" t="s">
        <v>917</v>
      </c>
      <c r="I62" s="2648">
        <v>7</v>
      </c>
      <c r="J62" s="2648">
        <v>1575781.2</v>
      </c>
    </row>
    <row r="63" ht="48" spans="2:10">
      <c r="B63" s="2648" t="s">
        <v>853</v>
      </c>
      <c r="C63" s="2648" t="s">
        <v>744</v>
      </c>
      <c r="D63" s="2648" t="s">
        <v>918</v>
      </c>
      <c r="E63" s="2648" t="s">
        <v>919</v>
      </c>
      <c r="F63" s="2648">
        <v>321.07</v>
      </c>
      <c r="G63" s="2648">
        <v>325</v>
      </c>
      <c r="H63" s="2648" t="s">
        <v>920</v>
      </c>
      <c r="I63" s="2648">
        <v>10.83</v>
      </c>
      <c r="J63" s="2648">
        <v>1252173</v>
      </c>
    </row>
    <row r="64" ht="36" spans="2:10">
      <c r="B64" s="2648" t="s">
        <v>853</v>
      </c>
      <c r="C64" s="2648" t="s">
        <v>757</v>
      </c>
      <c r="D64" s="2648" t="s">
        <v>921</v>
      </c>
      <c r="E64" s="2648" t="s">
        <v>922</v>
      </c>
      <c r="F64" s="2648">
        <v>206</v>
      </c>
      <c r="G64" s="2648">
        <v>310</v>
      </c>
      <c r="H64" s="2648" t="s">
        <v>923</v>
      </c>
      <c r="I64" s="2648">
        <v>10.33</v>
      </c>
      <c r="J64" s="2648">
        <v>766320</v>
      </c>
    </row>
    <row r="65" ht="36" spans="2:10">
      <c r="B65" s="2648" t="s">
        <v>853</v>
      </c>
      <c r="C65" s="2648" t="s">
        <v>757</v>
      </c>
      <c r="D65" s="2648" t="s">
        <v>924</v>
      </c>
      <c r="E65" s="2648" t="s">
        <v>925</v>
      </c>
      <c r="F65" s="2648">
        <v>242.27</v>
      </c>
      <c r="G65" s="2648">
        <v>285</v>
      </c>
      <c r="H65" s="2648" t="s">
        <v>926</v>
      </c>
      <c r="I65" s="2648">
        <v>9.5</v>
      </c>
      <c r="J65" s="2648">
        <v>828563.4</v>
      </c>
    </row>
    <row r="66" ht="48" spans="2:10">
      <c r="B66" s="2648" t="s">
        <v>853</v>
      </c>
      <c r="C66" s="2648" t="s">
        <v>757</v>
      </c>
      <c r="D66" s="2648" t="s">
        <v>927</v>
      </c>
      <c r="E66" s="2648" t="s">
        <v>928</v>
      </c>
      <c r="F66" s="2648">
        <v>439.54</v>
      </c>
      <c r="G66" s="2648">
        <v>290</v>
      </c>
      <c r="H66" s="2648" t="s">
        <v>929</v>
      </c>
      <c r="I66" s="2648">
        <v>9.67</v>
      </c>
      <c r="J66" s="2648">
        <v>1529599.2</v>
      </c>
    </row>
    <row r="67" ht="48" spans="2:10">
      <c r="B67" s="2648" t="s">
        <v>853</v>
      </c>
      <c r="C67" s="2648" t="s">
        <v>757</v>
      </c>
      <c r="D67" s="2648" t="s">
        <v>930</v>
      </c>
      <c r="E67" s="2648" t="s">
        <v>931</v>
      </c>
      <c r="F67" s="2648">
        <v>755.75</v>
      </c>
      <c r="G67" s="2648">
        <v>292</v>
      </c>
      <c r="H67" s="2648" t="s">
        <v>932</v>
      </c>
      <c r="I67" s="2648">
        <v>9.73</v>
      </c>
      <c r="J67" s="2648">
        <v>2648148</v>
      </c>
    </row>
    <row r="68" ht="48" spans="2:10">
      <c r="B68" s="2648" t="s">
        <v>853</v>
      </c>
      <c r="C68" s="2648" t="s">
        <v>933</v>
      </c>
      <c r="D68" s="2648" t="s">
        <v>934</v>
      </c>
      <c r="E68" s="2648" t="s">
        <v>935</v>
      </c>
      <c r="F68" s="2648">
        <v>1624.92</v>
      </c>
      <c r="G68" s="2648">
        <v>200</v>
      </c>
      <c r="H68" s="2648" t="s">
        <v>936</v>
      </c>
      <c r="I68" s="2648">
        <v>6.67</v>
      </c>
      <c r="J68" s="2648">
        <v>3899808</v>
      </c>
    </row>
    <row r="69" ht="36" spans="2:10">
      <c r="B69" s="2648" t="s">
        <v>853</v>
      </c>
      <c r="C69" s="2648" t="s">
        <v>937</v>
      </c>
      <c r="D69" s="2648" t="s">
        <v>938</v>
      </c>
      <c r="E69" s="2648" t="s">
        <v>939</v>
      </c>
      <c r="F69" s="2648">
        <v>201.77</v>
      </c>
      <c r="G69" s="2648">
        <v>301</v>
      </c>
      <c r="H69" s="2648" t="s">
        <v>940</v>
      </c>
      <c r="I69" s="2648">
        <v>10.03</v>
      </c>
      <c r="J69" s="2648">
        <v>728793.24</v>
      </c>
    </row>
    <row r="70" ht="36" spans="2:10">
      <c r="B70" s="2648" t="s">
        <v>853</v>
      </c>
      <c r="C70" s="2648" t="s">
        <v>937</v>
      </c>
      <c r="D70" s="2648" t="s">
        <v>941</v>
      </c>
      <c r="E70" s="2648" t="s">
        <v>942</v>
      </c>
      <c r="F70" s="2648">
        <v>242.6</v>
      </c>
      <c r="G70" s="2648">
        <v>290</v>
      </c>
      <c r="H70" s="2648" t="s">
        <v>943</v>
      </c>
      <c r="I70" s="2648">
        <v>9.67</v>
      </c>
      <c r="J70" s="2648">
        <v>844248</v>
      </c>
    </row>
    <row r="71" ht="60" spans="2:10">
      <c r="B71" s="2648" t="s">
        <v>853</v>
      </c>
      <c r="C71" s="2648" t="s">
        <v>937</v>
      </c>
      <c r="D71" s="2648" t="s">
        <v>944</v>
      </c>
      <c r="E71" s="2648" t="s">
        <v>945</v>
      </c>
      <c r="F71" s="2648">
        <v>243.79</v>
      </c>
      <c r="G71" s="2648">
        <v>300</v>
      </c>
      <c r="H71" s="2648" t="s">
        <v>946</v>
      </c>
      <c r="I71" s="2648">
        <v>10</v>
      </c>
      <c r="J71" s="2648">
        <v>877644</v>
      </c>
    </row>
    <row r="72" ht="48" spans="2:10">
      <c r="B72" s="2648" t="s">
        <v>853</v>
      </c>
      <c r="C72" s="2648" t="s">
        <v>937</v>
      </c>
      <c r="D72" s="2648" t="s">
        <v>947</v>
      </c>
      <c r="E72" s="2648" t="s">
        <v>948</v>
      </c>
      <c r="F72" s="2648">
        <v>181.24</v>
      </c>
      <c r="G72" s="2648">
        <v>300</v>
      </c>
      <c r="H72" s="2648" t="s">
        <v>949</v>
      </c>
      <c r="I72" s="2648">
        <v>10</v>
      </c>
      <c r="J72" s="2648">
        <v>652464</v>
      </c>
    </row>
    <row r="73" ht="48" spans="2:10">
      <c r="B73" s="2648" t="s">
        <v>853</v>
      </c>
      <c r="C73" s="2648" t="s">
        <v>937</v>
      </c>
      <c r="D73" s="2648" t="s">
        <v>950</v>
      </c>
      <c r="E73" s="2648" t="s">
        <v>951</v>
      </c>
      <c r="F73" s="2648">
        <v>435.15</v>
      </c>
      <c r="G73" s="2648">
        <v>210</v>
      </c>
      <c r="H73" s="2648" t="s">
        <v>952</v>
      </c>
      <c r="I73" s="2648">
        <v>7</v>
      </c>
      <c r="J73" s="2648">
        <v>1096578</v>
      </c>
    </row>
    <row r="74" ht="36" spans="2:10">
      <c r="B74" s="2648" t="s">
        <v>853</v>
      </c>
      <c r="C74" s="2648" t="s">
        <v>937</v>
      </c>
      <c r="D74" s="2648" t="s">
        <v>953</v>
      </c>
      <c r="E74" s="2648" t="s">
        <v>954</v>
      </c>
      <c r="F74" s="2648">
        <v>311.05</v>
      </c>
      <c r="G74" s="2648">
        <v>282</v>
      </c>
      <c r="H74" s="2648" t="s">
        <v>917</v>
      </c>
      <c r="I74" s="2648">
        <v>9.4</v>
      </c>
      <c r="J74" s="2648">
        <v>1052593.2</v>
      </c>
    </row>
    <row r="75" ht="48" spans="2:10">
      <c r="B75" s="2648" t="s">
        <v>853</v>
      </c>
      <c r="C75" s="2648" t="s">
        <v>955</v>
      </c>
      <c r="D75" s="2648" t="s">
        <v>956</v>
      </c>
      <c r="E75" s="2648" t="s">
        <v>738</v>
      </c>
      <c r="F75" s="2648">
        <v>854.58</v>
      </c>
      <c r="G75" s="2648">
        <v>260</v>
      </c>
      <c r="H75" s="2648" t="s">
        <v>769</v>
      </c>
      <c r="I75" s="2648">
        <v>8.67</v>
      </c>
      <c r="J75" s="2648">
        <v>2666289.6</v>
      </c>
    </row>
    <row r="76" ht="36" spans="2:10">
      <c r="B76" s="2648" t="s">
        <v>853</v>
      </c>
      <c r="C76" s="2648" t="s">
        <v>955</v>
      </c>
      <c r="D76" s="2648" t="s">
        <v>957</v>
      </c>
      <c r="E76" s="2648" t="s">
        <v>958</v>
      </c>
      <c r="F76" s="2648">
        <v>431.05</v>
      </c>
      <c r="G76" s="2648">
        <v>272</v>
      </c>
      <c r="H76" s="2648" t="s">
        <v>959</v>
      </c>
      <c r="I76" s="2648">
        <v>9.07</v>
      </c>
      <c r="J76" s="2648">
        <v>1406947.2</v>
      </c>
    </row>
    <row r="77" ht="36" spans="2:10">
      <c r="B77" s="2648" t="s">
        <v>853</v>
      </c>
      <c r="C77" s="2648" t="s">
        <v>955</v>
      </c>
      <c r="D77" s="2648" t="s">
        <v>960</v>
      </c>
      <c r="E77" s="2648" t="s">
        <v>961</v>
      </c>
      <c r="F77" s="2648">
        <v>311.33</v>
      </c>
      <c r="G77" s="2648">
        <v>210</v>
      </c>
      <c r="H77" s="2648" t="s">
        <v>962</v>
      </c>
      <c r="I77" s="2648">
        <v>7</v>
      </c>
      <c r="J77" s="2648">
        <v>784551.6</v>
      </c>
    </row>
    <row r="78" ht="36" spans="2:10">
      <c r="B78" s="2648" t="s">
        <v>853</v>
      </c>
      <c r="C78" s="2648" t="s">
        <v>963</v>
      </c>
      <c r="D78" s="2648" t="s">
        <v>964</v>
      </c>
      <c r="E78" s="2648" t="s">
        <v>965</v>
      </c>
      <c r="F78" s="2648">
        <v>980.47</v>
      </c>
      <c r="G78" s="2648">
        <v>286</v>
      </c>
      <c r="H78" s="2648" t="s">
        <v>966</v>
      </c>
      <c r="I78" s="2648">
        <v>9.53</v>
      </c>
      <c r="J78" s="2648">
        <v>3364973.04</v>
      </c>
    </row>
    <row r="79" ht="36" spans="2:10">
      <c r="B79" s="2648" t="s">
        <v>853</v>
      </c>
      <c r="C79" s="2648" t="s">
        <v>963</v>
      </c>
      <c r="D79" s="2648" t="s">
        <v>968</v>
      </c>
      <c r="E79" s="2648" t="s">
        <v>969</v>
      </c>
      <c r="F79" s="2648">
        <v>191.66</v>
      </c>
      <c r="G79" s="2648">
        <v>286</v>
      </c>
      <c r="H79" s="2648" t="s">
        <v>970</v>
      </c>
      <c r="I79" s="2648">
        <v>9.53</v>
      </c>
      <c r="J79" s="2648">
        <v>657777.12</v>
      </c>
    </row>
    <row r="80" ht="36" spans="2:10">
      <c r="B80" s="2648" t="s">
        <v>853</v>
      </c>
      <c r="C80" s="2648" t="s">
        <v>963</v>
      </c>
      <c r="D80" s="2648" t="s">
        <v>971</v>
      </c>
      <c r="E80" s="2648" t="s">
        <v>972</v>
      </c>
      <c r="F80" s="2648">
        <v>239.58</v>
      </c>
      <c r="G80" s="2648">
        <v>286</v>
      </c>
      <c r="H80" s="2648" t="s">
        <v>970</v>
      </c>
      <c r="I80" s="2648">
        <v>9.53</v>
      </c>
      <c r="J80" s="2648">
        <v>822238.56</v>
      </c>
    </row>
    <row r="81" ht="36" spans="2:10">
      <c r="B81" s="2648" t="s">
        <v>853</v>
      </c>
      <c r="C81" s="2648" t="s">
        <v>780</v>
      </c>
      <c r="D81" s="2648" t="s">
        <v>973</v>
      </c>
      <c r="E81" s="2648" t="s">
        <v>974</v>
      </c>
      <c r="F81" s="2648">
        <v>228.33</v>
      </c>
      <c r="G81" s="2648">
        <v>210</v>
      </c>
      <c r="H81" s="2648" t="s">
        <v>952</v>
      </c>
      <c r="I81" s="2648">
        <v>7</v>
      </c>
      <c r="J81" s="2648">
        <v>575391.6</v>
      </c>
    </row>
    <row r="82" ht="36" spans="2:10">
      <c r="B82" s="2648" t="s">
        <v>853</v>
      </c>
      <c r="C82" s="2648" t="s">
        <v>780</v>
      </c>
      <c r="D82" s="2648" t="s">
        <v>975</v>
      </c>
      <c r="E82" s="2648" t="s">
        <v>976</v>
      </c>
      <c r="F82" s="2648">
        <v>359.02</v>
      </c>
      <c r="G82" s="2648">
        <v>210</v>
      </c>
      <c r="H82" s="2648" t="s">
        <v>952</v>
      </c>
      <c r="I82" s="2648">
        <v>7</v>
      </c>
      <c r="J82" s="2648">
        <v>904730.4</v>
      </c>
    </row>
    <row r="83" ht="36" spans="2:10">
      <c r="B83" s="2648" t="s">
        <v>853</v>
      </c>
      <c r="C83" s="2648" t="s">
        <v>780</v>
      </c>
      <c r="D83" s="2648" t="s">
        <v>977</v>
      </c>
      <c r="E83" s="2648" t="s">
        <v>978</v>
      </c>
      <c r="F83" s="2648">
        <v>352.88</v>
      </c>
      <c r="G83" s="2648">
        <v>210</v>
      </c>
      <c r="H83" s="2648" t="s">
        <v>952</v>
      </c>
      <c r="I83" s="2648">
        <v>7</v>
      </c>
      <c r="J83" s="2648">
        <v>889257.6</v>
      </c>
    </row>
    <row r="84" ht="36" spans="2:10">
      <c r="B84" s="2648" t="s">
        <v>853</v>
      </c>
      <c r="C84" s="2648" t="s">
        <v>785</v>
      </c>
      <c r="D84" s="2648" t="s">
        <v>980</v>
      </c>
      <c r="E84" s="2648" t="s">
        <v>981</v>
      </c>
      <c r="F84" s="2648">
        <v>182.96</v>
      </c>
      <c r="G84" s="2648">
        <v>275</v>
      </c>
      <c r="H84" s="2648" t="s">
        <v>982</v>
      </c>
      <c r="I84" s="2648">
        <v>9.17</v>
      </c>
      <c r="J84" s="2648">
        <v>603768</v>
      </c>
    </row>
    <row r="85" ht="48" spans="2:10">
      <c r="B85" s="2648" t="s">
        <v>853</v>
      </c>
      <c r="C85" s="2648" t="s">
        <v>785</v>
      </c>
      <c r="D85" s="2648" t="s">
        <v>983</v>
      </c>
      <c r="E85" s="2648" t="s">
        <v>984</v>
      </c>
      <c r="F85" s="2648">
        <v>228.64</v>
      </c>
      <c r="G85" s="2648">
        <v>275</v>
      </c>
      <c r="H85" s="2648" t="s">
        <v>985</v>
      </c>
      <c r="I85" s="2648">
        <v>9.17</v>
      </c>
      <c r="J85" s="2648">
        <v>754512</v>
      </c>
    </row>
    <row r="86" ht="36" spans="2:10">
      <c r="B86" s="2648" t="s">
        <v>853</v>
      </c>
      <c r="C86" s="2648" t="s">
        <v>785</v>
      </c>
      <c r="D86" s="2648" t="s">
        <v>986</v>
      </c>
      <c r="E86" s="2648" t="s">
        <v>987</v>
      </c>
      <c r="F86" s="2648">
        <v>415.93</v>
      </c>
      <c r="G86" s="2648">
        <v>285</v>
      </c>
      <c r="H86" s="2648" t="s">
        <v>988</v>
      </c>
      <c r="I86" s="2648">
        <v>9.5</v>
      </c>
      <c r="J86" s="2648">
        <v>1422480.6</v>
      </c>
    </row>
    <row r="87" ht="36" spans="2:10">
      <c r="B87" s="2648" t="s">
        <v>853</v>
      </c>
      <c r="C87" s="2648" t="s">
        <v>785</v>
      </c>
      <c r="D87" s="2648" t="s">
        <v>989</v>
      </c>
      <c r="E87" s="2648" t="s">
        <v>990</v>
      </c>
      <c r="F87" s="2648">
        <v>734.64</v>
      </c>
      <c r="G87" s="2648">
        <v>285</v>
      </c>
      <c r="H87" s="2648" t="s">
        <v>991</v>
      </c>
      <c r="I87" s="2648">
        <v>9.5</v>
      </c>
      <c r="J87" s="2648">
        <v>2512468.8</v>
      </c>
    </row>
    <row r="88" ht="24" spans="2:10">
      <c r="B88" s="2648" t="s">
        <v>853</v>
      </c>
      <c r="C88" s="2648" t="s">
        <v>797</v>
      </c>
      <c r="D88" s="2648" t="s">
        <v>992</v>
      </c>
      <c r="E88" s="2648" t="s">
        <v>993</v>
      </c>
      <c r="F88" s="2648">
        <v>1130.99</v>
      </c>
      <c r="G88" s="2648">
        <v>238</v>
      </c>
      <c r="H88" s="2648" t="s">
        <v>994</v>
      </c>
      <c r="I88" s="2648">
        <v>7.93</v>
      </c>
      <c r="J88" s="2648">
        <v>7310103.36</v>
      </c>
    </row>
    <row r="89" spans="2:10">
      <c r="B89" s="2648" t="s">
        <v>853</v>
      </c>
      <c r="C89" s="2648" t="s">
        <v>797</v>
      </c>
      <c r="D89" s="2648" t="s">
        <v>995</v>
      </c>
      <c r="E89" s="2648"/>
      <c r="F89" s="2648">
        <v>412.54</v>
      </c>
      <c r="G89" s="2648"/>
      <c r="H89" s="2648"/>
      <c r="I89" s="2648"/>
      <c r="J89" s="2648"/>
    </row>
    <row r="90" spans="2:10">
      <c r="B90" s="2648" t="s">
        <v>853</v>
      </c>
      <c r="C90" s="2648" t="s">
        <v>826</v>
      </c>
      <c r="D90" s="2648" t="s">
        <v>996</v>
      </c>
      <c r="E90" s="2648"/>
      <c r="F90" s="2648">
        <v>1016.03</v>
      </c>
      <c r="G90" s="2648"/>
      <c r="H90" s="2648"/>
      <c r="I90" s="2648"/>
      <c r="J90" s="2648"/>
    </row>
    <row r="91" ht="36" spans="2:10">
      <c r="B91" s="2648" t="s">
        <v>853</v>
      </c>
      <c r="C91" s="2648" t="s">
        <v>808</v>
      </c>
      <c r="D91" s="2648" t="s">
        <v>997</v>
      </c>
      <c r="E91" s="2648" t="s">
        <v>998</v>
      </c>
      <c r="F91" s="2648">
        <v>808.57</v>
      </c>
      <c r="G91" s="2648">
        <v>211</v>
      </c>
      <c r="H91" s="2648" t="s">
        <v>999</v>
      </c>
      <c r="I91" s="2648">
        <v>7.03</v>
      </c>
      <c r="J91" s="2648">
        <v>2047299.24</v>
      </c>
    </row>
    <row r="92" ht="36" spans="2:10">
      <c r="B92" s="2648" t="s">
        <v>853</v>
      </c>
      <c r="C92" s="2648" t="s">
        <v>808</v>
      </c>
      <c r="D92" s="2648" t="s">
        <v>1000</v>
      </c>
      <c r="E92" s="2648" t="s">
        <v>1001</v>
      </c>
      <c r="F92" s="2648">
        <v>550</v>
      </c>
      <c r="G92" s="2648">
        <v>295</v>
      </c>
      <c r="H92" s="2648" t="s">
        <v>1002</v>
      </c>
      <c r="I92" s="2648">
        <v>9.83</v>
      </c>
      <c r="J92" s="2648">
        <v>1947000</v>
      </c>
    </row>
    <row r="93" ht="48" spans="2:10">
      <c r="B93" s="2648" t="s">
        <v>853</v>
      </c>
      <c r="C93" s="2648" t="s">
        <v>808</v>
      </c>
      <c r="D93" s="2648" t="s">
        <v>1003</v>
      </c>
      <c r="E93" s="2648" t="s">
        <v>1004</v>
      </c>
      <c r="F93" s="2648">
        <v>175.64</v>
      </c>
      <c r="G93" s="2648">
        <v>295</v>
      </c>
      <c r="H93" s="2648" t="s">
        <v>1002</v>
      </c>
      <c r="I93" s="2648">
        <v>9.83</v>
      </c>
      <c r="J93" s="2648">
        <v>621765.6</v>
      </c>
    </row>
    <row r="94" ht="36" spans="2:10">
      <c r="B94" s="2648" t="s">
        <v>853</v>
      </c>
      <c r="C94" s="2648" t="s">
        <v>817</v>
      </c>
      <c r="D94" s="2648" t="s">
        <v>1005</v>
      </c>
      <c r="E94" s="2648" t="s">
        <v>1006</v>
      </c>
      <c r="F94" s="2648">
        <v>1310.75</v>
      </c>
      <c r="G94" s="2648">
        <v>290</v>
      </c>
      <c r="H94" s="2648" t="s">
        <v>1007</v>
      </c>
      <c r="I94" s="2648">
        <v>9.67</v>
      </c>
      <c r="J94" s="2648">
        <v>4561410</v>
      </c>
    </row>
    <row r="95" ht="36" spans="2:10">
      <c r="B95" s="2648" t="s">
        <v>853</v>
      </c>
      <c r="C95" s="2648" t="s">
        <v>817</v>
      </c>
      <c r="D95" s="2648" t="s">
        <v>1008</v>
      </c>
      <c r="E95" s="2648" t="s">
        <v>1009</v>
      </c>
      <c r="F95" s="2648">
        <v>204.82</v>
      </c>
      <c r="G95" s="2648">
        <v>278</v>
      </c>
      <c r="H95" s="2648" t="s">
        <v>1010</v>
      </c>
      <c r="I95" s="2648">
        <v>9.27</v>
      </c>
      <c r="J95" s="2648">
        <v>683279.52</v>
      </c>
    </row>
    <row r="96" ht="36" spans="2:10">
      <c r="B96" s="2648" t="s">
        <v>853</v>
      </c>
      <c r="C96" s="2648" t="s">
        <v>820</v>
      </c>
      <c r="D96" s="2648" t="s">
        <v>1011</v>
      </c>
      <c r="E96" s="2648" t="s">
        <v>965</v>
      </c>
      <c r="F96" s="2648">
        <v>1501.77</v>
      </c>
      <c r="G96" s="2648">
        <v>286</v>
      </c>
      <c r="H96" s="2648" t="s">
        <v>1012</v>
      </c>
      <c r="I96" s="2648">
        <v>9.53</v>
      </c>
      <c r="J96" s="2648">
        <v>5154074.64</v>
      </c>
    </row>
    <row r="97" ht="36" spans="2:10">
      <c r="B97" s="2648" t="s">
        <v>853</v>
      </c>
      <c r="C97" s="2648" t="s">
        <v>826</v>
      </c>
      <c r="D97" s="2648" t="s">
        <v>1013</v>
      </c>
      <c r="E97" s="2648" t="s">
        <v>1014</v>
      </c>
      <c r="F97" s="2648">
        <v>472.24</v>
      </c>
      <c r="G97" s="2648">
        <v>238</v>
      </c>
      <c r="H97" s="2648" t="s">
        <v>994</v>
      </c>
      <c r="I97" s="2648">
        <v>7.93</v>
      </c>
      <c r="J97" s="2648">
        <v>1348717.44</v>
      </c>
    </row>
    <row r="98" ht="36" spans="2:10">
      <c r="B98" s="2648" t="s">
        <v>853</v>
      </c>
      <c r="C98" s="2648" t="s">
        <v>828</v>
      </c>
      <c r="D98" s="2648" t="s">
        <v>1015</v>
      </c>
      <c r="E98" s="2648" t="s">
        <v>1016</v>
      </c>
      <c r="F98" s="2648">
        <v>216.19</v>
      </c>
      <c r="G98" s="2648">
        <v>280</v>
      </c>
      <c r="H98" s="2648" t="s">
        <v>1017</v>
      </c>
      <c r="I98" s="2648">
        <v>9.33</v>
      </c>
      <c r="J98" s="2648">
        <v>726398.4</v>
      </c>
    </row>
    <row r="99" ht="36" spans="2:10">
      <c r="B99" s="2648" t="s">
        <v>853</v>
      </c>
      <c r="C99" s="2648" t="s">
        <v>828</v>
      </c>
      <c r="D99" s="2648" t="s">
        <v>1018</v>
      </c>
      <c r="E99" s="2648" t="s">
        <v>1019</v>
      </c>
      <c r="F99" s="2648">
        <v>477.22</v>
      </c>
      <c r="G99" s="2648">
        <v>290</v>
      </c>
      <c r="H99" s="2648" t="s">
        <v>1020</v>
      </c>
      <c r="I99" s="2648">
        <v>9.67</v>
      </c>
      <c r="J99" s="2648">
        <v>1660725.6</v>
      </c>
    </row>
    <row r="100" ht="36" spans="2:10">
      <c r="B100" s="2648" t="s">
        <v>853</v>
      </c>
      <c r="C100" s="2648" t="s">
        <v>1022</v>
      </c>
      <c r="D100" s="2648" t="s">
        <v>1023</v>
      </c>
      <c r="E100" s="2648" t="s">
        <v>746</v>
      </c>
      <c r="F100" s="2648">
        <v>1157.5</v>
      </c>
      <c r="G100" s="2648">
        <v>300</v>
      </c>
      <c r="H100" s="2648" t="s">
        <v>777</v>
      </c>
      <c r="I100" s="2648">
        <v>10</v>
      </c>
      <c r="J100" s="2648">
        <v>4167000</v>
      </c>
    </row>
    <row r="101" ht="36" spans="2:10">
      <c r="B101" s="2648" t="s">
        <v>853</v>
      </c>
      <c r="C101" s="2648" t="s">
        <v>841</v>
      </c>
      <c r="D101" s="2648" t="s">
        <v>1024</v>
      </c>
      <c r="E101" s="2648" t="s">
        <v>1025</v>
      </c>
      <c r="F101" s="2648">
        <v>809.18</v>
      </c>
      <c r="G101" s="2648">
        <v>166</v>
      </c>
      <c r="H101" s="2648" t="s">
        <v>1026</v>
      </c>
      <c r="I101" s="2648">
        <v>5.53</v>
      </c>
      <c r="J101" s="2648">
        <v>1611886.56</v>
      </c>
    </row>
    <row r="102" ht="36" spans="2:10">
      <c r="B102" s="2648" t="s">
        <v>853</v>
      </c>
      <c r="C102" s="2648" t="s">
        <v>845</v>
      </c>
      <c r="D102" s="2648" t="s">
        <v>1027</v>
      </c>
      <c r="E102" s="2648" t="s">
        <v>1028</v>
      </c>
      <c r="F102" s="2648">
        <v>689.25</v>
      </c>
      <c r="G102" s="2648">
        <v>185</v>
      </c>
      <c r="H102" s="2648" t="s">
        <v>1029</v>
      </c>
      <c r="I102" s="2648">
        <v>6.17</v>
      </c>
      <c r="J102" s="2648">
        <v>1530135</v>
      </c>
    </row>
  </sheetData>
  <mergeCells count="13">
    <mergeCell ref="B3:B4"/>
    <mergeCell ref="C3:C4"/>
    <mergeCell ref="D3:D4"/>
    <mergeCell ref="E3:E4"/>
    <mergeCell ref="E88:E90"/>
    <mergeCell ref="G3:G4"/>
    <mergeCell ref="G88:G90"/>
    <mergeCell ref="H3:H4"/>
    <mergeCell ref="H88:H90"/>
    <mergeCell ref="I3:I4"/>
    <mergeCell ref="I88:I90"/>
    <mergeCell ref="J3:J4"/>
    <mergeCell ref="J88:J90"/>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80" customWidth="1"/>
    <col min="9" max="9" width="16.75" style="2581" customWidth="1"/>
    <col min="10" max="10" width="2.625" style="2580" customWidth="1"/>
    <col min="11" max="11" width="11.875" style="2580" customWidth="1"/>
    <col min="12" max="12" width="16.75" style="2581" customWidth="1"/>
    <col min="13" max="13" width="2.625" style="2580" customWidth="1"/>
    <col min="14" max="14" width="11.875" style="2580" customWidth="1"/>
    <col min="15" max="15" width="16.75" style="2581" customWidth="1"/>
    <col min="16" max="16" width="2.625" style="2580" customWidth="1"/>
    <col min="17" max="17" width="11.875" style="2580" customWidth="1"/>
    <col min="18" max="18" width="16.75" style="2582" customWidth="1"/>
    <col min="19" max="29" width="9" style="1821"/>
    <col min="30" max="16384" width="9" style="2576"/>
  </cols>
  <sheetData>
    <row r="1" s="2574" customFormat="1" ht="18.75" spans="1:29">
      <c r="A1" s="2583" t="s">
        <v>1039</v>
      </c>
      <c r="B1" s="2584"/>
      <c r="C1" s="2584"/>
      <c r="D1" s="2584"/>
      <c r="E1" s="2584"/>
      <c r="F1" s="2584"/>
      <c r="G1" s="2584"/>
      <c r="H1" s="2585"/>
      <c r="I1" s="2637"/>
      <c r="J1" s="2585"/>
      <c r="K1" s="2585"/>
      <c r="L1" s="2637"/>
      <c r="M1" s="2585"/>
      <c r="N1" s="2585"/>
      <c r="O1" s="2637"/>
      <c r="P1" s="2585"/>
      <c r="Q1" s="2644"/>
      <c r="R1" s="2645"/>
      <c r="S1" s="2646"/>
      <c r="T1" s="2646"/>
      <c r="U1" s="2646"/>
      <c r="V1" s="2646"/>
      <c r="W1" s="2646"/>
      <c r="X1" s="2646"/>
      <c r="Y1" s="2646"/>
      <c r="Z1" s="2646"/>
      <c r="AA1" s="2646"/>
      <c r="AB1" s="2646"/>
      <c r="AC1" s="2646"/>
    </row>
    <row r="2" ht="15" spans="1:18">
      <c r="A2" s="2586"/>
      <c r="B2" s="2587"/>
      <c r="C2" s="2588" t="s">
        <v>1040</v>
      </c>
      <c r="D2" s="2589"/>
      <c r="E2" s="2586"/>
      <c r="F2" s="2590"/>
      <c r="G2" s="2588" t="s">
        <v>1041</v>
      </c>
      <c r="H2" s="1821"/>
      <c r="I2" s="1821"/>
      <c r="J2" s="1821"/>
      <c r="K2" s="1821"/>
      <c r="L2" s="1821"/>
      <c r="M2" s="1821"/>
      <c r="N2" s="1821"/>
      <c r="O2" s="1821"/>
      <c r="P2" s="1821"/>
      <c r="Q2" s="1821"/>
      <c r="R2" s="1821"/>
    </row>
    <row r="3" ht="48" spans="1:18">
      <c r="A3" s="2591" t="s">
        <v>1042</v>
      </c>
      <c r="B3" s="2592" t="s">
        <v>1043</v>
      </c>
      <c r="C3" s="2593" t="s">
        <v>1044</v>
      </c>
      <c r="D3" s="2594"/>
      <c r="E3" s="2595" t="s">
        <v>1042</v>
      </c>
      <c r="F3" s="2596" t="s">
        <v>1045</v>
      </c>
      <c r="G3" s="2597" t="s">
        <v>1046</v>
      </c>
      <c r="H3" s="1821"/>
      <c r="I3" s="1821"/>
      <c r="J3" s="1821"/>
      <c r="K3" s="1821"/>
      <c r="L3" s="1821"/>
      <c r="M3" s="1821"/>
      <c r="N3" s="1821"/>
      <c r="O3" s="1821"/>
      <c r="P3" s="1821"/>
      <c r="Q3" s="1821"/>
      <c r="R3" s="1821"/>
    </row>
    <row r="4" ht="36.75" spans="1:18">
      <c r="A4" s="2595"/>
      <c r="B4" s="1607" t="s">
        <v>1047</v>
      </c>
      <c r="C4" s="2598" t="s">
        <v>1048</v>
      </c>
      <c r="D4" s="2594"/>
      <c r="E4" s="2599"/>
      <c r="F4" s="1936" t="s">
        <v>1049</v>
      </c>
      <c r="G4" s="2600" t="s">
        <v>1050</v>
      </c>
      <c r="H4" s="1821"/>
      <c r="I4" s="1821"/>
      <c r="J4" s="1821"/>
      <c r="K4" s="1821"/>
      <c r="L4" s="1821"/>
      <c r="M4" s="1821"/>
      <c r="N4" s="1821"/>
      <c r="O4" s="1821"/>
      <c r="P4" s="1821"/>
      <c r="Q4" s="1821"/>
      <c r="R4" s="1821"/>
    </row>
    <row r="5" ht="36.75" spans="1:18">
      <c r="A5" s="2595"/>
      <c r="B5" s="1607" t="s">
        <v>1051</v>
      </c>
      <c r="C5" s="2598" t="s">
        <v>1052</v>
      </c>
      <c r="D5" s="2594"/>
      <c r="E5" s="2599"/>
      <c r="F5" s="1607" t="s">
        <v>464</v>
      </c>
      <c r="G5" s="2600" t="s">
        <v>1053</v>
      </c>
      <c r="H5" s="1821"/>
      <c r="I5" s="1821"/>
      <c r="J5" s="1821"/>
      <c r="K5" s="1821"/>
      <c r="L5" s="1821"/>
      <c r="M5" s="1821"/>
      <c r="N5" s="1821"/>
      <c r="O5" s="1821"/>
      <c r="P5" s="1821"/>
      <c r="Q5" s="1821"/>
      <c r="R5" s="1821"/>
    </row>
    <row r="6" ht="36" spans="1:18">
      <c r="A6" s="2595"/>
      <c r="B6" s="1607" t="s">
        <v>1049</v>
      </c>
      <c r="C6" s="2600" t="s">
        <v>1050</v>
      </c>
      <c r="D6" s="2594"/>
      <c r="E6" s="2599"/>
      <c r="F6" s="1607" t="s">
        <v>1054</v>
      </c>
      <c r="G6" s="2600" t="s">
        <v>1055</v>
      </c>
      <c r="H6" s="1821"/>
      <c r="I6" s="1821"/>
      <c r="J6" s="1821"/>
      <c r="K6" s="1821"/>
      <c r="L6" s="1821"/>
      <c r="M6" s="1821"/>
      <c r="N6" s="1821"/>
      <c r="O6" s="1821"/>
      <c r="P6" s="1821"/>
      <c r="Q6" s="1821"/>
      <c r="R6" s="1821"/>
    </row>
    <row r="7" ht="24.75" spans="1:18">
      <c r="A7" s="2595"/>
      <c r="B7" s="1607" t="s">
        <v>464</v>
      </c>
      <c r="C7" s="2600" t="s">
        <v>1053</v>
      </c>
      <c r="D7" s="2601"/>
      <c r="E7" s="2602"/>
      <c r="F7" s="2603" t="s">
        <v>1056</v>
      </c>
      <c r="G7" s="2604" t="s">
        <v>1057</v>
      </c>
      <c r="H7" s="1821"/>
      <c r="I7" s="1821"/>
      <c r="J7" s="1821"/>
      <c r="K7" s="1821"/>
      <c r="L7" s="1821"/>
      <c r="M7" s="1821"/>
      <c r="N7" s="1821"/>
      <c r="O7" s="1821"/>
      <c r="P7" s="1821"/>
      <c r="Q7" s="1821"/>
      <c r="R7" s="1821"/>
    </row>
    <row r="8" spans="1:18">
      <c r="A8" s="2595"/>
      <c r="B8" s="1607" t="s">
        <v>1054</v>
      </c>
      <c r="C8" s="2600" t="s">
        <v>1055</v>
      </c>
      <c r="D8" s="2601"/>
      <c r="E8" s="2601"/>
      <c r="F8" s="1730"/>
      <c r="G8" s="1730"/>
      <c r="H8" s="1821"/>
      <c r="I8" s="1821"/>
      <c r="J8" s="1821"/>
      <c r="K8" s="1821"/>
      <c r="L8" s="1821"/>
      <c r="M8" s="1821"/>
      <c r="N8" s="1821"/>
      <c r="O8" s="1821"/>
      <c r="P8" s="1821"/>
      <c r="Q8" s="1821"/>
      <c r="R8" s="1821"/>
    </row>
    <row r="9" ht="24" spans="1:18">
      <c r="A9" s="2595"/>
      <c r="B9" s="1607" t="s">
        <v>1058</v>
      </c>
      <c r="C9" s="2598" t="s">
        <v>1059</v>
      </c>
      <c r="D9" s="2594"/>
      <c r="E9" s="2601"/>
      <c r="F9" s="1730"/>
      <c r="G9" s="1730"/>
      <c r="H9" s="1821"/>
      <c r="I9" s="1821"/>
      <c r="J9" s="1821"/>
      <c r="K9" s="1821"/>
      <c r="L9" s="1821"/>
      <c r="M9" s="1821"/>
      <c r="N9" s="1821"/>
      <c r="O9" s="1821"/>
      <c r="P9" s="1821"/>
      <c r="Q9" s="1821"/>
      <c r="R9" s="1821"/>
    </row>
    <row r="10" s="2575" customFormat="1" ht="15" spans="1:29">
      <c r="A10" s="2605"/>
      <c r="B10" s="2606" t="s">
        <v>1060</v>
      </c>
      <c r="C10" s="2607"/>
      <c r="D10" s="2594"/>
      <c r="E10" s="2594"/>
      <c r="F10" s="1730"/>
      <c r="G10" s="1730"/>
      <c r="H10" s="2608"/>
      <c r="I10" s="2638"/>
      <c r="J10" s="2639"/>
      <c r="K10" s="2608"/>
      <c r="L10" s="2638"/>
      <c r="M10" s="2639"/>
      <c r="N10" s="2608"/>
      <c r="O10" s="2638"/>
      <c r="P10" s="2639"/>
      <c r="Q10" s="2608"/>
      <c r="R10" s="2638"/>
      <c r="S10" s="1821"/>
      <c r="T10" s="1821"/>
      <c r="U10" s="1821"/>
      <c r="V10" s="1821"/>
      <c r="W10" s="1821"/>
      <c r="X10" s="1821"/>
      <c r="Y10" s="1821"/>
      <c r="Z10" s="1821"/>
      <c r="AA10" s="1821"/>
      <c r="AB10" s="1821"/>
      <c r="AC10" s="1821"/>
    </row>
    <row r="11" s="2575" customFormat="1" spans="1:29">
      <c r="A11" s="2609"/>
      <c r="B11" s="2601"/>
      <c r="C11" s="2594"/>
      <c r="D11" s="2594"/>
      <c r="E11" s="2594"/>
      <c r="F11" s="2601"/>
      <c r="G11" s="2610"/>
      <c r="H11" s="2608"/>
      <c r="I11" s="2638"/>
      <c r="J11" s="2639"/>
      <c r="K11" s="2608"/>
      <c r="L11" s="2638"/>
      <c r="M11" s="2639"/>
      <c r="N11" s="2608"/>
      <c r="O11" s="2638"/>
      <c r="P11" s="2639"/>
      <c r="Q11" s="2608"/>
      <c r="R11" s="2638"/>
      <c r="S11" s="1821"/>
      <c r="T11" s="1821"/>
      <c r="U11" s="1821"/>
      <c r="V11" s="1821"/>
      <c r="W11" s="1821"/>
      <c r="X11" s="1821"/>
      <c r="Y11" s="1821"/>
      <c r="Z11" s="1821"/>
      <c r="AA11" s="1821"/>
      <c r="AB11" s="1821"/>
      <c r="AC11" s="1821"/>
    </row>
    <row r="12" s="2574" customFormat="1" ht="18" spans="1:29">
      <c r="A12" s="2609"/>
      <c r="B12" s="2601"/>
      <c r="C12" s="2594"/>
      <c r="D12" s="2611"/>
      <c r="E12" s="2594"/>
      <c r="F12" s="2601"/>
      <c r="G12" s="2610"/>
      <c r="H12" s="2612"/>
      <c r="I12" s="2640"/>
      <c r="J12" s="2612"/>
      <c r="K12" s="2612"/>
      <c r="L12" s="2641"/>
      <c r="M12" s="2612"/>
      <c r="N12" s="2642"/>
      <c r="O12" s="2643"/>
      <c r="P12" s="2642"/>
      <c r="Q12" s="2642"/>
      <c r="R12" s="2645"/>
      <c r="S12" s="2646"/>
      <c r="T12" s="2646"/>
      <c r="U12" s="2646"/>
      <c r="V12" s="2646"/>
      <c r="W12" s="2646"/>
      <c r="X12" s="2646"/>
      <c r="Y12" s="2646"/>
      <c r="Z12" s="2646"/>
      <c r="AA12" s="2646"/>
      <c r="AB12" s="2646"/>
      <c r="AC12" s="2646"/>
    </row>
    <row r="13" spans="1:7">
      <c r="A13" s="2613" t="s">
        <v>1061</v>
      </c>
      <c r="B13" s="2611"/>
      <c r="C13" s="2611"/>
      <c r="D13" s="2609"/>
      <c r="E13" s="2611"/>
      <c r="F13" s="2611"/>
      <c r="G13" s="2611"/>
    </row>
    <row r="14" spans="1:7">
      <c r="A14" s="2614"/>
      <c r="B14" s="2614"/>
      <c r="C14" s="2615" t="s">
        <v>1040</v>
      </c>
      <c r="D14" s="2594"/>
      <c r="E14" s="2616"/>
      <c r="F14" s="2616"/>
      <c r="G14" s="2588" t="s">
        <v>1041</v>
      </c>
    </row>
    <row r="15" ht="48" spans="1:7">
      <c r="A15" s="2617" t="s">
        <v>1042</v>
      </c>
      <c r="B15" s="2618" t="s">
        <v>1043</v>
      </c>
      <c r="C15" s="2619" t="str">
        <f>C3</f>
        <v>估价对象周边居住用地比例、居住小区规模和社区发展完善程度，综合评价居住社区成熟度一般</v>
      </c>
      <c r="D15" s="2594"/>
      <c r="E15" s="2620" t="s">
        <v>1042</v>
      </c>
      <c r="F15" s="2618" t="s">
        <v>1045</v>
      </c>
      <c r="G15" s="2621" t="str">
        <f>G3</f>
        <v>估价对象位于XX开发区，园区建设成熟度XX，产业集聚程度XX</v>
      </c>
    </row>
    <row r="16" ht="36.75" spans="1:7">
      <c r="A16" s="2622"/>
      <c r="B16" s="2623" t="s">
        <v>1047</v>
      </c>
      <c r="C16" s="2624" t="str">
        <f>C4</f>
        <v>估价对象位于XX商圈，周边商业氛围成熟，人流量大，商业繁华度好</v>
      </c>
      <c r="D16" s="2594"/>
      <c r="E16" s="2625"/>
      <c r="F16" s="2626" t="s">
        <v>1049</v>
      </c>
      <c r="G16" s="2627" t="str">
        <f>G4</f>
        <v>估价对象周边道路状况、公共交通通达情况、停车便捷程度，综合评价交通便捷度较好</v>
      </c>
    </row>
    <row r="17" ht="36.75" spans="1:7">
      <c r="A17" s="2622"/>
      <c r="B17" s="2623" t="s">
        <v>1051</v>
      </c>
      <c r="C17" s="2624" t="str">
        <f>C5</f>
        <v>估价对象位于XX商圈，周边办公楼项目较多，入驻率高，办公集聚程度较好</v>
      </c>
      <c r="D17" s="2601"/>
      <c r="E17" s="2625"/>
      <c r="F17" s="2626" t="s">
        <v>1062</v>
      </c>
      <c r="G17" s="2628"/>
    </row>
    <row r="18" ht="36" spans="1:7">
      <c r="A18" s="2622"/>
      <c r="B18" s="2626" t="s">
        <v>1049</v>
      </c>
      <c r="C18" s="2627" t="str">
        <f>C6</f>
        <v>估价对象周边道路状况、公共交通通达情况、停车便捷程度，综合评价交通便捷度较好</v>
      </c>
      <c r="D18" s="2601"/>
      <c r="E18" s="2625"/>
      <c r="F18" s="2626" t="s">
        <v>1056</v>
      </c>
      <c r="G18" s="2627" t="str">
        <f>G7</f>
        <v>该园区内是否有污染型企业，绿化情况，卫生条件，整体环境状况判断</v>
      </c>
    </row>
    <row r="19" ht="24" spans="1:7">
      <c r="A19" s="2622"/>
      <c r="B19" s="2626" t="s">
        <v>1062</v>
      </c>
      <c r="C19" s="2628"/>
      <c r="D19" s="2594"/>
      <c r="E19" s="2625"/>
      <c r="F19" s="1607" t="s">
        <v>464</v>
      </c>
      <c r="G19" s="2627" t="str">
        <f>G5</f>
        <v>估价对象所在区域公共配套设施齐备情况</v>
      </c>
    </row>
    <row r="20" ht="24" spans="1:7">
      <c r="A20" s="2622"/>
      <c r="B20" s="2626" t="s">
        <v>1063</v>
      </c>
      <c r="C20" s="2624" t="str">
        <f>C9</f>
        <v>区域自然环境：；人文环境；综合评价环境状况一般</v>
      </c>
      <c r="D20" s="2601"/>
      <c r="E20" s="2625"/>
      <c r="F20" s="1607" t="s">
        <v>1054</v>
      </c>
      <c r="G20" s="2627" t="str">
        <f>G6</f>
        <v>估价对象所在区域基础设施水平</v>
      </c>
    </row>
    <row r="21" ht="24" spans="1:7">
      <c r="A21" s="2622"/>
      <c r="B21" s="1607" t="s">
        <v>464</v>
      </c>
      <c r="C21" s="2627" t="str">
        <f>C7</f>
        <v>估价对象所在区域公共配套设施齐备情况</v>
      </c>
      <c r="D21" s="2594"/>
      <c r="E21" s="2625"/>
      <c r="F21" s="2626" t="s">
        <v>1064</v>
      </c>
      <c r="G21" s="2629"/>
    </row>
    <row r="22" ht="13.5" customHeight="1" spans="1:7">
      <c r="A22" s="2622"/>
      <c r="B22" s="1607" t="s">
        <v>1054</v>
      </c>
      <c r="C22" s="2627" t="str">
        <f>C8</f>
        <v>估价对象所在区域基础设施水平</v>
      </c>
      <c r="D22" s="2594"/>
      <c r="E22" s="2625"/>
      <c r="F22" s="2626" t="s">
        <v>1060</v>
      </c>
      <c r="G22" s="2628"/>
    </row>
    <row r="23" s="1821" customFormat="1" ht="15" spans="1:18">
      <c r="A23" s="2622"/>
      <c r="B23" s="2626" t="s">
        <v>1064</v>
      </c>
      <c r="C23" s="2629"/>
      <c r="D23" s="2496"/>
      <c r="E23" s="2630"/>
      <c r="F23" s="2631" t="s">
        <v>408</v>
      </c>
      <c r="G23" s="2632"/>
      <c r="H23" s="2580"/>
      <c r="I23" s="2581"/>
      <c r="J23" s="2580"/>
      <c r="K23" s="2580"/>
      <c r="L23" s="2581"/>
      <c r="M23" s="2580"/>
      <c r="N23" s="2580"/>
      <c r="O23" s="2581"/>
      <c r="P23" s="2580"/>
      <c r="Q23" s="2580"/>
      <c r="R23" s="2582"/>
    </row>
    <row r="24" s="1821" customFormat="1" ht="15" spans="1:18">
      <c r="A24" s="2633"/>
      <c r="B24" s="2631" t="s">
        <v>1060</v>
      </c>
      <c r="C24" s="2634">
        <f>C10</f>
        <v>0</v>
      </c>
      <c r="D24" s="2496"/>
      <c r="E24" s="2635"/>
      <c r="F24" s="2635"/>
      <c r="G24" s="2636"/>
      <c r="H24" s="2580"/>
      <c r="I24" s="2581"/>
      <c r="J24" s="2580"/>
      <c r="K24" s="2580"/>
      <c r="L24" s="2581"/>
      <c r="M24" s="2580"/>
      <c r="N24" s="2580"/>
      <c r="O24" s="2581"/>
      <c r="P24" s="2580"/>
      <c r="Q24" s="2580"/>
      <c r="R24" s="2582"/>
    </row>
    <row r="25" s="1821" customFormat="1" spans="2:18">
      <c r="B25" s="2580"/>
      <c r="C25" s="2580"/>
      <c r="D25" s="2580"/>
      <c r="H25" s="2580"/>
      <c r="I25" s="2581"/>
      <c r="J25" s="2580"/>
      <c r="K25" s="2580"/>
      <c r="L25" s="2581"/>
      <c r="M25" s="2580"/>
      <c r="N25" s="2580"/>
      <c r="O25" s="2581"/>
      <c r="P25" s="2580"/>
      <c r="Q25" s="2580"/>
      <c r="R25" s="2582"/>
    </row>
    <row r="26" s="1821" customFormat="1" spans="2:18">
      <c r="B26" s="2580"/>
      <c r="C26" s="2580"/>
      <c r="D26" s="2580"/>
      <c r="H26" s="2580"/>
      <c r="I26" s="2581"/>
      <c r="J26" s="2580"/>
      <c r="K26" s="2580"/>
      <c r="L26" s="2581"/>
      <c r="M26" s="2580"/>
      <c r="N26" s="2580"/>
      <c r="O26" s="2581"/>
      <c r="P26" s="2580"/>
      <c r="Q26" s="2580"/>
      <c r="R26" s="2582"/>
    </row>
    <row r="27" s="1821" customFormat="1" spans="2:18">
      <c r="B27" s="2580"/>
      <c r="C27" s="2580"/>
      <c r="D27" s="2580"/>
      <c r="H27" s="2580"/>
      <c r="I27" s="2581"/>
      <c r="J27" s="2580"/>
      <c r="K27" s="2580"/>
      <c r="L27" s="2581"/>
      <c r="M27" s="2580"/>
      <c r="N27" s="2580"/>
      <c r="O27" s="2581"/>
      <c r="P27" s="2580"/>
      <c r="Q27" s="2580"/>
      <c r="R27" s="2582"/>
    </row>
    <row r="28" s="1821" customFormat="1" spans="2:18">
      <c r="B28" s="2580"/>
      <c r="C28" s="2580"/>
      <c r="D28" s="2580"/>
      <c r="H28" s="2580"/>
      <c r="I28" s="2581"/>
      <c r="J28" s="2580"/>
      <c r="K28" s="2580"/>
      <c r="L28" s="2581"/>
      <c r="M28" s="2580"/>
      <c r="N28" s="2580"/>
      <c r="O28" s="2581"/>
      <c r="P28" s="2580"/>
      <c r="Q28" s="2580"/>
      <c r="R28" s="2582"/>
    </row>
    <row r="29" s="1821" customFormat="1" spans="2:18">
      <c r="B29" s="2580"/>
      <c r="C29" s="2580"/>
      <c r="D29" s="2580"/>
      <c r="H29" s="2580"/>
      <c r="I29" s="2581"/>
      <c r="J29" s="2580"/>
      <c r="K29" s="2580"/>
      <c r="L29" s="2581"/>
      <c r="M29" s="2580"/>
      <c r="N29" s="2580"/>
      <c r="O29" s="2581"/>
      <c r="P29" s="2580"/>
      <c r="Q29" s="2580"/>
      <c r="R29" s="2582"/>
    </row>
    <row r="30" s="1821" customFormat="1" spans="2:18">
      <c r="B30" s="2580"/>
      <c r="C30" s="2580"/>
      <c r="D30" s="2580"/>
      <c r="H30" s="2580"/>
      <c r="I30" s="2581"/>
      <c r="J30" s="2580"/>
      <c r="K30" s="2580"/>
      <c r="L30" s="2581"/>
      <c r="M30" s="2580"/>
      <c r="N30" s="2580"/>
      <c r="O30" s="2581"/>
      <c r="P30" s="2580"/>
      <c r="Q30" s="2580"/>
      <c r="R30" s="2582"/>
    </row>
    <row r="31" s="1821" customFormat="1" spans="2:18">
      <c r="B31" s="2580"/>
      <c r="C31" s="2580"/>
      <c r="D31" s="2580"/>
      <c r="H31" s="2580"/>
      <c r="I31" s="2581"/>
      <c r="J31" s="2580"/>
      <c r="K31" s="2580"/>
      <c r="L31" s="2581"/>
      <c r="M31" s="2580"/>
      <c r="N31" s="2580"/>
      <c r="O31" s="2581"/>
      <c r="P31" s="2580"/>
      <c r="Q31" s="2580"/>
      <c r="R31" s="2582"/>
    </row>
    <row r="32" s="1821" customFormat="1" spans="2:18">
      <c r="B32" s="2580"/>
      <c r="C32" s="2580"/>
      <c r="D32" s="2580"/>
      <c r="H32" s="2580"/>
      <c r="I32" s="2581"/>
      <c r="J32" s="2580"/>
      <c r="K32" s="2580"/>
      <c r="L32" s="2581"/>
      <c r="M32" s="2580"/>
      <c r="N32" s="2580"/>
      <c r="O32" s="2581"/>
      <c r="P32" s="2580"/>
      <c r="Q32" s="2580"/>
      <c r="R32" s="2582"/>
    </row>
    <row r="33" s="1821" customFormat="1" spans="2:18">
      <c r="B33" s="2580"/>
      <c r="C33" s="2580"/>
      <c r="D33" s="2580"/>
      <c r="H33" s="2580"/>
      <c r="I33" s="2581"/>
      <c r="J33" s="2580"/>
      <c r="K33" s="2580"/>
      <c r="L33" s="2581"/>
      <c r="M33" s="2580"/>
      <c r="N33" s="2580"/>
      <c r="O33" s="2581"/>
      <c r="P33" s="2580"/>
      <c r="Q33" s="2580"/>
      <c r="R33" s="2582"/>
    </row>
    <row r="34" s="1821" customFormat="1" spans="2:18">
      <c r="B34" s="2580"/>
      <c r="C34" s="2580"/>
      <c r="D34" s="2580"/>
      <c r="H34" s="2580"/>
      <c r="I34" s="2581"/>
      <c r="J34" s="2580"/>
      <c r="K34" s="2580"/>
      <c r="L34" s="2581"/>
      <c r="M34" s="2580"/>
      <c r="N34" s="2580"/>
      <c r="O34" s="2581"/>
      <c r="P34" s="2580"/>
      <c r="Q34" s="2580"/>
      <c r="R34" s="2582"/>
    </row>
    <row r="35" s="1821" customFormat="1" spans="2:18">
      <c r="B35" s="2580"/>
      <c r="C35" s="2580"/>
      <c r="D35" s="2580"/>
      <c r="H35" s="2580"/>
      <c r="I35" s="2581"/>
      <c r="J35" s="2580"/>
      <c r="K35" s="2580"/>
      <c r="L35" s="2581"/>
      <c r="M35" s="2580"/>
      <c r="N35" s="2580"/>
      <c r="O35" s="2581"/>
      <c r="P35" s="2580"/>
      <c r="Q35" s="2580"/>
      <c r="R35" s="2582"/>
    </row>
    <row r="36" s="1821" customFormat="1" spans="2:18">
      <c r="B36" s="2580"/>
      <c r="C36" s="2580"/>
      <c r="D36" s="2580"/>
      <c r="H36" s="2580"/>
      <c r="I36" s="2581"/>
      <c r="J36" s="2580"/>
      <c r="K36" s="2580"/>
      <c r="L36" s="2581"/>
      <c r="M36" s="2580"/>
      <c r="N36" s="2580"/>
      <c r="O36" s="2581"/>
      <c r="P36" s="2580"/>
      <c r="Q36" s="2580"/>
      <c r="R36" s="2582"/>
    </row>
    <row r="37" s="1821" customFormat="1" spans="2:18">
      <c r="B37" s="2580"/>
      <c r="C37" s="2580"/>
      <c r="D37" s="2580"/>
      <c r="H37" s="2580"/>
      <c r="I37" s="2581"/>
      <c r="J37" s="2580"/>
      <c r="K37" s="2580"/>
      <c r="L37" s="2581"/>
      <c r="M37" s="2580"/>
      <c r="N37" s="2580"/>
      <c r="O37" s="2581"/>
      <c r="P37" s="2580"/>
      <c r="Q37" s="2580"/>
      <c r="R37" s="2582"/>
    </row>
    <row r="38" s="1821" customFormat="1" spans="2:18">
      <c r="B38" s="2580"/>
      <c r="C38" s="2580"/>
      <c r="D38" s="2580"/>
      <c r="E38" s="2580"/>
      <c r="F38" s="2580"/>
      <c r="G38" s="2581"/>
      <c r="H38" s="2580"/>
      <c r="I38" s="2581"/>
      <c r="J38" s="2580"/>
      <c r="K38" s="2580"/>
      <c r="L38" s="2581"/>
      <c r="M38" s="2580"/>
      <c r="N38" s="2580"/>
      <c r="O38" s="2581"/>
      <c r="P38" s="2580"/>
      <c r="Q38" s="2580"/>
      <c r="R38" s="2582"/>
    </row>
    <row r="39" s="1821" customFormat="1" spans="2:18">
      <c r="B39" s="2580"/>
      <c r="C39" s="2580"/>
      <c r="D39" s="2580"/>
      <c r="E39" s="2580"/>
      <c r="F39" s="2580"/>
      <c r="G39" s="2581"/>
      <c r="H39" s="2580"/>
      <c r="I39" s="2581"/>
      <c r="J39" s="2580"/>
      <c r="K39" s="2580"/>
      <c r="L39" s="2581"/>
      <c r="M39" s="2580"/>
      <c r="N39" s="2580"/>
      <c r="O39" s="2581"/>
      <c r="P39" s="2580"/>
      <c r="Q39" s="2580"/>
      <c r="R39" s="2582"/>
    </row>
    <row r="40" s="1821" customFormat="1" spans="2:18">
      <c r="B40" s="2580"/>
      <c r="C40" s="2580"/>
      <c r="D40" s="2580"/>
      <c r="E40" s="2580"/>
      <c r="F40" s="2580"/>
      <c r="G40" s="2581"/>
      <c r="H40" s="2580"/>
      <c r="I40" s="2581"/>
      <c r="J40" s="2580"/>
      <c r="K40" s="2580"/>
      <c r="L40" s="2581"/>
      <c r="M40" s="2580"/>
      <c r="N40" s="2580"/>
      <c r="O40" s="2581"/>
      <c r="P40" s="2580"/>
      <c r="Q40" s="2580"/>
      <c r="R40" s="2582"/>
    </row>
    <row r="41" s="1821" customFormat="1" spans="2:18">
      <c r="B41" s="2580"/>
      <c r="C41" s="2580"/>
      <c r="D41" s="2580"/>
      <c r="E41" s="2580"/>
      <c r="F41" s="2580"/>
      <c r="G41" s="2581"/>
      <c r="H41" s="2580"/>
      <c r="I41" s="2581"/>
      <c r="J41" s="2580"/>
      <c r="K41" s="2580"/>
      <c r="L41" s="2581"/>
      <c r="M41" s="2580"/>
      <c r="N41" s="2580"/>
      <c r="O41" s="2581"/>
      <c r="P41" s="2580"/>
      <c r="Q41" s="2580"/>
      <c r="R41" s="2582"/>
    </row>
    <row r="42" s="1821" customFormat="1" spans="2:18">
      <c r="B42" s="2580"/>
      <c r="C42" s="2580"/>
      <c r="D42" s="2580"/>
      <c r="E42" s="2580"/>
      <c r="F42" s="2580"/>
      <c r="G42" s="2581"/>
      <c r="H42" s="2580"/>
      <c r="I42" s="2581"/>
      <c r="J42" s="2580"/>
      <c r="K42" s="2580"/>
      <c r="L42" s="2581"/>
      <c r="M42" s="2580"/>
      <c r="N42" s="2580"/>
      <c r="O42" s="2581"/>
      <c r="P42" s="2580"/>
      <c r="Q42" s="2580"/>
      <c r="R42" s="2582"/>
    </row>
    <row r="43" s="1821" customFormat="1" spans="2:18">
      <c r="B43" s="2580"/>
      <c r="C43" s="2580"/>
      <c r="D43" s="2580"/>
      <c r="E43" s="2580"/>
      <c r="F43" s="2580"/>
      <c r="G43" s="2581"/>
      <c r="H43" s="2580"/>
      <c r="I43" s="2581"/>
      <c r="J43" s="2580"/>
      <c r="K43" s="2580"/>
      <c r="L43" s="2581"/>
      <c r="M43" s="2580"/>
      <c r="N43" s="2580"/>
      <c r="O43" s="2581"/>
      <c r="P43" s="2580"/>
      <c r="Q43" s="2580"/>
      <c r="R43" s="2582"/>
    </row>
    <row r="44" s="1821" customFormat="1" spans="2:18">
      <c r="B44" s="2580"/>
      <c r="C44" s="2580"/>
      <c r="D44" s="2580"/>
      <c r="E44" s="2580"/>
      <c r="F44" s="2580"/>
      <c r="G44" s="2581"/>
      <c r="H44" s="2580"/>
      <c r="I44" s="2581"/>
      <c r="J44" s="2580"/>
      <c r="K44" s="2580"/>
      <c r="L44" s="2581"/>
      <c r="M44" s="2580"/>
      <c r="N44" s="2580"/>
      <c r="O44" s="2581"/>
      <c r="P44" s="2580"/>
      <c r="Q44" s="2580"/>
      <c r="R44" s="2582"/>
    </row>
    <row r="45" s="1821" customFormat="1" spans="2:18">
      <c r="B45" s="2580"/>
      <c r="C45" s="2580"/>
      <c r="D45" s="2580"/>
      <c r="E45" s="2580"/>
      <c r="F45" s="2580"/>
      <c r="G45" s="2581"/>
      <c r="H45" s="2580"/>
      <c r="I45" s="2581"/>
      <c r="J45" s="2580"/>
      <c r="K45" s="2580"/>
      <c r="L45" s="2581"/>
      <c r="M45" s="2580"/>
      <c r="N45" s="2580"/>
      <c r="O45" s="2581"/>
      <c r="P45" s="2580"/>
      <c r="Q45" s="2580"/>
      <c r="R45" s="2582"/>
    </row>
    <row r="46" s="1821" customFormat="1" spans="2:18">
      <c r="B46" s="2580"/>
      <c r="C46" s="2580"/>
      <c r="D46" s="2580"/>
      <c r="E46" s="2580"/>
      <c r="F46" s="2580"/>
      <c r="G46" s="2581"/>
      <c r="H46" s="2580"/>
      <c r="I46" s="2581"/>
      <c r="J46" s="2580"/>
      <c r="K46" s="2580"/>
      <c r="L46" s="2581"/>
      <c r="M46" s="2580"/>
      <c r="N46" s="2580"/>
      <c r="O46" s="2581"/>
      <c r="P46" s="2580"/>
      <c r="Q46" s="2580"/>
      <c r="R46" s="2582"/>
    </row>
    <row r="47" s="1821" customFormat="1" spans="2:18">
      <c r="B47" s="2580"/>
      <c r="C47" s="2580"/>
      <c r="D47" s="2580"/>
      <c r="E47" s="2580"/>
      <c r="F47" s="2580"/>
      <c r="G47" s="2581"/>
      <c r="H47" s="2580"/>
      <c r="I47" s="2581"/>
      <c r="J47" s="2580"/>
      <c r="K47" s="2580"/>
      <c r="L47" s="2581"/>
      <c r="M47" s="2580"/>
      <c r="N47" s="2580"/>
      <c r="O47" s="2581"/>
      <c r="P47" s="2580"/>
      <c r="Q47" s="2580"/>
      <c r="R47" s="2582"/>
    </row>
    <row r="48" s="1821" customFormat="1" spans="2:18">
      <c r="B48" s="2580"/>
      <c r="C48" s="2580"/>
      <c r="D48" s="2580"/>
      <c r="E48" s="2580"/>
      <c r="F48" s="2580"/>
      <c r="G48" s="2581"/>
      <c r="H48" s="2580"/>
      <c r="I48" s="2581"/>
      <c r="J48" s="2580"/>
      <c r="K48" s="2580"/>
      <c r="L48" s="2581"/>
      <c r="M48" s="2580"/>
      <c r="N48" s="2580"/>
      <c r="O48" s="2581"/>
      <c r="P48" s="2580"/>
      <c r="Q48" s="2580"/>
      <c r="R48" s="2582"/>
    </row>
    <row r="49" s="1821" customFormat="1" spans="2:18">
      <c r="B49" s="2580"/>
      <c r="C49" s="2580"/>
      <c r="D49" s="2580"/>
      <c r="E49" s="2580"/>
      <c r="F49" s="2580"/>
      <c r="G49" s="2581"/>
      <c r="H49" s="2580"/>
      <c r="I49" s="2581"/>
      <c r="J49" s="2580"/>
      <c r="K49" s="2580"/>
      <c r="L49" s="2581"/>
      <c r="M49" s="2580"/>
      <c r="N49" s="2580"/>
      <c r="O49" s="2581"/>
      <c r="P49" s="2580"/>
      <c r="Q49" s="2580"/>
      <c r="R49" s="2582"/>
    </row>
    <row r="50" s="1821" customFormat="1" spans="2:18">
      <c r="B50" s="2580"/>
      <c r="C50" s="2580"/>
      <c r="D50" s="2580"/>
      <c r="E50" s="2580"/>
      <c r="F50" s="2580"/>
      <c r="G50" s="2581"/>
      <c r="H50" s="2580"/>
      <c r="I50" s="2581"/>
      <c r="J50" s="2580"/>
      <c r="K50" s="2580"/>
      <c r="L50" s="2581"/>
      <c r="M50" s="2580"/>
      <c r="N50" s="2580"/>
      <c r="O50" s="2581"/>
      <c r="P50" s="2580"/>
      <c r="Q50" s="2580"/>
      <c r="R50" s="2582"/>
    </row>
    <row r="51" s="1821" customFormat="1" spans="2:18">
      <c r="B51" s="2580"/>
      <c r="C51" s="2580"/>
      <c r="D51" s="2580"/>
      <c r="E51" s="2580"/>
      <c r="F51" s="2580"/>
      <c r="G51" s="2581"/>
      <c r="H51" s="2580"/>
      <c r="I51" s="2581"/>
      <c r="J51" s="2580"/>
      <c r="K51" s="2580"/>
      <c r="L51" s="2581"/>
      <c r="M51" s="2580"/>
      <c r="N51" s="2580"/>
      <c r="O51" s="2581"/>
      <c r="P51" s="2580"/>
      <c r="Q51" s="2580"/>
      <c r="R51" s="2582"/>
    </row>
    <row r="52" s="1821" customFormat="1" spans="2:18">
      <c r="B52" s="2580"/>
      <c r="C52" s="2580"/>
      <c r="D52" s="2580"/>
      <c r="E52" s="2580"/>
      <c r="F52" s="2580"/>
      <c r="G52" s="2581"/>
      <c r="H52" s="2580"/>
      <c r="I52" s="2581"/>
      <c r="J52" s="2580"/>
      <c r="K52" s="2580"/>
      <c r="L52" s="2581"/>
      <c r="M52" s="2580"/>
      <c r="N52" s="2580"/>
      <c r="O52" s="2581"/>
      <c r="P52" s="2580"/>
      <c r="Q52" s="2580"/>
      <c r="R52" s="2582"/>
    </row>
    <row r="53" s="1821" customFormat="1" spans="2:18">
      <c r="B53" s="2580"/>
      <c r="C53" s="2580"/>
      <c r="D53" s="2580"/>
      <c r="E53" s="2580"/>
      <c r="F53" s="2580"/>
      <c r="G53" s="2581"/>
      <c r="H53" s="2580"/>
      <c r="I53" s="2581"/>
      <c r="J53" s="2580"/>
      <c r="K53" s="2580"/>
      <c r="L53" s="2581"/>
      <c r="M53" s="2580"/>
      <c r="N53" s="2580"/>
      <c r="O53" s="2581"/>
      <c r="P53" s="2580"/>
      <c r="Q53" s="2580"/>
      <c r="R53" s="2582"/>
    </row>
    <row r="54" s="1821" customFormat="1" spans="2:18">
      <c r="B54" s="2580"/>
      <c r="C54" s="2580"/>
      <c r="D54" s="2580"/>
      <c r="E54" s="2580"/>
      <c r="F54" s="2580"/>
      <c r="G54" s="2581"/>
      <c r="H54" s="2580"/>
      <c r="I54" s="2581"/>
      <c r="J54" s="2580"/>
      <c r="K54" s="2580"/>
      <c r="L54" s="2581"/>
      <c r="M54" s="2580"/>
      <c r="N54" s="2580"/>
      <c r="O54" s="2581"/>
      <c r="P54" s="2580"/>
      <c r="Q54" s="2580"/>
      <c r="R54" s="2582"/>
    </row>
    <row r="55" s="1821" customFormat="1" spans="2:18">
      <c r="B55" s="2580"/>
      <c r="C55" s="2580"/>
      <c r="D55" s="2580"/>
      <c r="E55" s="2580"/>
      <c r="F55" s="2580"/>
      <c r="G55" s="2581"/>
      <c r="H55" s="2580"/>
      <c r="I55" s="2581"/>
      <c r="J55" s="2580"/>
      <c r="K55" s="2580"/>
      <c r="L55" s="2581"/>
      <c r="M55" s="2580"/>
      <c r="N55" s="2580"/>
      <c r="O55" s="2581"/>
      <c r="P55" s="2580"/>
      <c r="Q55" s="2580"/>
      <c r="R55" s="2582"/>
    </row>
    <row r="56" s="1821" customFormat="1" spans="2:18">
      <c r="B56" s="2580"/>
      <c r="C56" s="2580"/>
      <c r="D56" s="2580"/>
      <c r="E56" s="2580"/>
      <c r="F56" s="2580"/>
      <c r="G56" s="2581"/>
      <c r="H56" s="2580"/>
      <c r="I56" s="2581"/>
      <c r="J56" s="2580"/>
      <c r="K56" s="2580"/>
      <c r="L56" s="2581"/>
      <c r="M56" s="2580"/>
      <c r="N56" s="2580"/>
      <c r="O56" s="2581"/>
      <c r="P56" s="2580"/>
      <c r="Q56" s="2580"/>
      <c r="R56" s="2582"/>
    </row>
    <row r="57" s="1821" customFormat="1" spans="2:18">
      <c r="B57" s="2580"/>
      <c r="C57" s="2580"/>
      <c r="D57" s="2580"/>
      <c r="E57" s="2580"/>
      <c r="F57" s="2580"/>
      <c r="G57" s="2581"/>
      <c r="H57" s="2580"/>
      <c r="I57" s="2581"/>
      <c r="J57" s="2580"/>
      <c r="K57" s="2580"/>
      <c r="L57" s="2581"/>
      <c r="M57" s="2580"/>
      <c r="N57" s="2580"/>
      <c r="O57" s="2581"/>
      <c r="P57" s="2580"/>
      <c r="Q57" s="2580"/>
      <c r="R57" s="2582"/>
    </row>
    <row r="58" s="1821" customFormat="1" spans="2:18">
      <c r="B58" s="2580"/>
      <c r="C58" s="2580"/>
      <c r="D58" s="2580"/>
      <c r="E58" s="2580"/>
      <c r="F58" s="2580"/>
      <c r="G58" s="2581"/>
      <c r="H58" s="2580"/>
      <c r="I58" s="2581"/>
      <c r="J58" s="2580"/>
      <c r="K58" s="2580"/>
      <c r="L58" s="2581"/>
      <c r="M58" s="2580"/>
      <c r="N58" s="2580"/>
      <c r="O58" s="2581"/>
      <c r="P58" s="2580"/>
      <c r="Q58" s="2580"/>
      <c r="R58" s="2582"/>
    </row>
    <row r="59" s="1821" customFormat="1" spans="2:18">
      <c r="B59" s="2580"/>
      <c r="C59" s="2580"/>
      <c r="D59" s="2580"/>
      <c r="E59" s="2580"/>
      <c r="F59" s="2580"/>
      <c r="G59" s="2581"/>
      <c r="H59" s="2580"/>
      <c r="I59" s="2581"/>
      <c r="J59" s="2580"/>
      <c r="K59" s="2580"/>
      <c r="L59" s="2581"/>
      <c r="M59" s="2580"/>
      <c r="N59" s="2580"/>
      <c r="O59" s="2581"/>
      <c r="P59" s="2580"/>
      <c r="Q59" s="2580"/>
      <c r="R59" s="2582"/>
    </row>
    <row r="60" s="1821" customFormat="1" spans="2:18">
      <c r="B60" s="2580"/>
      <c r="C60" s="2580"/>
      <c r="D60" s="2580"/>
      <c r="E60" s="2580"/>
      <c r="F60" s="2580"/>
      <c r="G60" s="2581"/>
      <c r="H60" s="2580"/>
      <c r="I60" s="2581"/>
      <c r="J60" s="2580"/>
      <c r="K60" s="2580"/>
      <c r="L60" s="2581"/>
      <c r="M60" s="2580"/>
      <c r="N60" s="2580"/>
      <c r="O60" s="2581"/>
      <c r="P60" s="2580"/>
      <c r="Q60" s="2580"/>
      <c r="R60" s="2582"/>
    </row>
    <row r="61" s="1821" customFormat="1" spans="2:18">
      <c r="B61" s="2580"/>
      <c r="C61" s="2580"/>
      <c r="D61" s="2580"/>
      <c r="E61" s="2580"/>
      <c r="F61" s="2580"/>
      <c r="G61" s="2581"/>
      <c r="H61" s="2580"/>
      <c r="I61" s="2581"/>
      <c r="J61" s="2580"/>
      <c r="K61" s="2580"/>
      <c r="L61" s="2581"/>
      <c r="M61" s="2580"/>
      <c r="N61" s="2580"/>
      <c r="O61" s="2581"/>
      <c r="P61" s="2580"/>
      <c r="Q61" s="2580"/>
      <c r="R61" s="2582"/>
    </row>
    <row r="62" s="1821" customFormat="1" spans="2:18">
      <c r="B62" s="2580"/>
      <c r="C62" s="2580"/>
      <c r="D62" s="2580"/>
      <c r="E62" s="2580"/>
      <c r="F62" s="2580"/>
      <c r="G62" s="2581"/>
      <c r="H62" s="2580"/>
      <c r="I62" s="2581"/>
      <c r="J62" s="2580"/>
      <c r="K62" s="2580"/>
      <c r="L62" s="2581"/>
      <c r="M62" s="2580"/>
      <c r="N62" s="2580"/>
      <c r="O62" s="2581"/>
      <c r="P62" s="2580"/>
      <c r="Q62" s="2580"/>
      <c r="R62" s="2582"/>
    </row>
    <row r="63" s="1821" customFormat="1" spans="2:18">
      <c r="B63" s="2580"/>
      <c r="C63" s="2580"/>
      <c r="D63" s="2580"/>
      <c r="E63" s="2580"/>
      <c r="F63" s="2580"/>
      <c r="G63" s="2581"/>
      <c r="H63" s="2580"/>
      <c r="I63" s="2581"/>
      <c r="J63" s="2580"/>
      <c r="K63" s="2580"/>
      <c r="L63" s="2581"/>
      <c r="M63" s="2580"/>
      <c r="N63" s="2580"/>
      <c r="O63" s="2581"/>
      <c r="P63" s="2580"/>
      <c r="Q63" s="2580"/>
      <c r="R63" s="2582"/>
    </row>
    <row r="64" s="1821" customFormat="1" spans="2:18">
      <c r="B64" s="2580"/>
      <c r="C64" s="2580"/>
      <c r="D64" s="2580"/>
      <c r="E64" s="2580"/>
      <c r="F64" s="2580"/>
      <c r="G64" s="2581"/>
      <c r="H64" s="2580"/>
      <c r="I64" s="2581"/>
      <c r="J64" s="2580"/>
      <c r="K64" s="2580"/>
      <c r="L64" s="2581"/>
      <c r="M64" s="2580"/>
      <c r="N64" s="2580"/>
      <c r="O64" s="2581"/>
      <c r="P64" s="2580"/>
      <c r="Q64" s="2580"/>
      <c r="R64" s="2582"/>
    </row>
    <row r="65" s="1821" customFormat="1" spans="2:18">
      <c r="B65" s="2580"/>
      <c r="C65" s="2580"/>
      <c r="D65" s="2580"/>
      <c r="E65" s="2580"/>
      <c r="F65" s="2580"/>
      <c r="G65" s="2581"/>
      <c r="H65" s="2580"/>
      <c r="I65" s="2581"/>
      <c r="J65" s="2580"/>
      <c r="K65" s="2580"/>
      <c r="L65" s="2581"/>
      <c r="M65" s="2580"/>
      <c r="N65" s="2580"/>
      <c r="O65" s="2581"/>
      <c r="P65" s="2580"/>
      <c r="Q65" s="2580"/>
      <c r="R65" s="2582"/>
    </row>
    <row r="66" s="1821" customFormat="1" spans="2:18">
      <c r="B66" s="2580"/>
      <c r="C66" s="2580"/>
      <c r="D66" s="2580"/>
      <c r="E66" s="2580"/>
      <c r="F66" s="2580"/>
      <c r="G66" s="2581"/>
      <c r="H66" s="2580"/>
      <c r="I66" s="2581"/>
      <c r="J66" s="2580"/>
      <c r="K66" s="2580"/>
      <c r="L66" s="2581"/>
      <c r="M66" s="2580"/>
      <c r="N66" s="2580"/>
      <c r="O66" s="2581"/>
      <c r="P66" s="2580"/>
      <c r="Q66" s="2580"/>
      <c r="R66" s="2582"/>
    </row>
    <row r="67" s="1821" customFormat="1" spans="2:18">
      <c r="B67" s="2580"/>
      <c r="C67" s="2580"/>
      <c r="D67" s="2580"/>
      <c r="E67" s="2580"/>
      <c r="F67" s="2580"/>
      <c r="G67" s="2581"/>
      <c r="H67" s="2580"/>
      <c r="I67" s="2581"/>
      <c r="J67" s="2580"/>
      <c r="K67" s="2580"/>
      <c r="L67" s="2581"/>
      <c r="M67" s="2580"/>
      <c r="N67" s="2580"/>
      <c r="O67" s="2581"/>
      <c r="P67" s="2580"/>
      <c r="Q67" s="2580"/>
      <c r="R67" s="2582"/>
    </row>
    <row r="68" s="1821" customFormat="1" spans="2:18">
      <c r="B68" s="2580"/>
      <c r="C68" s="2580"/>
      <c r="D68" s="2580"/>
      <c r="E68" s="2580"/>
      <c r="F68" s="2580"/>
      <c r="G68" s="2581"/>
      <c r="H68" s="2580"/>
      <c r="I68" s="2581"/>
      <c r="J68" s="2580"/>
      <c r="K68" s="2580"/>
      <c r="L68" s="2581"/>
      <c r="M68" s="2580"/>
      <c r="N68" s="2580"/>
      <c r="O68" s="2581"/>
      <c r="P68" s="2580"/>
      <c r="Q68" s="2580"/>
      <c r="R68" s="2582"/>
    </row>
    <row r="69" s="1821" customFormat="1" spans="2:18">
      <c r="B69" s="2580"/>
      <c r="C69" s="2580"/>
      <c r="D69" s="2580"/>
      <c r="E69" s="2580"/>
      <c r="F69" s="2580"/>
      <c r="G69" s="2581"/>
      <c r="H69" s="2580"/>
      <c r="I69" s="2581"/>
      <c r="J69" s="2580"/>
      <c r="K69" s="2580"/>
      <c r="L69" s="2581"/>
      <c r="M69" s="2580"/>
      <c r="N69" s="2580"/>
      <c r="O69" s="2581"/>
      <c r="P69" s="2580"/>
      <c r="Q69" s="2580"/>
      <c r="R69" s="2582"/>
    </row>
    <row r="70" s="1821" customFormat="1" spans="2:18">
      <c r="B70" s="2580"/>
      <c r="C70" s="2580"/>
      <c r="D70" s="2580"/>
      <c r="E70" s="2580"/>
      <c r="F70" s="2580"/>
      <c r="G70" s="2581"/>
      <c r="H70" s="2580"/>
      <c r="I70" s="2581"/>
      <c r="J70" s="2580"/>
      <c r="K70" s="2580"/>
      <c r="L70" s="2581"/>
      <c r="M70" s="2580"/>
      <c r="N70" s="2580"/>
      <c r="O70" s="2581"/>
      <c r="P70" s="2580"/>
      <c r="Q70" s="2580"/>
      <c r="R70" s="2582"/>
    </row>
    <row r="71" s="1821" customFormat="1" spans="2:18">
      <c r="B71" s="2580"/>
      <c r="C71" s="2580"/>
      <c r="D71" s="2580"/>
      <c r="E71" s="2580"/>
      <c r="F71" s="2580"/>
      <c r="G71" s="2581"/>
      <c r="H71" s="2580"/>
      <c r="I71" s="2581"/>
      <c r="J71" s="2580"/>
      <c r="K71" s="2580"/>
      <c r="L71" s="2581"/>
      <c r="M71" s="2580"/>
      <c r="N71" s="2580"/>
      <c r="O71" s="2581"/>
      <c r="P71" s="2580"/>
      <c r="Q71" s="2580"/>
      <c r="R71" s="2582"/>
    </row>
    <row r="72" s="1821" customFormat="1" spans="2:18">
      <c r="B72" s="2580"/>
      <c r="C72" s="2580"/>
      <c r="D72" s="2580"/>
      <c r="E72" s="2580"/>
      <c r="F72" s="2580"/>
      <c r="G72" s="2581"/>
      <c r="H72" s="2580"/>
      <c r="I72" s="2581"/>
      <c r="J72" s="2580"/>
      <c r="K72" s="2580"/>
      <c r="L72" s="2581"/>
      <c r="M72" s="2580"/>
      <c r="N72" s="2580"/>
      <c r="O72" s="2581"/>
      <c r="P72" s="2580"/>
      <c r="Q72" s="2580"/>
      <c r="R72" s="2582"/>
    </row>
    <row r="73" s="1821" customFormat="1" spans="2:18">
      <c r="B73" s="2580"/>
      <c r="C73" s="2580"/>
      <c r="D73" s="2580"/>
      <c r="E73" s="2580"/>
      <c r="F73" s="2580"/>
      <c r="G73" s="2581"/>
      <c r="H73" s="2580"/>
      <c r="I73" s="2581"/>
      <c r="J73" s="2580"/>
      <c r="K73" s="2580"/>
      <c r="L73" s="2581"/>
      <c r="M73" s="2580"/>
      <c r="N73" s="2580"/>
      <c r="O73" s="2581"/>
      <c r="P73" s="2580"/>
      <c r="Q73" s="2580"/>
      <c r="R73" s="2582"/>
    </row>
    <row r="74" s="1821" customFormat="1" spans="2:18">
      <c r="B74" s="2580"/>
      <c r="C74" s="2580"/>
      <c r="D74" s="2580"/>
      <c r="E74" s="2580"/>
      <c r="F74" s="2580"/>
      <c r="G74" s="2581"/>
      <c r="H74" s="2580"/>
      <c r="I74" s="2581"/>
      <c r="J74" s="2580"/>
      <c r="K74" s="2580"/>
      <c r="L74" s="2581"/>
      <c r="M74" s="2580"/>
      <c r="N74" s="2580"/>
      <c r="O74" s="2581"/>
      <c r="P74" s="2580"/>
      <c r="Q74" s="2580"/>
      <c r="R74" s="2582"/>
    </row>
    <row r="75" s="1821" customFormat="1" spans="2:18">
      <c r="B75" s="2580"/>
      <c r="C75" s="2580"/>
      <c r="D75" s="2580"/>
      <c r="E75" s="2580"/>
      <c r="F75" s="2580"/>
      <c r="G75" s="2581"/>
      <c r="H75" s="2580"/>
      <c r="I75" s="2581"/>
      <c r="J75" s="2580"/>
      <c r="K75" s="2580"/>
      <c r="L75" s="2581"/>
      <c r="M75" s="2580"/>
      <c r="N75" s="2580"/>
      <c r="O75" s="2581"/>
      <c r="P75" s="2580"/>
      <c r="Q75" s="2580"/>
      <c r="R75" s="2582"/>
    </row>
    <row r="76" s="1821" customFormat="1" spans="2:18">
      <c r="B76" s="2580"/>
      <c r="C76" s="2580"/>
      <c r="D76" s="2580"/>
      <c r="E76" s="2580"/>
      <c r="F76" s="2580"/>
      <c r="G76" s="2581"/>
      <c r="H76" s="2580"/>
      <c r="I76" s="2581"/>
      <c r="J76" s="2580"/>
      <c r="K76" s="2580"/>
      <c r="L76" s="2581"/>
      <c r="M76" s="2580"/>
      <c r="N76" s="2580"/>
      <c r="O76" s="2581"/>
      <c r="P76" s="2580"/>
      <c r="Q76" s="2580"/>
      <c r="R76" s="2582"/>
    </row>
    <row r="77" s="1821" customFormat="1" spans="2:18">
      <c r="B77" s="2580"/>
      <c r="C77" s="2580"/>
      <c r="D77" s="2580"/>
      <c r="E77" s="2580"/>
      <c r="F77" s="2580"/>
      <c r="G77" s="2581"/>
      <c r="H77" s="2580"/>
      <c r="I77" s="2581"/>
      <c r="J77" s="2580"/>
      <c r="K77" s="2580"/>
      <c r="L77" s="2581"/>
      <c r="M77" s="2580"/>
      <c r="N77" s="2580"/>
      <c r="O77" s="2581"/>
      <c r="P77" s="2580"/>
      <c r="Q77" s="2580"/>
      <c r="R77" s="2582"/>
    </row>
    <row r="78" s="1821" customFormat="1" spans="2:18">
      <c r="B78" s="2580"/>
      <c r="C78" s="2580"/>
      <c r="D78" s="2580"/>
      <c r="E78" s="2580"/>
      <c r="F78" s="2580"/>
      <c r="G78" s="2581"/>
      <c r="H78" s="2580"/>
      <c r="I78" s="2581"/>
      <c r="J78" s="2580"/>
      <c r="K78" s="2580"/>
      <c r="L78" s="2581"/>
      <c r="M78" s="2580"/>
      <c r="N78" s="2580"/>
      <c r="O78" s="2581"/>
      <c r="P78" s="2580"/>
      <c r="Q78" s="2580"/>
      <c r="R78" s="2582"/>
    </row>
    <row r="79" s="1821" customFormat="1" spans="2:18">
      <c r="B79" s="2580"/>
      <c r="C79" s="2580"/>
      <c r="D79" s="2580"/>
      <c r="E79" s="2580"/>
      <c r="F79" s="2580"/>
      <c r="G79" s="2581"/>
      <c r="H79" s="2580"/>
      <c r="I79" s="2581"/>
      <c r="J79" s="2580"/>
      <c r="K79" s="2580"/>
      <c r="L79" s="2581"/>
      <c r="M79" s="2580"/>
      <c r="N79" s="2580"/>
      <c r="O79" s="2581"/>
      <c r="P79" s="2580"/>
      <c r="Q79" s="2580"/>
      <c r="R79" s="2582"/>
    </row>
    <row r="80" s="1821" customFormat="1" spans="2:18">
      <c r="B80" s="2580"/>
      <c r="C80" s="2580"/>
      <c r="D80" s="2580"/>
      <c r="E80" s="2580"/>
      <c r="F80" s="2580"/>
      <c r="G80" s="2581"/>
      <c r="H80" s="2580"/>
      <c r="I80" s="2581"/>
      <c r="J80" s="2580"/>
      <c r="K80" s="2580"/>
      <c r="L80" s="2581"/>
      <c r="M80" s="2580"/>
      <c r="N80" s="2580"/>
      <c r="O80" s="2581"/>
      <c r="P80" s="2580"/>
      <c r="Q80" s="2580"/>
      <c r="R80" s="2582"/>
    </row>
    <row r="81" s="1821" customFormat="1" spans="2:18">
      <c r="B81" s="2580"/>
      <c r="C81" s="2580"/>
      <c r="D81" s="2580"/>
      <c r="E81" s="2580"/>
      <c r="F81" s="2580"/>
      <c r="G81" s="2581"/>
      <c r="H81" s="2580"/>
      <c r="I81" s="2581"/>
      <c r="J81" s="2580"/>
      <c r="K81" s="2580"/>
      <c r="L81" s="2581"/>
      <c r="M81" s="2580"/>
      <c r="N81" s="2580"/>
      <c r="O81" s="2581"/>
      <c r="P81" s="2580"/>
      <c r="Q81" s="2580"/>
      <c r="R81" s="2582"/>
    </row>
    <row r="82" s="1821" customFormat="1" spans="2:18">
      <c r="B82" s="2580"/>
      <c r="C82" s="2580"/>
      <c r="D82" s="2580"/>
      <c r="E82" s="2580"/>
      <c r="F82" s="2580"/>
      <c r="G82" s="2581"/>
      <c r="H82" s="2580"/>
      <c r="I82" s="2581"/>
      <c r="J82" s="2580"/>
      <c r="K82" s="2580"/>
      <c r="L82" s="2581"/>
      <c r="M82" s="2580"/>
      <c r="N82" s="2580"/>
      <c r="O82" s="2581"/>
      <c r="P82" s="2580"/>
      <c r="Q82" s="2580"/>
      <c r="R82" s="2582"/>
    </row>
    <row r="83" s="1821" customFormat="1" spans="2:18">
      <c r="B83" s="2580"/>
      <c r="C83" s="2580"/>
      <c r="D83" s="2580"/>
      <c r="E83" s="2580"/>
      <c r="F83" s="2580"/>
      <c r="G83" s="2581"/>
      <c r="H83" s="2580"/>
      <c r="I83" s="2581"/>
      <c r="J83" s="2580"/>
      <c r="K83" s="2580"/>
      <c r="L83" s="2581"/>
      <c r="M83" s="2580"/>
      <c r="N83" s="2580"/>
      <c r="O83" s="2581"/>
      <c r="P83" s="2580"/>
      <c r="Q83" s="2580"/>
      <c r="R83" s="2582"/>
    </row>
    <row r="84" s="1821" customFormat="1" spans="2:18">
      <c r="B84" s="2580"/>
      <c r="C84" s="2580"/>
      <c r="D84" s="2580"/>
      <c r="E84" s="2580"/>
      <c r="F84" s="2580"/>
      <c r="G84" s="2581"/>
      <c r="H84" s="2580"/>
      <c r="I84" s="2581"/>
      <c r="J84" s="2580"/>
      <c r="K84" s="2580"/>
      <c r="L84" s="2581"/>
      <c r="M84" s="2580"/>
      <c r="N84" s="2580"/>
      <c r="O84" s="2581"/>
      <c r="P84" s="2580"/>
      <c r="Q84" s="2580"/>
      <c r="R84" s="2582"/>
    </row>
    <row r="85" s="1821" customFormat="1" spans="2:18">
      <c r="B85" s="2580"/>
      <c r="C85" s="2580"/>
      <c r="D85" s="2580"/>
      <c r="E85" s="2580"/>
      <c r="F85" s="2580"/>
      <c r="G85" s="2581"/>
      <c r="H85" s="2580"/>
      <c r="I85" s="2581"/>
      <c r="J85" s="2580"/>
      <c r="K85" s="2580"/>
      <c r="L85" s="2581"/>
      <c r="M85" s="2580"/>
      <c r="N85" s="2580"/>
      <c r="O85" s="2581"/>
      <c r="P85" s="2580"/>
      <c r="Q85" s="2580"/>
      <c r="R85" s="2582"/>
    </row>
    <row r="86" s="1821" customFormat="1" spans="2:18">
      <c r="B86" s="2580"/>
      <c r="C86" s="2580"/>
      <c r="D86" s="2580"/>
      <c r="E86" s="2580"/>
      <c r="F86" s="2580"/>
      <c r="G86" s="2581"/>
      <c r="H86" s="2580"/>
      <c r="I86" s="2581"/>
      <c r="J86" s="2580"/>
      <c r="K86" s="2580"/>
      <c r="L86" s="2581"/>
      <c r="M86" s="2580"/>
      <c r="N86" s="2580"/>
      <c r="O86" s="2581"/>
      <c r="P86" s="2580"/>
      <c r="Q86" s="2580"/>
      <c r="R86" s="2582"/>
    </row>
    <row r="87" s="1821" customFormat="1" spans="2:18">
      <c r="B87" s="2580"/>
      <c r="C87" s="2580"/>
      <c r="D87" s="2580"/>
      <c r="E87" s="2580"/>
      <c r="F87" s="2580"/>
      <c r="G87" s="2581"/>
      <c r="H87" s="2580"/>
      <c r="I87" s="2581"/>
      <c r="J87" s="2580"/>
      <c r="K87" s="2580"/>
      <c r="L87" s="2581"/>
      <c r="M87" s="2580"/>
      <c r="N87" s="2580"/>
      <c r="O87" s="2581"/>
      <c r="P87" s="2580"/>
      <c r="Q87" s="2580"/>
      <c r="R87" s="2582"/>
    </row>
    <row r="88" s="1821" customFormat="1" spans="2:18">
      <c r="B88" s="2580"/>
      <c r="C88" s="2580"/>
      <c r="D88" s="2580"/>
      <c r="E88" s="2580"/>
      <c r="F88" s="2580"/>
      <c r="G88" s="2581"/>
      <c r="H88" s="2580"/>
      <c r="I88" s="2581"/>
      <c r="J88" s="2580"/>
      <c r="K88" s="2580"/>
      <c r="L88" s="2581"/>
      <c r="M88" s="2580"/>
      <c r="N88" s="2580"/>
      <c r="O88" s="2581"/>
      <c r="P88" s="2580"/>
      <c r="Q88" s="2580"/>
      <c r="R88" s="2582"/>
    </row>
    <row r="89" s="1821" customFormat="1" spans="2:18">
      <c r="B89" s="2580"/>
      <c r="C89" s="2580"/>
      <c r="D89" s="2580"/>
      <c r="E89" s="2580"/>
      <c r="F89" s="2580"/>
      <c r="G89" s="2581"/>
      <c r="H89" s="2580"/>
      <c r="I89" s="2581"/>
      <c r="J89" s="2580"/>
      <c r="K89" s="2580"/>
      <c r="L89" s="2581"/>
      <c r="M89" s="2580"/>
      <c r="N89" s="2580"/>
      <c r="O89" s="2581"/>
      <c r="P89" s="2580"/>
      <c r="Q89" s="2580"/>
      <c r="R89" s="2582"/>
    </row>
    <row r="90" s="1821" customFormat="1" spans="2:18">
      <c r="B90" s="2580"/>
      <c r="C90" s="2580"/>
      <c r="D90" s="2580"/>
      <c r="E90" s="2580"/>
      <c r="F90" s="2580"/>
      <c r="G90" s="2581"/>
      <c r="H90" s="2580"/>
      <c r="I90" s="2581"/>
      <c r="J90" s="2580"/>
      <c r="K90" s="2580"/>
      <c r="L90" s="2581"/>
      <c r="M90" s="2580"/>
      <c r="N90" s="2580"/>
      <c r="O90" s="2581"/>
      <c r="P90" s="2580"/>
      <c r="Q90" s="2580"/>
      <c r="R90" s="2582"/>
    </row>
    <row r="91" s="1821" customFormat="1" spans="2:18">
      <c r="B91" s="2580"/>
      <c r="C91" s="2580"/>
      <c r="D91" s="2580"/>
      <c r="E91" s="2580"/>
      <c r="F91" s="2580"/>
      <c r="G91" s="2581"/>
      <c r="H91" s="2580"/>
      <c r="I91" s="2581"/>
      <c r="J91" s="2580"/>
      <c r="K91" s="2580"/>
      <c r="L91" s="2581"/>
      <c r="M91" s="2580"/>
      <c r="N91" s="2580"/>
      <c r="O91" s="2581"/>
      <c r="P91" s="2580"/>
      <c r="Q91" s="2580"/>
      <c r="R91" s="2582"/>
    </row>
    <row r="92" s="1821" customFormat="1" spans="2:18">
      <c r="B92" s="2580"/>
      <c r="C92" s="2580"/>
      <c r="D92" s="2580"/>
      <c r="E92" s="2580"/>
      <c r="F92" s="2580"/>
      <c r="G92" s="2581"/>
      <c r="H92" s="2580"/>
      <c r="I92" s="2581"/>
      <c r="J92" s="2580"/>
      <c r="K92" s="2580"/>
      <c r="L92" s="2581"/>
      <c r="M92" s="2580"/>
      <c r="N92" s="2580"/>
      <c r="O92" s="2581"/>
      <c r="P92" s="2580"/>
      <c r="Q92" s="2580"/>
      <c r="R92" s="2582"/>
    </row>
    <row r="93" s="1821" customFormat="1" spans="2:18">
      <c r="B93" s="2580"/>
      <c r="C93" s="2580"/>
      <c r="D93" s="2580"/>
      <c r="E93" s="2580"/>
      <c r="F93" s="2580"/>
      <c r="G93" s="2581"/>
      <c r="H93" s="2580"/>
      <c r="I93" s="2581"/>
      <c r="J93" s="2580"/>
      <c r="K93" s="2580"/>
      <c r="L93" s="2581"/>
      <c r="M93" s="2580"/>
      <c r="N93" s="2580"/>
      <c r="O93" s="2581"/>
      <c r="P93" s="2580"/>
      <c r="Q93" s="2580"/>
      <c r="R93" s="2582"/>
    </row>
    <row r="94" s="1821" customFormat="1" spans="2:18">
      <c r="B94" s="2580"/>
      <c r="C94" s="2580"/>
      <c r="D94" s="2580"/>
      <c r="E94" s="2580"/>
      <c r="F94" s="2580"/>
      <c r="G94" s="2581"/>
      <c r="H94" s="2580"/>
      <c r="I94" s="2581"/>
      <c r="J94" s="2580"/>
      <c r="K94" s="2580"/>
      <c r="L94" s="2581"/>
      <c r="M94" s="2580"/>
      <c r="N94" s="2580"/>
      <c r="O94" s="2581"/>
      <c r="P94" s="2580"/>
      <c r="Q94" s="2580"/>
      <c r="R94" s="2582"/>
    </row>
    <row r="95" s="1821" customFormat="1" spans="2:18">
      <c r="B95" s="2580"/>
      <c r="C95" s="2580"/>
      <c r="D95" s="2580"/>
      <c r="E95" s="2580"/>
      <c r="F95" s="2580"/>
      <c r="G95" s="2581"/>
      <c r="H95" s="2580"/>
      <c r="I95" s="2581"/>
      <c r="J95" s="2580"/>
      <c r="K95" s="2580"/>
      <c r="L95" s="2581"/>
      <c r="M95" s="2580"/>
      <c r="N95" s="2580"/>
      <c r="O95" s="2581"/>
      <c r="P95" s="2580"/>
      <c r="Q95" s="2580"/>
      <c r="R95" s="2582"/>
    </row>
    <row r="96" s="1821" customFormat="1" spans="2:18">
      <c r="B96" s="2580"/>
      <c r="C96" s="2580"/>
      <c r="D96" s="2580"/>
      <c r="E96" s="2580"/>
      <c r="F96" s="2580"/>
      <c r="G96" s="2581"/>
      <c r="H96" s="2580"/>
      <c r="I96" s="2581"/>
      <c r="J96" s="2580"/>
      <c r="K96" s="2580"/>
      <c r="L96" s="2581"/>
      <c r="M96" s="2580"/>
      <c r="N96" s="2580"/>
      <c r="O96" s="2581"/>
      <c r="P96" s="2580"/>
      <c r="Q96" s="2580"/>
      <c r="R96" s="2582"/>
    </row>
    <row r="97" s="1821" customFormat="1" spans="2:18">
      <c r="B97" s="2580"/>
      <c r="C97" s="2580"/>
      <c r="D97" s="2580"/>
      <c r="E97" s="2580"/>
      <c r="F97" s="2580"/>
      <c r="G97" s="2581"/>
      <c r="H97" s="2580"/>
      <c r="I97" s="2581"/>
      <c r="J97" s="2580"/>
      <c r="K97" s="2580"/>
      <c r="L97" s="2581"/>
      <c r="M97" s="2580"/>
      <c r="N97" s="2580"/>
      <c r="O97" s="2581"/>
      <c r="P97" s="2580"/>
      <c r="Q97" s="2580"/>
      <c r="R97" s="2582"/>
    </row>
    <row r="98" s="1821" customFormat="1" spans="2:18">
      <c r="B98" s="2580"/>
      <c r="C98" s="2580"/>
      <c r="D98" s="2580"/>
      <c r="E98" s="2580"/>
      <c r="F98" s="2580"/>
      <c r="G98" s="2581"/>
      <c r="H98" s="2580"/>
      <c r="I98" s="2581"/>
      <c r="J98" s="2580"/>
      <c r="K98" s="2580"/>
      <c r="L98" s="2581"/>
      <c r="M98" s="2580"/>
      <c r="N98" s="2580"/>
      <c r="O98" s="2581"/>
      <c r="P98" s="2580"/>
      <c r="Q98" s="2580"/>
      <c r="R98" s="2582"/>
    </row>
    <row r="99" s="1821" customFormat="1" spans="2:18">
      <c r="B99" s="2580"/>
      <c r="C99" s="2580"/>
      <c r="D99" s="2580"/>
      <c r="E99" s="2580"/>
      <c r="F99" s="2580"/>
      <c r="G99" s="2581"/>
      <c r="H99" s="2580"/>
      <c r="I99" s="2581"/>
      <c r="J99" s="2580"/>
      <c r="K99" s="2580"/>
      <c r="L99" s="2581"/>
      <c r="M99" s="2580"/>
      <c r="N99" s="2580"/>
      <c r="O99" s="2581"/>
      <c r="P99" s="2580"/>
      <c r="Q99" s="2580"/>
      <c r="R99" s="2582"/>
    </row>
    <row r="100" s="1821" customFormat="1" spans="2:18">
      <c r="B100" s="2580"/>
      <c r="C100" s="2580"/>
      <c r="D100" s="2580"/>
      <c r="E100" s="2580"/>
      <c r="F100" s="2580"/>
      <c r="G100" s="2581"/>
      <c r="H100" s="2580"/>
      <c r="I100" s="2581"/>
      <c r="J100" s="2580"/>
      <c r="K100" s="2580"/>
      <c r="L100" s="2581"/>
      <c r="M100" s="2580"/>
      <c r="N100" s="2580"/>
      <c r="O100" s="2581"/>
      <c r="P100" s="2580"/>
      <c r="Q100" s="2580"/>
      <c r="R100" s="2582"/>
    </row>
    <row r="101" s="1821" customFormat="1" spans="2:18">
      <c r="B101" s="2580"/>
      <c r="C101" s="2580"/>
      <c r="D101" s="2580"/>
      <c r="E101" s="2580"/>
      <c r="F101" s="2580"/>
      <c r="G101" s="2581"/>
      <c r="H101" s="2580"/>
      <c r="I101" s="2581"/>
      <c r="J101" s="2580"/>
      <c r="K101" s="2580"/>
      <c r="L101" s="2581"/>
      <c r="M101" s="2580"/>
      <c r="N101" s="2580"/>
      <c r="O101" s="2581"/>
      <c r="P101" s="2580"/>
      <c r="Q101" s="2580"/>
      <c r="R101" s="2582"/>
    </row>
    <row r="102" s="1821" customFormat="1" spans="2:18">
      <c r="B102" s="2580"/>
      <c r="C102" s="2580"/>
      <c r="D102" s="2580"/>
      <c r="E102" s="2580"/>
      <c r="F102" s="2580"/>
      <c r="G102" s="2581"/>
      <c r="H102" s="2580"/>
      <c r="I102" s="2581"/>
      <c r="J102" s="2580"/>
      <c r="K102" s="2580"/>
      <c r="L102" s="2581"/>
      <c r="M102" s="2580"/>
      <c r="N102" s="2580"/>
      <c r="O102" s="2581"/>
      <c r="P102" s="2580"/>
      <c r="Q102" s="2580"/>
      <c r="R102" s="2582"/>
    </row>
    <row r="103" s="1821" customFormat="1" spans="2:18">
      <c r="B103" s="2580"/>
      <c r="C103" s="2580"/>
      <c r="D103" s="2580"/>
      <c r="E103" s="2580"/>
      <c r="F103" s="2580"/>
      <c r="G103" s="2581"/>
      <c r="H103" s="2580"/>
      <c r="I103" s="2581"/>
      <c r="J103" s="2580"/>
      <c r="K103" s="2580"/>
      <c r="L103" s="2581"/>
      <c r="M103" s="2580"/>
      <c r="N103" s="2580"/>
      <c r="O103" s="2581"/>
      <c r="P103" s="2580"/>
      <c r="Q103" s="2580"/>
      <c r="R103" s="2582"/>
    </row>
    <row r="104" s="1821" customFormat="1" spans="2:18">
      <c r="B104" s="2580"/>
      <c r="C104" s="2580"/>
      <c r="D104" s="2580"/>
      <c r="E104" s="2580"/>
      <c r="F104" s="2580"/>
      <c r="G104" s="2581"/>
      <c r="H104" s="2580"/>
      <c r="I104" s="2581"/>
      <c r="J104" s="2580"/>
      <c r="K104" s="2580"/>
      <c r="L104" s="2581"/>
      <c r="M104" s="2580"/>
      <c r="N104" s="2580"/>
      <c r="O104" s="2581"/>
      <c r="P104" s="2580"/>
      <c r="Q104" s="2580"/>
      <c r="R104" s="2582"/>
    </row>
    <row r="105" s="1821" customFormat="1" spans="2:18">
      <c r="B105" s="2580"/>
      <c r="C105" s="2580"/>
      <c r="D105" s="2580"/>
      <c r="E105" s="2580"/>
      <c r="F105" s="2580"/>
      <c r="G105" s="2581"/>
      <c r="H105" s="2580"/>
      <c r="I105" s="2581"/>
      <c r="J105" s="2580"/>
      <c r="K105" s="2580"/>
      <c r="L105" s="2581"/>
      <c r="M105" s="2580"/>
      <c r="N105" s="2580"/>
      <c r="O105" s="2581"/>
      <c r="P105" s="2580"/>
      <c r="Q105" s="2580"/>
      <c r="R105" s="2582"/>
    </row>
    <row r="106" s="1821" customFormat="1" spans="2:18">
      <c r="B106" s="2580"/>
      <c r="C106" s="2580"/>
      <c r="D106" s="2580"/>
      <c r="E106" s="2580"/>
      <c r="F106" s="2580"/>
      <c r="G106" s="2581"/>
      <c r="H106" s="2580"/>
      <c r="I106" s="2581"/>
      <c r="J106" s="2580"/>
      <c r="K106" s="2580"/>
      <c r="L106" s="2581"/>
      <c r="M106" s="2580"/>
      <c r="N106" s="2580"/>
      <c r="O106" s="2581"/>
      <c r="P106" s="2580"/>
      <c r="Q106" s="2580"/>
      <c r="R106" s="2582"/>
    </row>
    <row r="107" s="1821" customFormat="1" spans="2:18">
      <c r="B107" s="2580"/>
      <c r="C107" s="2580"/>
      <c r="D107" s="2580"/>
      <c r="E107" s="2580"/>
      <c r="F107" s="2580"/>
      <c r="G107" s="2581"/>
      <c r="H107" s="2580"/>
      <c r="I107" s="2581"/>
      <c r="J107" s="2580"/>
      <c r="K107" s="2580"/>
      <c r="L107" s="2581"/>
      <c r="M107" s="2580"/>
      <c r="N107" s="2580"/>
      <c r="O107" s="2581"/>
      <c r="P107" s="2580"/>
      <c r="Q107" s="2580"/>
      <c r="R107" s="2582"/>
    </row>
    <row r="108" s="1821" customFormat="1" spans="2:18">
      <c r="B108" s="2580"/>
      <c r="C108" s="2580"/>
      <c r="D108" s="2580"/>
      <c r="E108" s="2580"/>
      <c r="F108" s="2580"/>
      <c r="G108" s="2581"/>
      <c r="H108" s="2580"/>
      <c r="I108" s="2581"/>
      <c r="J108" s="2580"/>
      <c r="K108" s="2580"/>
      <c r="L108" s="2581"/>
      <c r="M108" s="2580"/>
      <c r="N108" s="2580"/>
      <c r="O108" s="2581"/>
      <c r="P108" s="2580"/>
      <c r="Q108" s="2580"/>
      <c r="R108" s="2582"/>
    </row>
    <row r="109" s="1821" customFormat="1" spans="2:18">
      <c r="B109" s="2580"/>
      <c r="C109" s="2580"/>
      <c r="D109" s="2580"/>
      <c r="E109" s="2580"/>
      <c r="F109" s="2580"/>
      <c r="G109" s="2581"/>
      <c r="H109" s="2580"/>
      <c r="I109" s="2581"/>
      <c r="J109" s="2580"/>
      <c r="K109" s="2580"/>
      <c r="L109" s="2581"/>
      <c r="M109" s="2580"/>
      <c r="N109" s="2580"/>
      <c r="O109" s="2581"/>
      <c r="P109" s="2580"/>
      <c r="Q109" s="2580"/>
      <c r="R109" s="2582"/>
    </row>
    <row r="110" s="1821" customFormat="1" spans="2:18">
      <c r="B110" s="2580"/>
      <c r="C110" s="2580"/>
      <c r="D110" s="2580"/>
      <c r="E110" s="2580"/>
      <c r="F110" s="2580"/>
      <c r="G110" s="2581"/>
      <c r="H110" s="2580"/>
      <c r="I110" s="2581"/>
      <c r="J110" s="2580"/>
      <c r="K110" s="2580"/>
      <c r="L110" s="2581"/>
      <c r="M110" s="2580"/>
      <c r="N110" s="2580"/>
      <c r="O110" s="2581"/>
      <c r="P110" s="2580"/>
      <c r="Q110" s="2580"/>
      <c r="R110" s="2582"/>
    </row>
    <row r="111" s="1821" customFormat="1" spans="2:18">
      <c r="B111" s="2580"/>
      <c r="C111" s="2580"/>
      <c r="D111" s="2580"/>
      <c r="E111" s="2580"/>
      <c r="F111" s="2580"/>
      <c r="G111" s="2581"/>
      <c r="H111" s="2580"/>
      <c r="I111" s="2581"/>
      <c r="J111" s="2580"/>
      <c r="K111" s="2580"/>
      <c r="L111" s="2581"/>
      <c r="M111" s="2580"/>
      <c r="N111" s="2580"/>
      <c r="O111" s="2581"/>
      <c r="P111" s="2580"/>
      <c r="Q111" s="2580"/>
      <c r="R111" s="2582"/>
    </row>
    <row r="112" s="1821" customFormat="1" spans="2:18">
      <c r="B112" s="2580"/>
      <c r="C112" s="2580"/>
      <c r="D112" s="2580"/>
      <c r="E112" s="2580"/>
      <c r="F112" s="2580"/>
      <c r="G112" s="2581"/>
      <c r="H112" s="2580"/>
      <c r="I112" s="2581"/>
      <c r="J112" s="2580"/>
      <c r="K112" s="2580"/>
      <c r="L112" s="2581"/>
      <c r="M112" s="2580"/>
      <c r="N112" s="2580"/>
      <c r="O112" s="2581"/>
      <c r="P112" s="2580"/>
      <c r="Q112" s="2580"/>
      <c r="R112" s="2582"/>
    </row>
    <row r="113" s="1821" customFormat="1" spans="2:18">
      <c r="B113" s="2580"/>
      <c r="C113" s="2580"/>
      <c r="D113" s="2580"/>
      <c r="E113" s="2580"/>
      <c r="F113" s="2580"/>
      <c r="G113" s="2581"/>
      <c r="H113" s="2580"/>
      <c r="I113" s="2581"/>
      <c r="J113" s="2580"/>
      <c r="K113" s="2580"/>
      <c r="L113" s="2581"/>
      <c r="M113" s="2580"/>
      <c r="N113" s="2580"/>
      <c r="O113" s="2581"/>
      <c r="P113" s="2580"/>
      <c r="Q113" s="2580"/>
      <c r="R113" s="2582"/>
    </row>
    <row r="114" s="1821" customFormat="1" spans="2:18">
      <c r="B114" s="2580"/>
      <c r="C114" s="2580"/>
      <c r="D114" s="2580"/>
      <c r="E114" s="2580"/>
      <c r="F114" s="2580"/>
      <c r="G114" s="2581"/>
      <c r="H114" s="2580"/>
      <c r="I114" s="2581"/>
      <c r="J114" s="2580"/>
      <c r="K114" s="2580"/>
      <c r="L114" s="2581"/>
      <c r="M114" s="2580"/>
      <c r="N114" s="2580"/>
      <c r="O114" s="2581"/>
      <c r="P114" s="2580"/>
      <c r="Q114" s="2580"/>
      <c r="R114" s="2582"/>
    </row>
    <row r="115" s="1821" customFormat="1" spans="2:18">
      <c r="B115" s="2580"/>
      <c r="C115" s="2580"/>
      <c r="D115" s="2580"/>
      <c r="E115" s="2580"/>
      <c r="F115" s="2580"/>
      <c r="G115" s="2581"/>
      <c r="H115" s="2580"/>
      <c r="I115" s="2581"/>
      <c r="J115" s="2580"/>
      <c r="K115" s="2580"/>
      <c r="L115" s="2581"/>
      <c r="M115" s="2580"/>
      <c r="N115" s="2580"/>
      <c r="O115" s="2581"/>
      <c r="P115" s="2580"/>
      <c r="Q115" s="2580"/>
      <c r="R115" s="2582"/>
    </row>
    <row r="116" s="1821" customFormat="1" spans="2:18">
      <c r="B116" s="2580"/>
      <c r="C116" s="2580"/>
      <c r="D116" s="2580"/>
      <c r="E116" s="2580"/>
      <c r="F116" s="2580"/>
      <c r="G116" s="2581"/>
      <c r="H116" s="2580"/>
      <c r="I116" s="2581"/>
      <c r="J116" s="2580"/>
      <c r="K116" s="2580"/>
      <c r="L116" s="2581"/>
      <c r="M116" s="2580"/>
      <c r="N116" s="2580"/>
      <c r="O116" s="2581"/>
      <c r="P116" s="2580"/>
      <c r="Q116" s="2580"/>
      <c r="R116" s="2582"/>
    </row>
    <row r="117" s="1821" customFormat="1" spans="2:18">
      <c r="B117" s="2580"/>
      <c r="C117" s="2580"/>
      <c r="D117" s="2580"/>
      <c r="E117" s="2580"/>
      <c r="F117" s="2580"/>
      <c r="G117" s="2581"/>
      <c r="H117" s="2580"/>
      <c r="I117" s="2581"/>
      <c r="J117" s="2580"/>
      <c r="K117" s="2580"/>
      <c r="L117" s="2581"/>
      <c r="M117" s="2580"/>
      <c r="N117" s="2580"/>
      <c r="O117" s="2581"/>
      <c r="P117" s="2580"/>
      <c r="Q117" s="2580"/>
      <c r="R117" s="2582"/>
    </row>
    <row r="118" s="1821" customFormat="1" spans="2:18">
      <c r="B118" s="2580"/>
      <c r="C118" s="2580"/>
      <c r="D118" s="2580"/>
      <c r="E118" s="2580"/>
      <c r="F118" s="2580"/>
      <c r="G118" s="2581"/>
      <c r="H118" s="2580"/>
      <c r="I118" s="2581"/>
      <c r="J118" s="2580"/>
      <c r="K118" s="2580"/>
      <c r="L118" s="2581"/>
      <c r="M118" s="2580"/>
      <c r="N118" s="2580"/>
      <c r="O118" s="2581"/>
      <c r="P118" s="2580"/>
      <c r="Q118" s="2580"/>
      <c r="R118" s="2582"/>
    </row>
    <row r="119" s="1821" customFormat="1" spans="2:18">
      <c r="B119" s="2580"/>
      <c r="C119" s="2580"/>
      <c r="D119" s="2580"/>
      <c r="E119" s="2580"/>
      <c r="F119" s="2580"/>
      <c r="G119" s="2581"/>
      <c r="H119" s="2580"/>
      <c r="I119" s="2581"/>
      <c r="J119" s="2580"/>
      <c r="K119" s="2580"/>
      <c r="L119" s="2581"/>
      <c r="M119" s="2580"/>
      <c r="N119" s="2580"/>
      <c r="O119" s="2581"/>
      <c r="P119" s="2580"/>
      <c r="Q119" s="2580"/>
      <c r="R119" s="2582"/>
    </row>
    <row r="120" s="1821" customFormat="1" spans="2:18">
      <c r="B120" s="2580"/>
      <c r="C120" s="2580"/>
      <c r="D120" s="2580"/>
      <c r="E120" s="2580"/>
      <c r="F120" s="2580"/>
      <c r="G120" s="2581"/>
      <c r="H120" s="2580"/>
      <c r="I120" s="2581"/>
      <c r="J120" s="2580"/>
      <c r="K120" s="2580"/>
      <c r="L120" s="2581"/>
      <c r="M120" s="2580"/>
      <c r="N120" s="2580"/>
      <c r="O120" s="2581"/>
      <c r="P120" s="2580"/>
      <c r="Q120" s="2580"/>
      <c r="R120" s="2582"/>
    </row>
    <row r="121" s="1821" customFormat="1" spans="2:18">
      <c r="B121" s="2580"/>
      <c r="C121" s="2580"/>
      <c r="D121" s="2580"/>
      <c r="E121" s="2580"/>
      <c r="F121" s="2580"/>
      <c r="G121" s="2581"/>
      <c r="H121" s="2580"/>
      <c r="I121" s="2581"/>
      <c r="J121" s="2580"/>
      <c r="K121" s="2580"/>
      <c r="L121" s="2581"/>
      <c r="M121" s="2580"/>
      <c r="N121" s="2580"/>
      <c r="O121" s="2581"/>
      <c r="P121" s="2580"/>
      <c r="Q121" s="2580"/>
      <c r="R121" s="2582"/>
    </row>
    <row r="122" s="1821" customFormat="1" spans="2:18">
      <c r="B122" s="2580"/>
      <c r="C122" s="2580"/>
      <c r="D122" s="2580"/>
      <c r="E122" s="2580"/>
      <c r="F122" s="2580"/>
      <c r="G122" s="2581"/>
      <c r="H122" s="2580"/>
      <c r="I122" s="2581"/>
      <c r="J122" s="2580"/>
      <c r="K122" s="2580"/>
      <c r="L122" s="2581"/>
      <c r="M122" s="2580"/>
      <c r="N122" s="2580"/>
      <c r="O122" s="2581"/>
      <c r="P122" s="2580"/>
      <c r="Q122" s="2580"/>
      <c r="R122" s="2582"/>
    </row>
    <row r="123" s="1821" customFormat="1" spans="2:18">
      <c r="B123" s="2580"/>
      <c r="C123" s="2580"/>
      <c r="D123" s="2580"/>
      <c r="E123" s="2580"/>
      <c r="F123" s="2580"/>
      <c r="G123" s="2581"/>
      <c r="H123" s="2580"/>
      <c r="I123" s="2581"/>
      <c r="J123" s="2580"/>
      <c r="K123" s="2580"/>
      <c r="L123" s="2581"/>
      <c r="M123" s="2580"/>
      <c r="N123" s="2580"/>
      <c r="O123" s="2581"/>
      <c r="P123" s="2580"/>
      <c r="Q123" s="2580"/>
      <c r="R123" s="2582"/>
    </row>
    <row r="124" s="1821" customFormat="1" spans="2:18">
      <c r="B124" s="2580"/>
      <c r="C124" s="2580"/>
      <c r="D124" s="2580"/>
      <c r="E124" s="2580"/>
      <c r="F124" s="2580"/>
      <c r="G124" s="2581"/>
      <c r="H124" s="2580"/>
      <c r="I124" s="2581"/>
      <c r="J124" s="2580"/>
      <c r="K124" s="2580"/>
      <c r="L124" s="2581"/>
      <c r="M124" s="2580"/>
      <c r="N124" s="2580"/>
      <c r="O124" s="2581"/>
      <c r="P124" s="2580"/>
      <c r="Q124" s="2580"/>
      <c r="R124" s="2582"/>
    </row>
    <row r="125" s="1821" customFormat="1" spans="2:18">
      <c r="B125" s="2580"/>
      <c r="C125" s="2580"/>
      <c r="D125" s="2580"/>
      <c r="E125" s="2580"/>
      <c r="F125" s="2580"/>
      <c r="G125" s="2581"/>
      <c r="H125" s="2580"/>
      <c r="I125" s="2581"/>
      <c r="J125" s="2580"/>
      <c r="K125" s="2580"/>
      <c r="L125" s="2581"/>
      <c r="M125" s="2580"/>
      <c r="N125" s="2580"/>
      <c r="O125" s="2581"/>
      <c r="P125" s="2580"/>
      <c r="Q125" s="2580"/>
      <c r="R125" s="2582"/>
    </row>
    <row r="126" s="1821" customFormat="1" spans="2:18">
      <c r="B126" s="2580"/>
      <c r="C126" s="2580"/>
      <c r="D126" s="2580"/>
      <c r="E126" s="2580"/>
      <c r="F126" s="2580"/>
      <c r="G126" s="2581"/>
      <c r="H126" s="2580"/>
      <c r="I126" s="2581"/>
      <c r="J126" s="2580"/>
      <c r="K126" s="2580"/>
      <c r="L126" s="2581"/>
      <c r="M126" s="2580"/>
      <c r="N126" s="2580"/>
      <c r="O126" s="2581"/>
      <c r="P126" s="2580"/>
      <c r="Q126" s="2580"/>
      <c r="R126" s="2582"/>
    </row>
    <row r="127" s="1821" customFormat="1" spans="2:18">
      <c r="B127" s="2580"/>
      <c r="C127" s="2580"/>
      <c r="D127" s="2580"/>
      <c r="E127" s="2580"/>
      <c r="F127" s="2580"/>
      <c r="G127" s="2581"/>
      <c r="H127" s="2580"/>
      <c r="I127" s="2581"/>
      <c r="J127" s="2580"/>
      <c r="K127" s="2580"/>
      <c r="L127" s="2581"/>
      <c r="M127" s="2580"/>
      <c r="N127" s="2580"/>
      <c r="O127" s="2581"/>
      <c r="P127" s="2580"/>
      <c r="Q127" s="2580"/>
      <c r="R127" s="2582"/>
    </row>
    <row r="128" s="1821" customFormat="1" spans="2:18">
      <c r="B128" s="2580"/>
      <c r="C128" s="2580"/>
      <c r="D128" s="2580"/>
      <c r="E128" s="2580"/>
      <c r="F128" s="2580"/>
      <c r="G128" s="2581"/>
      <c r="H128" s="2580"/>
      <c r="I128" s="2581"/>
      <c r="J128" s="2580"/>
      <c r="K128" s="2580"/>
      <c r="L128" s="2581"/>
      <c r="M128" s="2580"/>
      <c r="N128" s="2580"/>
      <c r="O128" s="2581"/>
      <c r="P128" s="2580"/>
      <c r="Q128" s="2580"/>
      <c r="R128" s="2582"/>
    </row>
    <row r="129" s="1821" customFormat="1" spans="2:18">
      <c r="B129" s="2580"/>
      <c r="C129" s="2580"/>
      <c r="D129" s="2580"/>
      <c r="E129" s="2580"/>
      <c r="F129" s="2580"/>
      <c r="G129" s="2581"/>
      <c r="H129" s="2580"/>
      <c r="I129" s="2581"/>
      <c r="J129" s="2580"/>
      <c r="K129" s="2580"/>
      <c r="L129" s="2581"/>
      <c r="M129" s="2580"/>
      <c r="N129" s="2580"/>
      <c r="O129" s="2581"/>
      <c r="P129" s="2580"/>
      <c r="Q129" s="2580"/>
      <c r="R129" s="2582"/>
    </row>
    <row r="130" s="1821" customFormat="1" spans="2:18">
      <c r="B130" s="2580"/>
      <c r="C130" s="2580"/>
      <c r="D130" s="2580"/>
      <c r="E130" s="2580"/>
      <c r="F130" s="2580"/>
      <c r="G130" s="2581"/>
      <c r="H130" s="2580"/>
      <c r="I130" s="2581"/>
      <c r="J130" s="2580"/>
      <c r="K130" s="2580"/>
      <c r="L130" s="2581"/>
      <c r="M130" s="2580"/>
      <c r="N130" s="2580"/>
      <c r="O130" s="2581"/>
      <c r="P130" s="2580"/>
      <c r="Q130" s="2580"/>
      <c r="R130" s="2582"/>
    </row>
    <row r="131" s="1821" customFormat="1" spans="2:18">
      <c r="B131" s="2580"/>
      <c r="C131" s="2580"/>
      <c r="D131" s="2580"/>
      <c r="E131" s="2580"/>
      <c r="F131" s="2580"/>
      <c r="G131" s="2581"/>
      <c r="H131" s="2580"/>
      <c r="I131" s="2581"/>
      <c r="J131" s="2580"/>
      <c r="K131" s="2580"/>
      <c r="L131" s="2581"/>
      <c r="M131" s="2580"/>
      <c r="N131" s="2580"/>
      <c r="O131" s="2581"/>
      <c r="P131" s="2580"/>
      <c r="Q131" s="2580"/>
      <c r="R131" s="2582"/>
    </row>
    <row r="132" s="1821" customFormat="1" spans="2:18">
      <c r="B132" s="2580"/>
      <c r="C132" s="2580"/>
      <c r="D132" s="2580"/>
      <c r="E132" s="2580"/>
      <c r="F132" s="2580"/>
      <c r="G132" s="2581"/>
      <c r="H132" s="2580"/>
      <c r="I132" s="2581"/>
      <c r="J132" s="2580"/>
      <c r="K132" s="2580"/>
      <c r="L132" s="2581"/>
      <c r="M132" s="2580"/>
      <c r="N132" s="2580"/>
      <c r="O132" s="2581"/>
      <c r="P132" s="2580"/>
      <c r="Q132" s="2580"/>
      <c r="R132" s="2582"/>
    </row>
    <row r="133" s="1821" customFormat="1" spans="2:18">
      <c r="B133" s="2580"/>
      <c r="C133" s="2580"/>
      <c r="D133" s="2580"/>
      <c r="E133" s="2580"/>
      <c r="F133" s="2580"/>
      <c r="G133" s="2581"/>
      <c r="H133" s="2580"/>
      <c r="I133" s="2581"/>
      <c r="J133" s="2580"/>
      <c r="K133" s="2580"/>
      <c r="L133" s="2581"/>
      <c r="M133" s="2580"/>
      <c r="N133" s="2580"/>
      <c r="O133" s="2581"/>
      <c r="P133" s="2580"/>
      <c r="Q133" s="2580"/>
      <c r="R133" s="2582"/>
    </row>
    <row r="134" s="1821" customFormat="1" spans="2:18">
      <c r="B134" s="2580"/>
      <c r="C134" s="2580"/>
      <c r="D134" s="2580"/>
      <c r="E134" s="2580"/>
      <c r="F134" s="2580"/>
      <c r="G134" s="2581"/>
      <c r="H134" s="2580"/>
      <c r="I134" s="2581"/>
      <c r="J134" s="2580"/>
      <c r="K134" s="2580"/>
      <c r="L134" s="2581"/>
      <c r="M134" s="2580"/>
      <c r="N134" s="2580"/>
      <c r="O134" s="2581"/>
      <c r="P134" s="2580"/>
      <c r="Q134" s="2580"/>
      <c r="R134" s="2582"/>
    </row>
    <row r="135" s="1821" customFormat="1" spans="2:18">
      <c r="B135" s="2580"/>
      <c r="C135" s="2580"/>
      <c r="D135" s="2580"/>
      <c r="E135" s="2580"/>
      <c r="F135" s="2580"/>
      <c r="G135" s="2581"/>
      <c r="H135" s="2580"/>
      <c r="I135" s="2581"/>
      <c r="J135" s="2580"/>
      <c r="K135" s="2580"/>
      <c r="L135" s="2581"/>
      <c r="M135" s="2580"/>
      <c r="N135" s="2580"/>
      <c r="O135" s="2581"/>
      <c r="P135" s="2580"/>
      <c r="Q135" s="2580"/>
      <c r="R135" s="2582"/>
    </row>
    <row r="136" s="1821" customFormat="1" spans="2:18">
      <c r="B136" s="2580"/>
      <c r="C136" s="2580"/>
      <c r="D136" s="2580"/>
      <c r="E136" s="2580"/>
      <c r="F136" s="2580"/>
      <c r="G136" s="2581"/>
      <c r="H136" s="2580"/>
      <c r="I136" s="2581"/>
      <c r="J136" s="2580"/>
      <c r="K136" s="2580"/>
      <c r="L136" s="2581"/>
      <c r="M136" s="2580"/>
      <c r="N136" s="2580"/>
      <c r="O136" s="2581"/>
      <c r="P136" s="2580"/>
      <c r="Q136" s="2580"/>
      <c r="R136" s="2582"/>
    </row>
    <row r="137" s="1821" customFormat="1" spans="2:18">
      <c r="B137" s="2580"/>
      <c r="C137" s="2580"/>
      <c r="D137" s="2580"/>
      <c r="E137" s="2580"/>
      <c r="F137" s="2580"/>
      <c r="G137" s="2581"/>
      <c r="H137" s="2580"/>
      <c r="I137" s="2581"/>
      <c r="J137" s="2580"/>
      <c r="K137" s="2580"/>
      <c r="L137" s="2581"/>
      <c r="M137" s="2580"/>
      <c r="N137" s="2580"/>
      <c r="O137" s="2581"/>
      <c r="P137" s="2580"/>
      <c r="Q137" s="2580"/>
      <c r="R137" s="2582"/>
    </row>
    <row r="138" s="1821" customFormat="1" spans="2:18">
      <c r="B138" s="2580"/>
      <c r="C138" s="2580"/>
      <c r="D138" s="2580"/>
      <c r="E138" s="2580"/>
      <c r="F138" s="2580"/>
      <c r="G138" s="2581"/>
      <c r="H138" s="2580"/>
      <c r="I138" s="2581"/>
      <c r="J138" s="2580"/>
      <c r="K138" s="2580"/>
      <c r="L138" s="2581"/>
      <c r="M138" s="2580"/>
      <c r="N138" s="2580"/>
      <c r="O138" s="2581"/>
      <c r="P138" s="2580"/>
      <c r="Q138" s="2580"/>
      <c r="R138" s="2582"/>
    </row>
    <row r="139" s="1821" customFormat="1" spans="2:18">
      <c r="B139" s="2580"/>
      <c r="C139" s="2580"/>
      <c r="D139" s="2580"/>
      <c r="E139" s="2580"/>
      <c r="F139" s="2580"/>
      <c r="G139" s="2581"/>
      <c r="H139" s="2580"/>
      <c r="I139" s="2581"/>
      <c r="J139" s="2580"/>
      <c r="K139" s="2580"/>
      <c r="L139" s="2581"/>
      <c r="M139" s="2580"/>
      <c r="N139" s="2580"/>
      <c r="O139" s="2581"/>
      <c r="P139" s="2580"/>
      <c r="Q139" s="2580"/>
      <c r="R139" s="2582"/>
    </row>
    <row r="140" s="1821" customFormat="1" spans="2:18">
      <c r="B140" s="2580"/>
      <c r="C140" s="2580"/>
      <c r="D140" s="2580"/>
      <c r="E140" s="2580"/>
      <c r="F140" s="2580"/>
      <c r="G140" s="2581"/>
      <c r="H140" s="2580"/>
      <c r="I140" s="2581"/>
      <c r="J140" s="2580"/>
      <c r="K140" s="2580"/>
      <c r="L140" s="2581"/>
      <c r="M140" s="2580"/>
      <c r="N140" s="2580"/>
      <c r="O140" s="2581"/>
      <c r="P140" s="2580"/>
      <c r="Q140" s="2580"/>
      <c r="R140" s="2582"/>
    </row>
    <row r="141" s="1821" customFormat="1" spans="2:18">
      <c r="B141" s="2580"/>
      <c r="C141" s="2580"/>
      <c r="D141" s="2580"/>
      <c r="E141" s="2580"/>
      <c r="F141" s="2580"/>
      <c r="G141" s="2581"/>
      <c r="H141" s="2580"/>
      <c r="I141" s="2581"/>
      <c r="J141" s="2580"/>
      <c r="K141" s="2580"/>
      <c r="L141" s="2581"/>
      <c r="M141" s="2580"/>
      <c r="N141" s="2580"/>
      <c r="O141" s="2581"/>
      <c r="P141" s="2580"/>
      <c r="Q141" s="2580"/>
      <c r="R141" s="2582"/>
    </row>
    <row r="142" s="1821" customFormat="1" spans="2:18">
      <c r="B142" s="2580"/>
      <c r="C142" s="2580"/>
      <c r="D142" s="2580"/>
      <c r="E142" s="2580"/>
      <c r="F142" s="2580"/>
      <c r="G142" s="2581"/>
      <c r="H142" s="2580"/>
      <c r="I142" s="2581"/>
      <c r="J142" s="2580"/>
      <c r="K142" s="2580"/>
      <c r="L142" s="2581"/>
      <c r="M142" s="2580"/>
      <c r="N142" s="2580"/>
      <c r="O142" s="2581"/>
      <c r="P142" s="2580"/>
      <c r="Q142" s="2580"/>
      <c r="R142" s="2582"/>
    </row>
    <row r="143" s="1821" customFormat="1" spans="2:18">
      <c r="B143" s="2580"/>
      <c r="C143" s="2580"/>
      <c r="D143" s="2580"/>
      <c r="E143" s="2580"/>
      <c r="F143" s="2580"/>
      <c r="G143" s="2581"/>
      <c r="H143" s="2580"/>
      <c r="I143" s="2581"/>
      <c r="J143" s="2580"/>
      <c r="K143" s="2580"/>
      <c r="L143" s="2581"/>
      <c r="M143" s="2580"/>
      <c r="N143" s="2580"/>
      <c r="O143" s="2581"/>
      <c r="P143" s="2580"/>
      <c r="Q143" s="2580"/>
      <c r="R143" s="2582"/>
    </row>
    <row r="144" s="1821" customFormat="1" spans="2:18">
      <c r="B144" s="2580"/>
      <c r="C144" s="2580"/>
      <c r="D144" s="2580"/>
      <c r="E144" s="2580"/>
      <c r="F144" s="2580"/>
      <c r="G144" s="2581"/>
      <c r="H144" s="2580"/>
      <c r="I144" s="2581"/>
      <c r="J144" s="2580"/>
      <c r="K144" s="2580"/>
      <c r="L144" s="2581"/>
      <c r="M144" s="2580"/>
      <c r="N144" s="2580"/>
      <c r="O144" s="2581"/>
      <c r="P144" s="2580"/>
      <c r="Q144" s="2580"/>
      <c r="R144" s="2582"/>
    </row>
    <row r="145" s="1821" customFormat="1" spans="2:18">
      <c r="B145" s="2580"/>
      <c r="C145" s="2580"/>
      <c r="D145" s="2580"/>
      <c r="E145" s="2580"/>
      <c r="F145" s="2580"/>
      <c r="G145" s="2581"/>
      <c r="H145" s="2580"/>
      <c r="I145" s="2581"/>
      <c r="J145" s="2580"/>
      <c r="K145" s="2580"/>
      <c r="L145" s="2581"/>
      <c r="M145" s="2580"/>
      <c r="N145" s="2580"/>
      <c r="O145" s="2581"/>
      <c r="P145" s="2580"/>
      <c r="Q145" s="2580"/>
      <c r="R145" s="2582"/>
    </row>
    <row r="146" s="1821" customFormat="1" spans="2:18">
      <c r="B146" s="2580"/>
      <c r="C146" s="2580"/>
      <c r="D146" s="2580"/>
      <c r="E146" s="2580"/>
      <c r="F146" s="2580"/>
      <c r="G146" s="2581"/>
      <c r="H146" s="2580"/>
      <c r="I146" s="2581"/>
      <c r="J146" s="2580"/>
      <c r="K146" s="2580"/>
      <c r="L146" s="2581"/>
      <c r="M146" s="2580"/>
      <c r="N146" s="2580"/>
      <c r="O146" s="2581"/>
      <c r="P146" s="2580"/>
      <c r="Q146" s="2580"/>
      <c r="R146" s="2582"/>
    </row>
    <row r="147" s="1821" customFormat="1" spans="2:18">
      <c r="B147" s="2580"/>
      <c r="C147" s="2580"/>
      <c r="D147" s="2580"/>
      <c r="E147" s="2580"/>
      <c r="F147" s="2580"/>
      <c r="G147" s="2581"/>
      <c r="H147" s="2580"/>
      <c r="I147" s="2581"/>
      <c r="J147" s="2580"/>
      <c r="K147" s="2580"/>
      <c r="L147" s="2581"/>
      <c r="M147" s="2580"/>
      <c r="N147" s="2580"/>
      <c r="O147" s="2581"/>
      <c r="P147" s="2580"/>
      <c r="Q147" s="2580"/>
      <c r="R147" s="2582"/>
    </row>
    <row r="148" s="1821" customFormat="1" spans="2:18">
      <c r="B148" s="2580"/>
      <c r="C148" s="2580"/>
      <c r="D148" s="2580"/>
      <c r="E148" s="2580"/>
      <c r="F148" s="2580"/>
      <c r="G148" s="2581"/>
      <c r="H148" s="2580"/>
      <c r="I148" s="2581"/>
      <c r="J148" s="2580"/>
      <c r="K148" s="2580"/>
      <c r="L148" s="2581"/>
      <c r="M148" s="2580"/>
      <c r="N148" s="2580"/>
      <c r="O148" s="2581"/>
      <c r="P148" s="2580"/>
      <c r="Q148" s="2580"/>
      <c r="R148" s="2582"/>
    </row>
    <row r="149" s="1821" customFormat="1" spans="2:18">
      <c r="B149" s="2580"/>
      <c r="C149" s="2580"/>
      <c r="D149" s="2580"/>
      <c r="E149" s="2580"/>
      <c r="F149" s="2580"/>
      <c r="G149" s="2581"/>
      <c r="H149" s="2580"/>
      <c r="I149" s="2581"/>
      <c r="J149" s="2580"/>
      <c r="K149" s="2580"/>
      <c r="L149" s="2581"/>
      <c r="M149" s="2580"/>
      <c r="N149" s="2580"/>
      <c r="O149" s="2581"/>
      <c r="P149" s="2580"/>
      <c r="Q149" s="2580"/>
      <c r="R149" s="2582"/>
    </row>
    <row r="150" s="1821" customFormat="1" spans="2:18">
      <c r="B150" s="2580"/>
      <c r="C150" s="2580"/>
      <c r="D150" s="2580"/>
      <c r="E150" s="2580"/>
      <c r="F150" s="2580"/>
      <c r="G150" s="2581"/>
      <c r="H150" s="2580"/>
      <c r="I150" s="2581"/>
      <c r="J150" s="2580"/>
      <c r="K150" s="2580"/>
      <c r="L150" s="2581"/>
      <c r="M150" s="2580"/>
      <c r="N150" s="2580"/>
      <c r="O150" s="2581"/>
      <c r="P150" s="2580"/>
      <c r="Q150" s="2580"/>
      <c r="R150" s="2582"/>
    </row>
    <row r="151" s="1821" customFormat="1" spans="2:18">
      <c r="B151" s="2580"/>
      <c r="C151" s="2580"/>
      <c r="D151" s="2580"/>
      <c r="E151" s="2580"/>
      <c r="F151" s="2580"/>
      <c r="G151" s="2581"/>
      <c r="H151" s="2580"/>
      <c r="I151" s="2581"/>
      <c r="J151" s="2580"/>
      <c r="K151" s="2580"/>
      <c r="L151" s="2581"/>
      <c r="M151" s="2580"/>
      <c r="N151" s="2580"/>
      <c r="O151" s="2581"/>
      <c r="P151" s="2580"/>
      <c r="Q151" s="2580"/>
      <c r="R151" s="2582"/>
    </row>
    <row r="152" s="1821" customFormat="1" spans="2:18">
      <c r="B152" s="2580"/>
      <c r="C152" s="2580"/>
      <c r="D152" s="2580"/>
      <c r="E152" s="2580"/>
      <c r="F152" s="2580"/>
      <c r="G152" s="2581"/>
      <c r="H152" s="2580"/>
      <c r="I152" s="2581"/>
      <c r="J152" s="2580"/>
      <c r="K152" s="2580"/>
      <c r="L152" s="2581"/>
      <c r="M152" s="2580"/>
      <c r="N152" s="2580"/>
      <c r="O152" s="2581"/>
      <c r="P152" s="2580"/>
      <c r="Q152" s="2580"/>
      <c r="R152" s="2582"/>
    </row>
    <row r="153" s="1821" customFormat="1" spans="2:18">
      <c r="B153" s="2580"/>
      <c r="C153" s="2580"/>
      <c r="D153" s="2580"/>
      <c r="E153" s="2580"/>
      <c r="F153" s="2580"/>
      <c r="G153" s="2581"/>
      <c r="H153" s="2580"/>
      <c r="I153" s="2581"/>
      <c r="J153" s="2580"/>
      <c r="K153" s="2580"/>
      <c r="L153" s="2581"/>
      <c r="M153" s="2580"/>
      <c r="N153" s="2580"/>
      <c r="O153" s="2581"/>
      <c r="P153" s="2580"/>
      <c r="Q153" s="2580"/>
      <c r="R153" s="2582"/>
    </row>
    <row r="154" s="1821" customFormat="1" spans="2:18">
      <c r="B154" s="2580"/>
      <c r="C154" s="2580"/>
      <c r="D154" s="2580"/>
      <c r="E154" s="2580"/>
      <c r="F154" s="2580"/>
      <c r="G154" s="2581"/>
      <c r="H154" s="2580"/>
      <c r="I154" s="2581"/>
      <c r="J154" s="2580"/>
      <c r="K154" s="2580"/>
      <c r="L154" s="2581"/>
      <c r="M154" s="2580"/>
      <c r="N154" s="2580"/>
      <c r="O154" s="2581"/>
      <c r="P154" s="2580"/>
      <c r="Q154" s="2580"/>
      <c r="R154" s="2582"/>
    </row>
    <row r="155" s="1821" customFormat="1" spans="2:18">
      <c r="B155" s="2580"/>
      <c r="C155" s="2580"/>
      <c r="D155" s="2580"/>
      <c r="E155" s="2580"/>
      <c r="F155" s="2580"/>
      <c r="G155" s="2581"/>
      <c r="H155" s="2580"/>
      <c r="I155" s="2581"/>
      <c r="J155" s="2580"/>
      <c r="K155" s="2580"/>
      <c r="L155" s="2581"/>
      <c r="M155" s="2580"/>
      <c r="N155" s="2580"/>
      <c r="O155" s="2581"/>
      <c r="P155" s="2580"/>
      <c r="Q155" s="2580"/>
      <c r="R155" s="2582"/>
    </row>
    <row r="156" s="1821" customFormat="1" spans="2:18">
      <c r="B156" s="2580"/>
      <c r="C156" s="2580"/>
      <c r="D156" s="2580"/>
      <c r="E156" s="2580"/>
      <c r="F156" s="2580"/>
      <c r="G156" s="2581"/>
      <c r="H156" s="2580"/>
      <c r="I156" s="2581"/>
      <c r="J156" s="2580"/>
      <c r="K156" s="2580"/>
      <c r="L156" s="2581"/>
      <c r="M156" s="2580"/>
      <c r="N156" s="2580"/>
      <c r="O156" s="2581"/>
      <c r="P156" s="2580"/>
      <c r="Q156" s="2580"/>
      <c r="R156" s="2582"/>
    </row>
    <row r="157" s="1821" customFormat="1" spans="2:18">
      <c r="B157" s="2580"/>
      <c r="C157" s="2580"/>
      <c r="D157" s="2580"/>
      <c r="E157" s="2580"/>
      <c r="F157" s="2580"/>
      <c r="G157" s="2581"/>
      <c r="H157" s="2580"/>
      <c r="I157" s="2581"/>
      <c r="J157" s="2580"/>
      <c r="K157" s="2580"/>
      <c r="L157" s="2581"/>
      <c r="M157" s="2580"/>
      <c r="N157" s="2580"/>
      <c r="O157" s="2581"/>
      <c r="P157" s="2580"/>
      <c r="Q157" s="2580"/>
      <c r="R157" s="2582"/>
    </row>
    <row r="158" s="1821" customFormat="1" spans="2:18">
      <c r="B158" s="2580"/>
      <c r="C158" s="2580"/>
      <c r="D158" s="2580"/>
      <c r="E158" s="2580"/>
      <c r="F158" s="2580"/>
      <c r="G158" s="2581"/>
      <c r="H158" s="2580"/>
      <c r="I158" s="2581"/>
      <c r="J158" s="2580"/>
      <c r="K158" s="2580"/>
      <c r="L158" s="2581"/>
      <c r="M158" s="2580"/>
      <c r="N158" s="2580"/>
      <c r="O158" s="2581"/>
      <c r="P158" s="2580"/>
      <c r="Q158" s="2580"/>
      <c r="R158" s="2582"/>
    </row>
    <row r="159" s="1821" customFormat="1" spans="2:18">
      <c r="B159" s="2580"/>
      <c r="C159" s="2580"/>
      <c r="D159" s="2580"/>
      <c r="E159" s="2580"/>
      <c r="F159" s="2580"/>
      <c r="G159" s="2581"/>
      <c r="H159" s="2580"/>
      <c r="I159" s="2581"/>
      <c r="J159" s="2580"/>
      <c r="K159" s="2580"/>
      <c r="L159" s="2581"/>
      <c r="M159" s="2580"/>
      <c r="N159" s="2580"/>
      <c r="O159" s="2581"/>
      <c r="P159" s="2580"/>
      <c r="Q159" s="2580"/>
      <c r="R159" s="2582"/>
    </row>
    <row r="160" s="1821" customFormat="1" spans="2:18">
      <c r="B160" s="2580"/>
      <c r="C160" s="2580"/>
      <c r="D160" s="2580"/>
      <c r="E160" s="2580"/>
      <c r="F160" s="2580"/>
      <c r="G160" s="2581"/>
      <c r="H160" s="2580"/>
      <c r="I160" s="2581"/>
      <c r="J160" s="2580"/>
      <c r="K160" s="2580"/>
      <c r="L160" s="2581"/>
      <c r="M160" s="2580"/>
      <c r="N160" s="2580"/>
      <c r="O160" s="2581"/>
      <c r="P160" s="2580"/>
      <c r="Q160" s="2580"/>
      <c r="R160" s="2582"/>
    </row>
    <row r="161" s="1821" customFormat="1" spans="2:18">
      <c r="B161" s="2580"/>
      <c r="C161" s="2580"/>
      <c r="D161" s="2580"/>
      <c r="E161" s="2580"/>
      <c r="F161" s="2580"/>
      <c r="G161" s="2581"/>
      <c r="H161" s="2580"/>
      <c r="I161" s="2581"/>
      <c r="J161" s="2580"/>
      <c r="K161" s="2580"/>
      <c r="L161" s="2581"/>
      <c r="M161" s="2580"/>
      <c r="N161" s="2580"/>
      <c r="O161" s="2581"/>
      <c r="P161" s="2580"/>
      <c r="Q161" s="2580"/>
      <c r="R161" s="2582"/>
    </row>
    <row r="162" s="1821" customFormat="1" spans="2:18">
      <c r="B162" s="2580"/>
      <c r="C162" s="2580"/>
      <c r="D162" s="2580"/>
      <c r="E162" s="2580"/>
      <c r="F162" s="2580"/>
      <c r="G162" s="2581"/>
      <c r="H162" s="2580"/>
      <c r="I162" s="2581"/>
      <c r="J162" s="2580"/>
      <c r="K162" s="2580"/>
      <c r="L162" s="2581"/>
      <c r="M162" s="2580"/>
      <c r="N162" s="2580"/>
      <c r="O162" s="2581"/>
      <c r="P162" s="2580"/>
      <c r="Q162" s="2580"/>
      <c r="R162" s="2582"/>
    </row>
    <row r="163" s="1821" customFormat="1" spans="2:18">
      <c r="B163" s="2580"/>
      <c r="C163" s="2580"/>
      <c r="D163" s="2580"/>
      <c r="E163" s="2580"/>
      <c r="F163" s="2580"/>
      <c r="G163" s="2581"/>
      <c r="H163" s="2580"/>
      <c r="I163" s="2581"/>
      <c r="J163" s="2580"/>
      <c r="K163" s="2580"/>
      <c r="L163" s="2581"/>
      <c r="M163" s="2580"/>
      <c r="N163" s="2580"/>
      <c r="O163" s="2581"/>
      <c r="P163" s="2580"/>
      <c r="Q163" s="2580"/>
      <c r="R163" s="2582"/>
    </row>
    <row r="164" s="1821" customFormat="1" spans="2:18">
      <c r="B164" s="2580"/>
      <c r="C164" s="2580"/>
      <c r="D164" s="2580"/>
      <c r="E164" s="2580"/>
      <c r="F164" s="2580"/>
      <c r="G164" s="2581"/>
      <c r="H164" s="2580"/>
      <c r="I164" s="2581"/>
      <c r="J164" s="2580"/>
      <c r="K164" s="2580"/>
      <c r="L164" s="2581"/>
      <c r="M164" s="2580"/>
      <c r="N164" s="2580"/>
      <c r="O164" s="2581"/>
      <c r="P164" s="2580"/>
      <c r="Q164" s="2580"/>
      <c r="R164" s="2582"/>
    </row>
    <row r="165" s="1821" customFormat="1" spans="2:18">
      <c r="B165" s="2580"/>
      <c r="C165" s="2580"/>
      <c r="D165" s="2580"/>
      <c r="E165" s="2580"/>
      <c r="F165" s="2580"/>
      <c r="G165" s="2581"/>
      <c r="H165" s="2580"/>
      <c r="I165" s="2581"/>
      <c r="J165" s="2580"/>
      <c r="K165" s="2580"/>
      <c r="L165" s="2581"/>
      <c r="M165" s="2580"/>
      <c r="N165" s="2580"/>
      <c r="O165" s="2581"/>
      <c r="P165" s="2580"/>
      <c r="Q165" s="2580"/>
      <c r="R165" s="2582"/>
    </row>
    <row r="166" s="1821" customFormat="1" spans="2:18">
      <c r="B166" s="2580"/>
      <c r="C166" s="2580"/>
      <c r="D166" s="2580"/>
      <c r="E166" s="2580"/>
      <c r="F166" s="2580"/>
      <c r="G166" s="2581"/>
      <c r="H166" s="2580"/>
      <c r="I166" s="2581"/>
      <c r="J166" s="2580"/>
      <c r="K166" s="2580"/>
      <c r="L166" s="2581"/>
      <c r="M166" s="2580"/>
      <c r="N166" s="2580"/>
      <c r="O166" s="2581"/>
      <c r="P166" s="2580"/>
      <c r="Q166" s="2580"/>
      <c r="R166" s="2582"/>
    </row>
    <row r="167" s="1821" customFormat="1" spans="2:18">
      <c r="B167" s="2580"/>
      <c r="C167" s="2580"/>
      <c r="D167" s="2580"/>
      <c r="E167" s="2580"/>
      <c r="F167" s="2580"/>
      <c r="G167" s="2581"/>
      <c r="H167" s="2580"/>
      <c r="I167" s="2581"/>
      <c r="J167" s="2580"/>
      <c r="K167" s="2580"/>
      <c r="L167" s="2581"/>
      <c r="M167" s="2580"/>
      <c r="N167" s="2580"/>
      <c r="O167" s="2581"/>
      <c r="P167" s="2580"/>
      <c r="Q167" s="2580"/>
      <c r="R167" s="2582"/>
    </row>
    <row r="168" s="1821" customFormat="1" spans="2:18">
      <c r="B168" s="2580"/>
      <c r="C168" s="2580"/>
      <c r="D168" s="2580"/>
      <c r="E168" s="2580"/>
      <c r="F168" s="2580"/>
      <c r="G168" s="2581"/>
      <c r="H168" s="2580"/>
      <c r="I168" s="2581"/>
      <c r="J168" s="2580"/>
      <c r="K168" s="2580"/>
      <c r="L168" s="2581"/>
      <c r="M168" s="2580"/>
      <c r="N168" s="2580"/>
      <c r="O168" s="2581"/>
      <c r="P168" s="2580"/>
      <c r="Q168" s="2580"/>
      <c r="R168" s="2582"/>
    </row>
    <row r="169" s="1821" customFormat="1" spans="2:18">
      <c r="B169" s="2580"/>
      <c r="C169" s="2580"/>
      <c r="D169" s="2580"/>
      <c r="E169" s="2580"/>
      <c r="F169" s="2580"/>
      <c r="G169" s="2581"/>
      <c r="H169" s="2580"/>
      <c r="I169" s="2581"/>
      <c r="J169" s="2580"/>
      <c r="K169" s="2580"/>
      <c r="L169" s="2581"/>
      <c r="M169" s="2580"/>
      <c r="N169" s="2580"/>
      <c r="O169" s="2581"/>
      <c r="P169" s="2580"/>
      <c r="Q169" s="2580"/>
      <c r="R169" s="2582"/>
    </row>
    <row r="170" s="1821" customFormat="1" spans="2:18">
      <c r="B170" s="2580"/>
      <c r="C170" s="2580"/>
      <c r="D170" s="2580"/>
      <c r="E170" s="2580"/>
      <c r="F170" s="2580"/>
      <c r="G170" s="2581"/>
      <c r="H170" s="2580"/>
      <c r="I170" s="2581"/>
      <c r="J170" s="2580"/>
      <c r="K170" s="2580"/>
      <c r="L170" s="2581"/>
      <c r="M170" s="2580"/>
      <c r="N170" s="2580"/>
      <c r="O170" s="2581"/>
      <c r="P170" s="2580"/>
      <c r="Q170" s="2580"/>
      <c r="R170" s="2582"/>
    </row>
    <row r="171" s="1821" customFormat="1" spans="2:18">
      <c r="B171" s="2580"/>
      <c r="C171" s="2580"/>
      <c r="D171" s="2580"/>
      <c r="E171" s="2580"/>
      <c r="F171" s="2580"/>
      <c r="G171" s="2581"/>
      <c r="H171" s="2580"/>
      <c r="I171" s="2581"/>
      <c r="J171" s="2580"/>
      <c r="K171" s="2580"/>
      <c r="L171" s="2581"/>
      <c r="M171" s="2580"/>
      <c r="N171" s="2580"/>
      <c r="O171" s="2581"/>
      <c r="P171" s="2580"/>
      <c r="Q171" s="2580"/>
      <c r="R171" s="2582"/>
    </row>
    <row r="172" s="1821" customFormat="1" spans="2:18">
      <c r="B172" s="2580"/>
      <c r="C172" s="2580"/>
      <c r="D172" s="2580"/>
      <c r="E172" s="2580"/>
      <c r="F172" s="2580"/>
      <c r="G172" s="2581"/>
      <c r="H172" s="2580"/>
      <c r="I172" s="2581"/>
      <c r="J172" s="2580"/>
      <c r="K172" s="2580"/>
      <c r="L172" s="2581"/>
      <c r="M172" s="2580"/>
      <c r="N172" s="2580"/>
      <c r="O172" s="2581"/>
      <c r="P172" s="2580"/>
      <c r="Q172" s="2580"/>
      <c r="R172" s="2582"/>
    </row>
    <row r="173" s="1821" customFormat="1" spans="2:18">
      <c r="B173" s="2580"/>
      <c r="C173" s="2580"/>
      <c r="D173" s="2580"/>
      <c r="E173" s="2580"/>
      <c r="F173" s="2580"/>
      <c r="G173" s="2581"/>
      <c r="H173" s="2580"/>
      <c r="I173" s="2581"/>
      <c r="J173" s="2580"/>
      <c r="K173" s="2580"/>
      <c r="L173" s="2581"/>
      <c r="M173" s="2580"/>
      <c r="N173" s="2580"/>
      <c r="O173" s="2581"/>
      <c r="P173" s="2580"/>
      <c r="Q173" s="2580"/>
      <c r="R173" s="2582"/>
    </row>
    <row r="174" s="1821" customFormat="1" spans="2:18">
      <c r="B174" s="2580"/>
      <c r="C174" s="2580"/>
      <c r="D174" s="2580"/>
      <c r="E174" s="2580"/>
      <c r="F174" s="2580"/>
      <c r="G174" s="2581"/>
      <c r="H174" s="2580"/>
      <c r="I174" s="2581"/>
      <c r="J174" s="2580"/>
      <c r="K174" s="2580"/>
      <c r="L174" s="2581"/>
      <c r="M174" s="2580"/>
      <c r="N174" s="2580"/>
      <c r="O174" s="2581"/>
      <c r="P174" s="2580"/>
      <c r="Q174" s="2580"/>
      <c r="R174" s="2582"/>
    </row>
    <row r="175" s="1821" customFormat="1" spans="2:18">
      <c r="B175" s="2580"/>
      <c r="C175" s="2580"/>
      <c r="D175" s="2580"/>
      <c r="E175" s="2580"/>
      <c r="F175" s="2580"/>
      <c r="G175" s="2581"/>
      <c r="H175" s="2580"/>
      <c r="I175" s="2581"/>
      <c r="J175" s="2580"/>
      <c r="K175" s="2580"/>
      <c r="L175" s="2581"/>
      <c r="M175" s="2580"/>
      <c r="N175" s="2580"/>
      <c r="O175" s="2581"/>
      <c r="P175" s="2580"/>
      <c r="Q175" s="2580"/>
      <c r="R175" s="2582"/>
    </row>
    <row r="176" s="1821" customFormat="1" spans="2:18">
      <c r="B176" s="2580"/>
      <c r="C176" s="2580"/>
      <c r="D176" s="2580"/>
      <c r="E176" s="2580"/>
      <c r="F176" s="2580"/>
      <c r="G176" s="2581"/>
      <c r="H176" s="2580"/>
      <c r="I176" s="2581"/>
      <c r="J176" s="2580"/>
      <c r="K176" s="2580"/>
      <c r="L176" s="2581"/>
      <c r="M176" s="2580"/>
      <c r="N176" s="2580"/>
      <c r="O176" s="2581"/>
      <c r="P176" s="2580"/>
      <c r="Q176" s="2580"/>
      <c r="R176" s="2582"/>
    </row>
    <row r="177" s="1821" customFormat="1" spans="2:18">
      <c r="B177" s="2580"/>
      <c r="C177" s="2580"/>
      <c r="D177" s="2580"/>
      <c r="E177" s="2580"/>
      <c r="F177" s="2580"/>
      <c r="G177" s="2581"/>
      <c r="H177" s="2580"/>
      <c r="I177" s="2581"/>
      <c r="J177" s="2580"/>
      <c r="K177" s="2580"/>
      <c r="L177" s="2581"/>
      <c r="M177" s="2580"/>
      <c r="N177" s="2580"/>
      <c r="O177" s="2581"/>
      <c r="P177" s="2580"/>
      <c r="Q177" s="2580"/>
      <c r="R177" s="2582"/>
    </row>
    <row r="178" s="1821" customFormat="1" spans="2:18">
      <c r="B178" s="2580"/>
      <c r="C178" s="2580"/>
      <c r="D178" s="2580"/>
      <c r="E178" s="2580"/>
      <c r="F178" s="2580"/>
      <c r="G178" s="2581"/>
      <c r="H178" s="2580"/>
      <c r="I178" s="2581"/>
      <c r="J178" s="2580"/>
      <c r="K178" s="2580"/>
      <c r="L178" s="2581"/>
      <c r="M178" s="2580"/>
      <c r="N178" s="2580"/>
      <c r="O178" s="2581"/>
      <c r="P178" s="2580"/>
      <c r="Q178" s="2580"/>
      <c r="R178" s="2582"/>
    </row>
    <row r="179" s="1821" customFormat="1" spans="2:18">
      <c r="B179" s="2580"/>
      <c r="C179" s="2580"/>
      <c r="D179" s="2580"/>
      <c r="E179" s="2580"/>
      <c r="F179" s="2580"/>
      <c r="G179" s="2581"/>
      <c r="H179" s="2580"/>
      <c r="I179" s="2581"/>
      <c r="J179" s="2580"/>
      <c r="K179" s="2580"/>
      <c r="L179" s="2581"/>
      <c r="M179" s="2580"/>
      <c r="N179" s="2580"/>
      <c r="O179" s="2581"/>
      <c r="P179" s="2580"/>
      <c r="Q179" s="2580"/>
      <c r="R179" s="2582"/>
    </row>
    <row r="180" s="1821" customFormat="1" spans="2:18">
      <c r="B180" s="2580"/>
      <c r="C180" s="2580"/>
      <c r="D180" s="2580"/>
      <c r="E180" s="2580"/>
      <c r="F180" s="2580"/>
      <c r="G180" s="2581"/>
      <c r="H180" s="2580"/>
      <c r="I180" s="2581"/>
      <c r="J180" s="2580"/>
      <c r="K180" s="2580"/>
      <c r="L180" s="2581"/>
      <c r="M180" s="2580"/>
      <c r="N180" s="2580"/>
      <c r="O180" s="2581"/>
      <c r="P180" s="2580"/>
      <c r="Q180" s="2580"/>
      <c r="R180" s="2582"/>
    </row>
    <row r="181" s="1821" customFormat="1" spans="2:18">
      <c r="B181" s="2580"/>
      <c r="C181" s="2580"/>
      <c r="D181" s="2580"/>
      <c r="E181" s="2580"/>
      <c r="F181" s="2580"/>
      <c r="G181" s="2581"/>
      <c r="H181" s="2580"/>
      <c r="I181" s="2581"/>
      <c r="J181" s="2580"/>
      <c r="K181" s="2580"/>
      <c r="L181" s="2581"/>
      <c r="M181" s="2580"/>
      <c r="N181" s="2580"/>
      <c r="O181" s="2581"/>
      <c r="P181" s="2580"/>
      <c r="Q181" s="2580"/>
      <c r="R181" s="2582"/>
    </row>
    <row r="182" s="1821" customFormat="1" spans="2:18">
      <c r="B182" s="2580"/>
      <c r="C182" s="2580"/>
      <c r="D182" s="2580"/>
      <c r="E182" s="2580"/>
      <c r="F182" s="2580"/>
      <c r="G182" s="2581"/>
      <c r="H182" s="2580"/>
      <c r="I182" s="2581"/>
      <c r="J182" s="2580"/>
      <c r="K182" s="2580"/>
      <c r="L182" s="2581"/>
      <c r="M182" s="2580"/>
      <c r="N182" s="2580"/>
      <c r="O182" s="2581"/>
      <c r="P182" s="2580"/>
      <c r="Q182" s="2580"/>
      <c r="R182" s="2582"/>
    </row>
    <row r="183" s="1821" customFormat="1" spans="2:18">
      <c r="B183" s="2580"/>
      <c r="C183" s="2580"/>
      <c r="D183" s="2580"/>
      <c r="E183" s="2580"/>
      <c r="F183" s="2580"/>
      <c r="G183" s="2581"/>
      <c r="H183" s="2580"/>
      <c r="I183" s="2581"/>
      <c r="J183" s="2580"/>
      <c r="K183" s="2580"/>
      <c r="L183" s="2581"/>
      <c r="M183" s="2580"/>
      <c r="N183" s="2580"/>
      <c r="O183" s="2581"/>
      <c r="P183" s="2580"/>
      <c r="Q183" s="2580"/>
      <c r="R183" s="2582"/>
    </row>
    <row r="184" s="1821" customFormat="1" spans="2:18">
      <c r="B184" s="2580"/>
      <c r="C184" s="2580"/>
      <c r="D184" s="2580"/>
      <c r="E184" s="2580"/>
      <c r="F184" s="2580"/>
      <c r="G184" s="2581"/>
      <c r="H184" s="2580"/>
      <c r="I184" s="2581"/>
      <c r="J184" s="2580"/>
      <c r="K184" s="2580"/>
      <c r="L184" s="2581"/>
      <c r="M184" s="2580"/>
      <c r="N184" s="2580"/>
      <c r="O184" s="2581"/>
      <c r="P184" s="2580"/>
      <c r="Q184" s="2580"/>
      <c r="R184" s="2582"/>
    </row>
    <row r="185" s="1821" customFormat="1" spans="2:18">
      <c r="B185" s="2580"/>
      <c r="C185" s="2580"/>
      <c r="D185" s="2580"/>
      <c r="E185" s="2580"/>
      <c r="F185" s="2580"/>
      <c r="G185" s="2581"/>
      <c r="H185" s="2580"/>
      <c r="I185" s="2581"/>
      <c r="J185" s="2580"/>
      <c r="K185" s="2580"/>
      <c r="L185" s="2581"/>
      <c r="M185" s="2580"/>
      <c r="N185" s="2580"/>
      <c r="O185" s="2581"/>
      <c r="P185" s="2580"/>
      <c r="Q185" s="2580"/>
      <c r="R185" s="2582"/>
    </row>
    <row r="186" spans="1:7">
      <c r="A186" s="1821"/>
      <c r="B186" s="2580"/>
      <c r="C186" s="2580"/>
      <c r="E186" s="2580"/>
      <c r="F186" s="2580"/>
      <c r="G186" s="2581"/>
    </row>
    <row r="187" spans="1:7">
      <c r="A187" s="1821"/>
      <c r="B187" s="2580"/>
      <c r="C187" s="2580"/>
      <c r="E187" s="2580"/>
      <c r="F187" s="2580"/>
      <c r="G187" s="25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北京市房地产抵押价值预评估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ht="12.75" spans="2:2">
      <c r="B46" s="3420" t="str">
        <f ca="1">项目基本情况!K4</f>
        <v>（注册号：0)、（注册号：0)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D15" sqref="D15"/>
    </sheetView>
  </sheetViews>
  <sheetFormatPr defaultColWidth="9" defaultRowHeight="13.5"/>
  <cols>
    <col min="1" max="1" width="25" style="2561" customWidth="1"/>
    <col min="2" max="9" width="15.75" style="2561" customWidth="1"/>
    <col min="10" max="16384" width="9" style="2561"/>
  </cols>
  <sheetData>
    <row r="1" ht="16.5" spans="1:11">
      <c r="A1" s="2562" t="s">
        <v>1065</v>
      </c>
      <c r="B1" s="2562">
        <f>SUM(B14:B23)</f>
        <v>106883.51</v>
      </c>
      <c r="C1" s="2563"/>
      <c r="D1" s="2563"/>
      <c r="E1" s="2563"/>
      <c r="F1" s="2563"/>
      <c r="G1" s="2564"/>
      <c r="H1" s="2565"/>
      <c r="I1" s="2565"/>
      <c r="J1" s="2565"/>
      <c r="K1" s="2565"/>
    </row>
    <row r="2" ht="16.5" spans="1:11">
      <c r="A2" s="2562" t="s">
        <v>1066</v>
      </c>
      <c r="B2" s="2562">
        <f>SUM(C14:C23)</f>
        <v>14609.11</v>
      </c>
      <c r="C2" s="2563"/>
      <c r="D2" s="2563"/>
      <c r="E2" s="2563"/>
      <c r="F2" s="2563"/>
      <c r="G2" s="2564"/>
      <c r="H2" s="2565"/>
      <c r="I2" s="2565"/>
      <c r="J2" s="2565"/>
      <c r="K2" s="2565"/>
    </row>
    <row r="3" ht="16.5" spans="1:11">
      <c r="A3" s="2562" t="s">
        <v>1067</v>
      </c>
      <c r="B3" s="2566">
        <f>项目基本情况!D3</f>
        <v>44175</v>
      </c>
      <c r="C3" s="2563"/>
      <c r="D3" s="2563"/>
      <c r="E3" s="2563"/>
      <c r="F3" s="2563"/>
      <c r="G3" s="2564"/>
      <c r="H3" s="2565"/>
      <c r="I3" s="2565"/>
      <c r="J3" s="2565"/>
      <c r="K3" s="2565"/>
    </row>
    <row r="4" ht="33" spans="1:11">
      <c r="A4" s="2562" t="s">
        <v>1068</v>
      </c>
      <c r="B4" s="2562" t="s">
        <v>1069</v>
      </c>
      <c r="C4" s="2562" t="s">
        <v>1070</v>
      </c>
      <c r="D4" s="2562" t="s">
        <v>1071</v>
      </c>
      <c r="E4" s="2563"/>
      <c r="F4" s="2564"/>
      <c r="G4" s="2564"/>
      <c r="H4" s="2565"/>
      <c r="I4" s="2565"/>
      <c r="J4" s="2565"/>
      <c r="K4" s="2565"/>
    </row>
    <row r="5" ht="16.5" spans="1:11">
      <c r="A5" s="2562" t="s">
        <v>1072</v>
      </c>
      <c r="B5" s="2562">
        <f ca="1">SUM(D14:D23)</f>
        <v>501540</v>
      </c>
      <c r="C5" s="2562">
        <f ca="1">ROUND(B5*10000/$B$1,0)</f>
        <v>46924</v>
      </c>
      <c r="D5" s="2562">
        <f ca="1">ROUND(B5*10000/$B$2,0)</f>
        <v>343306</v>
      </c>
      <c r="E5" s="2563"/>
      <c r="F5" s="2564"/>
      <c r="G5" s="2564"/>
      <c r="H5" s="2565"/>
      <c r="I5" s="2565"/>
      <c r="J5" s="2565"/>
      <c r="K5" s="2565"/>
    </row>
    <row r="6" ht="16.5" spans="1:11">
      <c r="A6" s="2562" t="s">
        <v>1073</v>
      </c>
      <c r="B6" s="2562">
        <f ca="1">SUM(G14:G23)</f>
        <v>501540</v>
      </c>
      <c r="C6" s="2562">
        <f ca="1">ROUND(B6*10000/$B$1,0)</f>
        <v>46924</v>
      </c>
      <c r="D6" s="2562">
        <f ca="1">ROUND(B6*10000/$B$2,0)</f>
        <v>343306</v>
      </c>
      <c r="E6" s="2563"/>
      <c r="F6" s="2564"/>
      <c r="G6" s="2564"/>
      <c r="H6" s="2565"/>
      <c r="I6" s="2565"/>
      <c r="J6" s="2565"/>
      <c r="K6" s="2565"/>
    </row>
    <row r="7" ht="16.5" spans="1:11">
      <c r="A7" s="2562" t="s">
        <v>1074</v>
      </c>
      <c r="B7" s="2562">
        <f ca="1">SUM(H14:H23)</f>
        <v>0</v>
      </c>
      <c r="C7" s="2562">
        <f ca="1">ROUND(B7*10000/$B$1,0)</f>
        <v>0</v>
      </c>
      <c r="D7" s="2562">
        <f ca="1">ROUND(B7*10000/$B$2,0)</f>
        <v>0</v>
      </c>
      <c r="E7" s="2563"/>
      <c r="F7" s="2564"/>
      <c r="G7" s="2564"/>
      <c r="H7" s="2565"/>
      <c r="I7" s="2565"/>
      <c r="J7" s="2565"/>
      <c r="K7" s="2565"/>
    </row>
    <row r="8" ht="16.5" spans="1:11">
      <c r="A8" s="2562" t="s">
        <v>335</v>
      </c>
      <c r="B8" s="2562">
        <f ca="1">SUM(I14:I23)</f>
        <v>0</v>
      </c>
      <c r="C8" s="2562">
        <f ca="1">ROUND(B8*10000/$B$1,0)</f>
        <v>0</v>
      </c>
      <c r="D8" s="2562">
        <f ca="1">ROUND(B8*10000/$B$2,0)</f>
        <v>0</v>
      </c>
      <c r="E8" s="2563"/>
      <c r="F8" s="2564"/>
      <c r="G8" s="2564"/>
      <c r="H8" s="2565"/>
      <c r="I8" s="2565"/>
      <c r="J8" s="2565"/>
      <c r="K8" s="2565"/>
    </row>
    <row r="9" ht="16.5" spans="1:11">
      <c r="A9" s="2562" t="s">
        <v>1075</v>
      </c>
      <c r="B9" s="2567"/>
      <c r="C9" s="2563"/>
      <c r="D9" s="2563"/>
      <c r="E9" s="2563"/>
      <c r="F9" s="2564"/>
      <c r="G9" s="2564"/>
      <c r="H9" s="2565"/>
      <c r="I9" s="2565"/>
      <c r="J9" s="2565"/>
      <c r="K9" s="2565"/>
    </row>
    <row r="10" ht="16.5" spans="1:11">
      <c r="A10" s="2562" t="s">
        <v>1076</v>
      </c>
      <c r="B10" s="2567"/>
      <c r="C10" s="2563"/>
      <c r="D10" s="2563"/>
      <c r="E10" s="2563"/>
      <c r="F10" s="2564"/>
      <c r="G10" s="2564"/>
      <c r="H10" s="2565"/>
      <c r="I10" s="2565"/>
      <c r="J10" s="2565"/>
      <c r="K10" s="2565"/>
    </row>
    <row r="11" ht="16.5" spans="1:11">
      <c r="A11" s="2562" t="s">
        <v>1077</v>
      </c>
      <c r="B11" s="2567"/>
      <c r="C11" s="2563"/>
      <c r="D11" s="2563"/>
      <c r="E11" s="2563"/>
      <c r="F11" s="2564"/>
      <c r="G11" s="2564"/>
      <c r="H11" s="2565"/>
      <c r="I11" s="2565"/>
      <c r="J11" s="2565"/>
      <c r="K11" s="2565"/>
    </row>
    <row r="12" ht="16.5" spans="1:11">
      <c r="A12" s="2563"/>
      <c r="B12" s="2563"/>
      <c r="C12" s="2563"/>
      <c r="D12" s="2563"/>
      <c r="E12" s="2563"/>
      <c r="F12" s="2564"/>
      <c r="G12" s="2564"/>
      <c r="H12" s="2565"/>
      <c r="I12" s="2565"/>
      <c r="J12" s="2565"/>
      <c r="K12" s="2565"/>
    </row>
    <row r="13" ht="33" spans="1:11">
      <c r="A13" s="2568" t="s">
        <v>1078</v>
      </c>
      <c r="B13" s="2569" t="s">
        <v>1065</v>
      </c>
      <c r="C13" s="2569" t="s">
        <v>1066</v>
      </c>
      <c r="D13" s="2569" t="s">
        <v>1079</v>
      </c>
      <c r="E13" s="2562" t="s">
        <v>1070</v>
      </c>
      <c r="F13" s="2562" t="s">
        <v>1071</v>
      </c>
      <c r="G13" s="2569" t="s">
        <v>1080</v>
      </c>
      <c r="H13" s="2569" t="s">
        <v>1081</v>
      </c>
      <c r="I13" s="2569" t="s">
        <v>1082</v>
      </c>
      <c r="J13" s="2564"/>
      <c r="K13" s="2565"/>
    </row>
    <row r="14" ht="16.5" spans="1:11">
      <c r="A14" s="2570" t="s">
        <v>1083</v>
      </c>
      <c r="B14" s="2571">
        <f>结果表!B118</f>
        <v>63306.74</v>
      </c>
      <c r="C14" s="2571">
        <f>结果表!C118</f>
        <v>8652.93</v>
      </c>
      <c r="D14" s="2571">
        <f ca="1">结果表!H118</f>
        <v>328107</v>
      </c>
      <c r="E14" s="2571">
        <f ca="1">ROUND(D14*10000/B14,0)</f>
        <v>51828</v>
      </c>
      <c r="F14" s="2571">
        <f ca="1">ROUND(D14*10000/C14,0)</f>
        <v>379186</v>
      </c>
      <c r="G14" s="2571">
        <f ca="1">结果表!D122</f>
        <v>328107</v>
      </c>
      <c r="H14" s="2571" t="str">
        <f ca="1">结果表!D124</f>
        <v>——</v>
      </c>
      <c r="I14" s="2571" t="str">
        <f ca="1">结果表!D126</f>
        <v>——</v>
      </c>
      <c r="J14" s="2564"/>
      <c r="K14" s="2565"/>
    </row>
    <row r="15" ht="16.5" spans="1:11">
      <c r="A15" s="2570" t="s">
        <v>1084</v>
      </c>
      <c r="B15" s="2572">
        <f>结果表—商业!L18</f>
        <v>3141.59</v>
      </c>
      <c r="C15" s="2572">
        <f>结果表—商业!L19</f>
        <v>429.4</v>
      </c>
      <c r="D15" s="2572">
        <f ca="1">结果表—商业!G19</f>
        <v>16452</v>
      </c>
      <c r="E15" s="2571">
        <f ca="1" t="shared" ref="E15:E23" si="0">ROUND(D15*10000/B15,0)</f>
        <v>52368</v>
      </c>
      <c r="F15" s="2571">
        <f ca="1" t="shared" ref="F15:F23" si="1">ROUND(D15*10000/C15,0)</f>
        <v>383139</v>
      </c>
      <c r="G15" s="2573">
        <f ca="1">结果表—商业!G19</f>
        <v>16452</v>
      </c>
      <c r="H15" s="2573"/>
      <c r="I15" s="2572"/>
      <c r="J15" s="2564"/>
      <c r="K15" s="2565"/>
    </row>
    <row r="16" ht="16.5" spans="1:11">
      <c r="A16" s="2570" t="s">
        <v>1085</v>
      </c>
      <c r="B16" s="2572">
        <f>[2]系统读取表!$B$1</f>
        <v>40435.18</v>
      </c>
      <c r="C16" s="2572">
        <f>[2]系统读取表!$B$2</f>
        <v>5526.78</v>
      </c>
      <c r="D16" s="2572">
        <f ca="1">[3]系统读取表!$B$5</f>
        <v>156981</v>
      </c>
      <c r="E16" s="2571">
        <f ca="1" t="shared" si="0"/>
        <v>38823</v>
      </c>
      <c r="F16" s="2571">
        <f ca="1" t="shared" si="1"/>
        <v>284037</v>
      </c>
      <c r="G16" s="2573">
        <f ca="1">[3]系统读取表!$B$6</f>
        <v>156981</v>
      </c>
      <c r="H16" s="2573"/>
      <c r="I16" s="2572"/>
      <c r="J16" s="2565"/>
      <c r="K16" s="2565"/>
    </row>
    <row r="17" ht="16.5" spans="1:11">
      <c r="A17" s="2570" t="s">
        <v>1086</v>
      </c>
      <c r="B17" s="2572"/>
      <c r="C17" s="2572"/>
      <c r="D17" s="2572"/>
      <c r="E17" s="2571" t="e">
        <f ca="1" t="shared" si="0"/>
        <v>#DIV/0!</v>
      </c>
      <c r="F17" s="2571" t="e">
        <f ca="1" t="shared" si="1"/>
        <v>#DIV/0!</v>
      </c>
      <c r="G17" s="2573"/>
      <c r="H17" s="2573"/>
      <c r="I17" s="2572"/>
      <c r="J17" s="2565"/>
      <c r="K17" s="2565"/>
    </row>
    <row r="18" ht="16.5" spans="1:11">
      <c r="A18" s="2570" t="s">
        <v>1087</v>
      </c>
      <c r="B18" s="2572"/>
      <c r="C18" s="2572"/>
      <c r="D18" s="2572"/>
      <c r="E18" s="2571" t="e">
        <f ca="1" t="shared" si="0"/>
        <v>#DIV/0!</v>
      </c>
      <c r="F18" s="2571" t="e">
        <f ca="1" t="shared" si="1"/>
        <v>#DIV/0!</v>
      </c>
      <c r="G18" s="2572"/>
      <c r="H18" s="2572"/>
      <c r="I18" s="2572"/>
      <c r="J18" s="2565"/>
      <c r="K18" s="2565"/>
    </row>
    <row r="19" ht="16.5" spans="1:11">
      <c r="A19" s="2570" t="s">
        <v>1088</v>
      </c>
      <c r="B19" s="2572"/>
      <c r="C19" s="2572"/>
      <c r="D19" s="2572"/>
      <c r="E19" s="2571" t="e">
        <f ca="1" t="shared" si="0"/>
        <v>#DIV/0!</v>
      </c>
      <c r="F19" s="2571" t="e">
        <f ca="1" t="shared" si="1"/>
        <v>#DIV/0!</v>
      </c>
      <c r="G19" s="2572"/>
      <c r="H19" s="2572"/>
      <c r="I19" s="2572"/>
      <c r="J19" s="2565"/>
      <c r="K19" s="2565"/>
    </row>
    <row r="20" ht="16.5" spans="1:11">
      <c r="A20" s="2570" t="s">
        <v>1089</v>
      </c>
      <c r="B20" s="2572"/>
      <c r="C20" s="2572"/>
      <c r="D20" s="2572"/>
      <c r="E20" s="2571" t="e">
        <f ca="1" t="shared" si="0"/>
        <v>#DIV/0!</v>
      </c>
      <c r="F20" s="2571" t="e">
        <f ca="1" t="shared" si="1"/>
        <v>#DIV/0!</v>
      </c>
      <c r="G20" s="2572"/>
      <c r="H20" s="2572"/>
      <c r="I20" s="2572"/>
      <c r="J20" s="2565"/>
      <c r="K20" s="2565"/>
    </row>
    <row r="21" ht="16.5" spans="1:11">
      <c r="A21" s="2570" t="s">
        <v>1090</v>
      </c>
      <c r="B21" s="2572"/>
      <c r="C21" s="2572"/>
      <c r="D21" s="2572"/>
      <c r="E21" s="2571" t="e">
        <f ca="1" t="shared" si="0"/>
        <v>#DIV/0!</v>
      </c>
      <c r="F21" s="2571" t="e">
        <f ca="1" t="shared" si="1"/>
        <v>#DIV/0!</v>
      </c>
      <c r="G21" s="2572"/>
      <c r="H21" s="2572"/>
      <c r="I21" s="2572"/>
      <c r="J21" s="2565"/>
      <c r="K21" s="2565"/>
    </row>
    <row r="22" ht="16.5" spans="1:11">
      <c r="A22" s="2570" t="s">
        <v>1091</v>
      </c>
      <c r="B22" s="2572"/>
      <c r="C22" s="2572"/>
      <c r="D22" s="2572"/>
      <c r="E22" s="2571" t="e">
        <f ca="1" t="shared" si="0"/>
        <v>#DIV/0!</v>
      </c>
      <c r="F22" s="2571" t="e">
        <f ca="1" t="shared" si="1"/>
        <v>#DIV/0!</v>
      </c>
      <c r="G22" s="2572"/>
      <c r="H22" s="2572"/>
      <c r="I22" s="2572"/>
      <c r="J22" s="2565"/>
      <c r="K22" s="2565"/>
    </row>
    <row r="23" ht="16.5" spans="1:11">
      <c r="A23" s="2570" t="s">
        <v>1092</v>
      </c>
      <c r="B23" s="2572"/>
      <c r="C23" s="2572"/>
      <c r="D23" s="2572"/>
      <c r="E23" s="2567" t="e">
        <f ca="1" t="shared" si="0"/>
        <v>#DIV/0!</v>
      </c>
      <c r="F23" s="2567" t="e">
        <f ca="1" t="shared" si="1"/>
        <v>#DIV/0!</v>
      </c>
      <c r="G23" s="2572"/>
      <c r="H23" s="2572"/>
      <c r="I23" s="2572"/>
      <c r="J23" s="2565"/>
      <c r="K23" s="2565"/>
    </row>
    <row r="24" spans="1:11">
      <c r="A24" s="2565"/>
      <c r="B24" s="2565"/>
      <c r="C24" s="2565"/>
      <c r="D24" s="2565"/>
      <c r="E24" s="2565"/>
      <c r="F24" s="2565"/>
      <c r="G24" s="2565"/>
      <c r="H24" s="2565"/>
      <c r="I24" s="2565"/>
      <c r="J24" s="2565"/>
      <c r="K24" s="2565"/>
    </row>
    <row r="25" spans="1:11">
      <c r="A25" s="2565"/>
      <c r="B25" s="2565"/>
      <c r="C25" s="2565"/>
      <c r="D25" s="2565"/>
      <c r="E25" s="2565"/>
      <c r="F25" s="2565"/>
      <c r="G25" s="2565"/>
      <c r="H25" s="2565"/>
      <c r="I25" s="2565"/>
      <c r="J25" s="2565"/>
      <c r="K25" s="2565"/>
    </row>
    <row r="26" spans="1:11">
      <c r="A26" s="2565"/>
      <c r="B26" s="2565"/>
      <c r="C26" s="2565"/>
      <c r="D26" s="2565"/>
      <c r="E26" s="2565"/>
      <c r="F26" s="2565"/>
      <c r="G26" s="2565"/>
      <c r="H26" s="2565"/>
      <c r="I26" s="2565"/>
      <c r="J26" s="2565"/>
      <c r="K26" s="2565"/>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103" workbookViewId="0">
      <selection activeCell="B118" sqref="B118:I118"/>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1093</v>
      </c>
      <c r="B1" s="2148"/>
      <c r="C1" s="2149" t="s">
        <v>462</v>
      </c>
      <c r="D1" s="2148"/>
      <c r="E1" s="2148"/>
      <c r="F1" s="2150" t="s">
        <v>1094</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1095</v>
      </c>
      <c r="B3" s="1617"/>
      <c r="C3" s="1617"/>
      <c r="D3" s="1617"/>
      <c r="E3" s="1617"/>
      <c r="F3" s="1617"/>
      <c r="G3" s="1617"/>
      <c r="H3" s="1617"/>
      <c r="I3" s="1617"/>
    </row>
    <row r="4" ht="14.25" spans="1:12">
      <c r="A4" s="2156" t="s">
        <v>1096</v>
      </c>
      <c r="B4" s="2157" t="s">
        <v>1097</v>
      </c>
      <c r="C4" s="2158" t="s">
        <v>305</v>
      </c>
      <c r="D4" s="2158" t="s">
        <v>309</v>
      </c>
      <c r="E4" s="2159" t="s">
        <v>1098</v>
      </c>
      <c r="F4" s="2160"/>
      <c r="G4" s="2160"/>
      <c r="H4" s="2160"/>
      <c r="I4" s="2314"/>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1" t="s">
        <v>1099</v>
      </c>
      <c r="B5" s="1027">
        <v>25</v>
      </c>
      <c r="C5" s="2162">
        <v>20</v>
      </c>
      <c r="D5" s="2163">
        <v>21</v>
      </c>
      <c r="E5" s="1605" t="s">
        <v>1100</v>
      </c>
      <c r="F5" s="2164"/>
      <c r="G5" s="2164"/>
      <c r="H5" s="2164"/>
      <c r="I5" s="1936"/>
    </row>
    <row r="6" ht="13.5" spans="1:9">
      <c r="A6" s="2161"/>
      <c r="B6" s="1027"/>
      <c r="C6" s="2165"/>
      <c r="D6" s="2163"/>
      <c r="E6" s="1605" t="s">
        <v>1101</v>
      </c>
      <c r="F6" s="2164"/>
      <c r="G6" s="2164"/>
      <c r="H6" s="2164"/>
      <c r="I6" s="1936"/>
    </row>
    <row r="7" ht="13.5" spans="1:9">
      <c r="A7" s="2161"/>
      <c r="B7" s="1027"/>
      <c r="C7" s="2166"/>
      <c r="D7" s="2163"/>
      <c r="E7" s="1605" t="s">
        <v>1102</v>
      </c>
      <c r="F7" s="2164"/>
      <c r="G7" s="2164"/>
      <c r="H7" s="2164"/>
      <c r="I7" s="1936"/>
    </row>
    <row r="8" ht="13.5" spans="1:9">
      <c r="A8" s="2161" t="s">
        <v>1103</v>
      </c>
      <c r="B8" s="1027">
        <v>15</v>
      </c>
      <c r="C8" s="2162">
        <v>10</v>
      </c>
      <c r="D8" s="2163">
        <v>11</v>
      </c>
      <c r="E8" s="1605" t="s">
        <v>1104</v>
      </c>
      <c r="F8" s="2164"/>
      <c r="G8" s="2164"/>
      <c r="H8" s="2164"/>
      <c r="I8" s="1936"/>
    </row>
    <row r="9" ht="13.5" spans="1:9">
      <c r="A9" s="2161"/>
      <c r="B9" s="1027"/>
      <c r="C9" s="2166"/>
      <c r="D9" s="2163"/>
      <c r="E9" s="1605" t="s">
        <v>1105</v>
      </c>
      <c r="F9" s="2164"/>
      <c r="G9" s="2164"/>
      <c r="H9" s="2164"/>
      <c r="I9" s="1936"/>
    </row>
    <row r="10" ht="13.5" spans="1:9">
      <c r="A10" s="2161" t="s">
        <v>1106</v>
      </c>
      <c r="B10" s="1027">
        <v>15</v>
      </c>
      <c r="C10" s="2162">
        <v>12</v>
      </c>
      <c r="D10" s="2163">
        <v>11</v>
      </c>
      <c r="E10" s="1605" t="s">
        <v>1107</v>
      </c>
      <c r="F10" s="2164"/>
      <c r="G10" s="2164"/>
      <c r="H10" s="2164"/>
      <c r="I10" s="1936"/>
    </row>
    <row r="11" ht="13.5" spans="1:9">
      <c r="A11" s="2161"/>
      <c r="B11" s="1027"/>
      <c r="C11" s="2166"/>
      <c r="D11" s="2163"/>
      <c r="E11" s="1605" t="s">
        <v>1108</v>
      </c>
      <c r="F11" s="2164"/>
      <c r="G11" s="2164"/>
      <c r="H11" s="2164"/>
      <c r="I11" s="1936"/>
    </row>
    <row r="12" ht="13.5" spans="1:9">
      <c r="A12" s="2161" t="s">
        <v>1109</v>
      </c>
      <c r="B12" s="1027">
        <v>15</v>
      </c>
      <c r="C12" s="2162">
        <v>10</v>
      </c>
      <c r="D12" s="2163">
        <v>9</v>
      </c>
      <c r="E12" s="1605" t="s">
        <v>1110</v>
      </c>
      <c r="F12" s="2164"/>
      <c r="G12" s="2164"/>
      <c r="H12" s="2164"/>
      <c r="I12" s="1936"/>
    </row>
    <row r="13" ht="13.5" spans="1:9">
      <c r="A13" s="2161"/>
      <c r="B13" s="1027"/>
      <c r="C13" s="2166"/>
      <c r="D13" s="2163"/>
      <c r="E13" s="1605" t="s">
        <v>1111</v>
      </c>
      <c r="F13" s="2164"/>
      <c r="G13" s="2164"/>
      <c r="H13" s="2164"/>
      <c r="I13" s="1936"/>
    </row>
    <row r="14" ht="13.5" spans="1:9">
      <c r="A14" s="2161" t="s">
        <v>1112</v>
      </c>
      <c r="B14" s="1027">
        <v>30</v>
      </c>
      <c r="C14" s="2162">
        <v>24</v>
      </c>
      <c r="D14" s="2163">
        <v>23</v>
      </c>
      <c r="E14" s="1605" t="s">
        <v>1113</v>
      </c>
      <c r="F14" s="2164"/>
      <c r="G14" s="2164"/>
      <c r="H14" s="2164"/>
      <c r="I14" s="1936"/>
    </row>
    <row r="15" ht="13.5" spans="1:9">
      <c r="A15" s="2161"/>
      <c r="B15" s="1027"/>
      <c r="C15" s="2165"/>
      <c r="D15" s="2163"/>
      <c r="E15" s="1605" t="s">
        <v>1114</v>
      </c>
      <c r="F15" s="2164"/>
      <c r="G15" s="2164"/>
      <c r="H15" s="2164"/>
      <c r="I15" s="1936"/>
    </row>
    <row r="16" ht="13.5" spans="1:9">
      <c r="A16" s="2161"/>
      <c r="B16" s="1027"/>
      <c r="C16" s="2166"/>
      <c r="D16" s="2163"/>
      <c r="E16" s="1605" t="s">
        <v>1115</v>
      </c>
      <c r="F16" s="2164"/>
      <c r="G16" s="2164"/>
      <c r="H16" s="2164"/>
      <c r="I16" s="1936"/>
    </row>
    <row r="17" ht="14.25" spans="1:13">
      <c r="A17" s="2167" t="s">
        <v>1116</v>
      </c>
      <c r="B17" s="2168"/>
      <c r="C17" s="2169">
        <f>SUM(C5:C16)</f>
        <v>76</v>
      </c>
      <c r="D17" s="2169">
        <f>SUM(D5:D16)</f>
        <v>75</v>
      </c>
      <c r="E17" s="2027"/>
      <c r="F17" s="2027"/>
      <c r="G17" s="2027"/>
      <c r="H17" s="2027"/>
      <c r="I17" s="2027"/>
      <c r="K17" s="1561"/>
      <c r="L17" s="1561" t="s">
        <v>1117</v>
      </c>
      <c r="M17" s="1561" t="s">
        <v>1118</v>
      </c>
    </row>
    <row r="18" ht="31.9" customHeight="1" spans="1:13">
      <c r="A18" s="2170" t="s">
        <v>1119</v>
      </c>
      <c r="B18" s="2171"/>
      <c r="C18" s="2172">
        <f>ROUND(C17/SUM(C17:D17),2)</f>
        <v>0.5</v>
      </c>
      <c r="D18" s="2172">
        <f>1-C18</f>
        <v>0.5</v>
      </c>
      <c r="E18" s="2173" t="s">
        <v>1120</v>
      </c>
      <c r="F18" s="2174"/>
      <c r="G18" s="2174"/>
      <c r="H18" s="2174"/>
      <c r="I18" s="2174"/>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5" t="s">
        <v>1121</v>
      </c>
      <c r="B19" s="2176" t="s">
        <v>1122</v>
      </c>
      <c r="C19" s="2177">
        <f ca="1">SUMIF(INDIRECT("'"&amp;C4&amp;"'"&amp;"!A:A"),结果表!B19,INDIRECT("'"&amp;C4&amp;"'"&amp;"!B:B"))</f>
        <v>335938</v>
      </c>
      <c r="D19" s="1184">
        <f ca="1">SUMIF(INDIRECT("'"&amp;D4&amp;"'"&amp;"!A:A"),结果表!B19,INDIRECT("'"&amp;D4&amp;"'"&amp;"!B:B"))</f>
        <v>320276</v>
      </c>
      <c r="E19" s="2175" t="s">
        <v>1123</v>
      </c>
      <c r="F19" s="2176" t="s">
        <v>1122</v>
      </c>
      <c r="G19" s="2178">
        <f ca="1">ROUND(C19*$C$18+D19*$D$18,0)</f>
        <v>328107</v>
      </c>
      <c r="H19" s="2179" t="s">
        <v>1124</v>
      </c>
      <c r="I19" s="2027"/>
      <c r="K19" s="1561" t="s">
        <v>372</v>
      </c>
      <c r="L19" s="1561">
        <f>IF(C1="",'数据-汇总表'!D3,SUMIF(项目类型,C1,'数据-汇总表'!D17:D26)+SUMIF(项目类型,C1,'数据-汇总表'!H17:H27))</f>
        <v>8652.93</v>
      </c>
      <c r="M19" s="1561">
        <f>IF(C1="",'数据-汇总表'!D3,SUMIF(项目类型,C1,'数据-汇总表'!D17:D26))</f>
        <v>8652.93</v>
      </c>
    </row>
    <row r="20" ht="15" spans="1:9">
      <c r="A20" s="2180"/>
      <c r="B20" s="2181" t="s">
        <v>1125</v>
      </c>
      <c r="C20" s="1442">
        <f ca="1">SUMIF(INDIRECT("'"&amp;C4&amp;"'"&amp;"!A:A"),结果表!B20,INDIRECT("'"&amp;C4&amp;"'"&amp;"!B:B"))</f>
        <v>53065</v>
      </c>
      <c r="D20" s="1445">
        <f ca="1">SUMIF(INDIRECT("'"&amp;D4&amp;"'"&amp;"!A:A"),结果表!B20,INDIRECT("'"&amp;D4&amp;"'"&amp;"!B:B"))</f>
        <v>50591</v>
      </c>
      <c r="E20" s="2180"/>
      <c r="F20" s="2181" t="s">
        <v>1125</v>
      </c>
      <c r="G20" s="2182">
        <f ca="1">ROUND(C20*$C$18+D20*$D$18,0)</f>
        <v>51828</v>
      </c>
      <c r="H20" s="1723" t="s">
        <v>1126</v>
      </c>
      <c r="I20" s="2027"/>
    </row>
    <row r="21" ht="15" customHeight="1" spans="1:9">
      <c r="A21" s="1898"/>
      <c r="B21" s="2183" t="s">
        <v>1127</v>
      </c>
      <c r="C21" s="2184">
        <f ca="1">ROUND(C19*10000/L19,0)</f>
        <v>388236</v>
      </c>
      <c r="D21" s="2185">
        <f ca="1">ROUND(D19*10000/L19,0)</f>
        <v>370136</v>
      </c>
      <c r="E21" s="1898"/>
      <c r="F21" s="2183" t="s">
        <v>1127</v>
      </c>
      <c r="G21" s="2186">
        <f ca="1">ROUND(G19*10000/L19,0)</f>
        <v>379186</v>
      </c>
      <c r="H21" s="2187" t="s">
        <v>1126</v>
      </c>
      <c r="I21" s="2027"/>
    </row>
    <row r="22" ht="15" spans="1:9">
      <c r="A22" s="2188" t="s">
        <v>1128</v>
      </c>
      <c r="B22" s="2189"/>
      <c r="C22" s="2190"/>
      <c r="D22" s="2191">
        <f ca="1">IF(C19&lt;D19,D19/C19-1,C19/D19-1)</f>
        <v>0.0489015723938104</v>
      </c>
      <c r="E22" s="2027"/>
      <c r="F22" s="2027"/>
      <c r="G22" s="2027"/>
      <c r="H22" s="2027"/>
      <c r="I22" s="2027"/>
    </row>
    <row r="23" ht="14.25" spans="1:9">
      <c r="A23" s="2148"/>
      <c r="B23" s="2148"/>
      <c r="C23" s="2148"/>
      <c r="D23" s="2148"/>
      <c r="E23" s="2027"/>
      <c r="F23" s="2027"/>
      <c r="G23" s="2027"/>
      <c r="H23" s="2027"/>
      <c r="I23" s="2027"/>
    </row>
    <row r="24" ht="14.25" spans="1:9">
      <c r="A24" s="2192" t="s">
        <v>1129</v>
      </c>
      <c r="B24" s="2176" t="s">
        <v>1122</v>
      </c>
      <c r="C24" s="2178">
        <f>IF(B30=0,0,D30)</f>
        <v>0</v>
      </c>
      <c r="D24" s="2193"/>
      <c r="E24" s="2027"/>
      <c r="F24" s="2027"/>
      <c r="G24" s="2027"/>
      <c r="H24" s="2027"/>
      <c r="I24" s="2027"/>
    </row>
    <row r="25" ht="14.25" spans="1:9">
      <c r="A25" s="2194"/>
      <c r="B25" s="2181" t="s">
        <v>1125</v>
      </c>
      <c r="C25" s="2195">
        <f>IF(B30=0,0,C30)</f>
        <v>0</v>
      </c>
      <c r="D25" s="2196"/>
      <c r="E25" s="2027"/>
      <c r="F25" s="2027"/>
      <c r="G25" s="2027"/>
      <c r="H25" s="2027"/>
      <c r="I25" s="2027"/>
    </row>
    <row r="26" ht="13.5" customHeight="1" spans="1:9">
      <c r="A26" s="2197" t="s">
        <v>1130</v>
      </c>
      <c r="B26" s="2198" t="s">
        <v>1131</v>
      </c>
      <c r="C26" s="2198" t="s">
        <v>1132</v>
      </c>
      <c r="D26" s="2199" t="s">
        <v>1133</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1134</v>
      </c>
      <c r="B30" s="2198"/>
      <c r="C30" s="2198"/>
      <c r="D30" s="2198"/>
      <c r="E30" s="2200" t="s">
        <v>1135</v>
      </c>
      <c r="F30" s="2027"/>
      <c r="G30" s="2027"/>
      <c r="H30" s="2027"/>
      <c r="I30" s="2027"/>
    </row>
    <row r="31" s="2143" customFormat="1" ht="26.45" customHeight="1" spans="1:36">
      <c r="A31" s="2201"/>
      <c r="B31" s="2202"/>
      <c r="C31" s="2202"/>
      <c r="D31" s="2202"/>
      <c r="E31" s="2202"/>
      <c r="F31" s="2202"/>
      <c r="G31" s="2202"/>
      <c r="H31" s="2202"/>
      <c r="I31" s="2315" t="s">
        <v>1136</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1137</v>
      </c>
      <c r="B32" s="2204"/>
      <c r="C32" s="2205">
        <f ca="1">IF(D32="总价",G19-C24,G20-C25)</f>
        <v>328107</v>
      </c>
      <c r="D32" s="2206" t="s">
        <v>1138</v>
      </c>
      <c r="E32" s="2027"/>
      <c r="F32" s="2027"/>
      <c r="G32" s="2027"/>
      <c r="H32" s="2027"/>
      <c r="I32" s="2027"/>
    </row>
    <row r="33" ht="15" spans="1:9">
      <c r="A33" s="1838" t="s">
        <v>1139</v>
      </c>
      <c r="B33" s="2207"/>
      <c r="C33" s="2208" t="s">
        <v>1140</v>
      </c>
      <c r="D33" s="2209" t="s">
        <v>309</v>
      </c>
      <c r="E33" s="2210" t="s">
        <v>1141</v>
      </c>
      <c r="F33" s="2211" t="str">
        <f>IF(D32="楼面单价","取值（单价）","取值（总价）")</f>
        <v>取值（总价）</v>
      </c>
      <c r="G33" s="2027"/>
      <c r="H33" s="2027"/>
      <c r="I33" s="2027"/>
    </row>
    <row r="34" ht="15" spans="1:9">
      <c r="A34" s="2212"/>
      <c r="B34" s="2213" t="s">
        <v>1142</v>
      </c>
      <c r="C34" s="2214">
        <f ca="1">IF(C33="自定义",F34,C32-C35)</f>
        <v>272985</v>
      </c>
      <c r="D34" s="2215">
        <f ca="1">IF(C33="自定义",ROUND(C34/C32,3),IF(C33="收益比率",SUMIF(INDIRECT("'"&amp;D33&amp;"'"&amp;"!b:b"),"土地收益比率",INDIRECT("'"&amp;D33&amp;"'"&amp;"!c:c")),SUMIF(INDIRECT("'"&amp;D33&amp;"'"&amp;"!b:b"),"土地成本比率",INDIRECT("'"&amp;D33&amp;"'"&amp;"!c:c"))))</f>
        <v>0.832</v>
      </c>
      <c r="E34" s="2216" t="s">
        <v>1143</v>
      </c>
      <c r="F34" s="2217"/>
      <c r="G34" s="2027"/>
      <c r="H34" s="2027"/>
      <c r="I34" s="2027"/>
    </row>
    <row r="35" ht="15.75" spans="1:9">
      <c r="A35" s="2218"/>
      <c r="B35" s="2219" t="s">
        <v>1144</v>
      </c>
      <c r="C35" s="2220">
        <f ca="1">IF(C33="自定义",F35,ROUND(C32*D35,0))</f>
        <v>55122</v>
      </c>
      <c r="D35" s="2221">
        <f ca="1">IF(C33="自定义",ROUND(C35/C32,3),IF(C33="收益比率",SUMIF(INDIRECT("'"&amp;D33&amp;"'"&amp;"!b:b"),"建筑物收益比率",INDIRECT("'"&amp;D33&amp;"'"&amp;"!c:c")),SUMIF(INDIRECT("'"&amp;D33&amp;"'"&amp;"!b:b"),"建筑物成本比率",INDIRECT("'"&amp;D33&amp;"'"&amp;"!c:c"))))</f>
        <v>0.168</v>
      </c>
      <c r="E35" s="2222" t="s">
        <v>1145</v>
      </c>
      <c r="F35" s="2223"/>
      <c r="G35" s="2027"/>
      <c r="H35" s="2027"/>
      <c r="I35" s="2027"/>
    </row>
    <row r="36" ht="15.75" spans="1:9">
      <c r="A36" s="2224" t="s">
        <v>1146</v>
      </c>
      <c r="B36" s="2225" t="s">
        <v>1147</v>
      </c>
      <c r="C36" s="2226"/>
      <c r="D36" s="2227"/>
      <c r="E36" s="2228"/>
      <c r="F36" s="2229"/>
      <c r="G36" s="2027"/>
      <c r="H36" s="2027"/>
      <c r="I36" s="2027"/>
    </row>
    <row r="37" ht="15.75" spans="1:9">
      <c r="A37" s="2230"/>
      <c r="B37" s="2231" t="s">
        <v>1148</v>
      </c>
      <c r="C37" s="2232"/>
      <c r="D37" s="2233"/>
      <c r="E37" s="2233"/>
      <c r="F37" s="2229"/>
      <c r="G37" s="2027"/>
      <c r="H37" s="2027"/>
      <c r="I37" s="2027"/>
    </row>
    <row r="38" ht="15.75" spans="1:9">
      <c r="A38" s="2234"/>
      <c r="B38" s="2235" t="s">
        <v>1149</v>
      </c>
      <c r="C38" s="2236"/>
      <c r="D38" s="2237" t="s">
        <v>1150</v>
      </c>
      <c r="E38" s="2233"/>
      <c r="F38" s="2229"/>
      <c r="G38" s="2027"/>
      <c r="H38" s="2027"/>
      <c r="I38" s="2027"/>
    </row>
    <row r="39" ht="14.25" spans="1:9">
      <c r="A39" s="2180" t="s">
        <v>1151</v>
      </c>
      <c r="B39" s="2238" t="s">
        <v>1131</v>
      </c>
      <c r="C39" s="2239" t="s">
        <v>1132</v>
      </c>
      <c r="D39" s="2239" t="s">
        <v>1152</v>
      </c>
      <c r="E39" s="2240" t="s">
        <v>1133</v>
      </c>
      <c r="F39" s="2229"/>
      <c r="G39" s="2027"/>
      <c r="H39" s="2027"/>
      <c r="I39" s="2027"/>
    </row>
    <row r="40" ht="14.25" spans="1:9">
      <c r="A40" s="2241" t="s">
        <v>1153</v>
      </c>
      <c r="B40" s="2242"/>
      <c r="C40" s="2044"/>
      <c r="D40" s="2044"/>
      <c r="E40" s="2243"/>
      <c r="F40" s="2229"/>
      <c r="G40" s="2027"/>
      <c r="H40" s="2027"/>
      <c r="I40" s="2027"/>
    </row>
    <row r="41" ht="14.25" spans="1:9">
      <c r="A41" s="2241" t="s">
        <v>1154</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1155</v>
      </c>
      <c r="B44" s="2250"/>
      <c r="C44" s="2250"/>
      <c r="D44" s="2251"/>
      <c r="E44" s="2251"/>
      <c r="F44" s="2252"/>
      <c r="G44" s="2252"/>
      <c r="H44" s="2252"/>
      <c r="I44" s="2252"/>
      <c r="J44" s="2319" t="s">
        <v>1156</v>
      </c>
      <c r="K44" s="2320"/>
      <c r="L44" s="2320"/>
      <c r="M44" s="2320"/>
      <c r="N44" s="2320"/>
      <c r="O44" s="2320"/>
    </row>
    <row r="45" ht="14.25" customHeight="1" spans="1:15">
      <c r="A45" s="2253" t="s">
        <v>1157</v>
      </c>
      <c r="B45" s="2254"/>
      <c r="C45" s="2255"/>
      <c r="D45" s="1560">
        <f ca="1">ROUND(H101*F45,0)</f>
        <v>328107</v>
      </c>
      <c r="E45" s="2256" t="s">
        <v>1158</v>
      </c>
      <c r="F45" s="2257">
        <v>1</v>
      </c>
      <c r="G45" s="2258" t="s">
        <v>1159</v>
      </c>
      <c r="H45" s="2027"/>
      <c r="I45" s="2027"/>
      <c r="J45" s="2321" t="s">
        <v>1160</v>
      </c>
      <c r="K45" s="2321"/>
      <c r="L45" s="2321"/>
      <c r="M45" s="2321"/>
      <c r="N45" s="2321"/>
      <c r="O45" s="2321"/>
    </row>
    <row r="46" ht="14.25" customHeight="1" spans="1:15">
      <c r="A46" s="2259" t="s">
        <v>1161</v>
      </c>
      <c r="B46" s="2260"/>
      <c r="C46" s="2260"/>
      <c r="D46" s="2260"/>
      <c r="E46" s="2260"/>
      <c r="F46" s="2260"/>
      <c r="G46" s="2261"/>
      <c r="H46" s="2262"/>
      <c r="I46" s="2028"/>
      <c r="J46" s="2322">
        <v>1</v>
      </c>
      <c r="K46" s="2323" t="s">
        <v>1162</v>
      </c>
      <c r="L46" s="2323"/>
      <c r="M46" s="2324"/>
      <c r="N46" s="2324"/>
      <c r="O46" s="2324"/>
    </row>
    <row r="47" ht="12" customHeight="1" spans="1:15">
      <c r="A47" s="2263" t="s">
        <v>1163</v>
      </c>
      <c r="B47" s="2264"/>
      <c r="C47" s="2265"/>
      <c r="D47" s="1616" t="s">
        <v>1164</v>
      </c>
      <c r="E47" s="1561" t="s">
        <v>1165</v>
      </c>
      <c r="F47" s="2266" t="s">
        <v>1166</v>
      </c>
      <c r="G47" s="2267" t="s">
        <v>1167</v>
      </c>
      <c r="H47" s="2268"/>
      <c r="I47" s="2028"/>
      <c r="J47" s="2322">
        <v>2</v>
      </c>
      <c r="K47" s="2323" t="s">
        <v>1168</v>
      </c>
      <c r="L47" s="2323"/>
      <c r="M47" s="2325">
        <f>'数据-取费表'!B2</f>
        <v>44175</v>
      </c>
      <c r="N47" s="2325"/>
      <c r="O47" s="2325"/>
    </row>
    <row r="48" ht="24.75" spans="1:15">
      <c r="A48" s="2269" t="s">
        <v>1169</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1170</v>
      </c>
      <c r="H48" s="2272"/>
      <c r="I48" s="2262"/>
      <c r="J48" s="2322">
        <v>3</v>
      </c>
      <c r="K48" s="2323" t="s">
        <v>1171</v>
      </c>
      <c r="L48" s="2323"/>
      <c r="M48" s="2326">
        <f ca="1">H101</f>
        <v>328107</v>
      </c>
      <c r="N48" s="2326"/>
      <c r="O48" s="2326"/>
    </row>
    <row r="49" ht="25.5" customHeight="1" spans="1:15">
      <c r="A49" s="2269" t="s">
        <v>1172</v>
      </c>
      <c r="B49" s="1596" t="s">
        <v>1173</v>
      </c>
      <c r="C49" s="1596"/>
      <c r="D49" s="2273">
        <v>0</v>
      </c>
      <c r="E49" s="1626" t="s">
        <v>1174</v>
      </c>
      <c r="F49" s="2274" t="s">
        <v>124</v>
      </c>
      <c r="G49" s="2275"/>
      <c r="H49" s="2276" t="s">
        <v>1175</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1176</v>
      </c>
      <c r="C50" s="1596"/>
      <c r="D50" s="2278"/>
      <c r="E50" s="1641"/>
      <c r="F50" s="2274"/>
      <c r="G50" s="2279"/>
      <c r="H50" s="2280" t="s">
        <v>1177</v>
      </c>
      <c r="I50" s="2327"/>
      <c r="J50" s="2321" t="s">
        <v>1178</v>
      </c>
      <c r="K50" s="2321"/>
      <c r="L50" s="2321"/>
      <c r="M50" s="2321"/>
      <c r="N50" s="2321"/>
      <c r="O50" s="2321"/>
    </row>
    <row r="51" ht="20.45" customHeight="1" spans="1:15">
      <c r="A51" s="2281"/>
      <c r="B51" s="1596" t="s">
        <v>1179</v>
      </c>
      <c r="C51" s="1596"/>
      <c r="D51" s="1616"/>
      <c r="E51" s="1630"/>
      <c r="F51" s="2274"/>
      <c r="G51" s="2282"/>
      <c r="H51" s="2280" t="s">
        <v>1180</v>
      </c>
      <c r="I51" s="2327"/>
      <c r="J51" s="2323" t="s">
        <v>1181</v>
      </c>
      <c r="K51" s="2323" t="s">
        <v>1182</v>
      </c>
      <c r="L51" s="2323"/>
      <c r="M51" s="2323" t="s">
        <v>1183</v>
      </c>
      <c r="N51" s="2323" t="s">
        <v>1184</v>
      </c>
      <c r="O51" s="2323" t="s">
        <v>1185</v>
      </c>
    </row>
    <row r="52" ht="24" customHeight="1" spans="1:15">
      <c r="A52" s="2283" t="s">
        <v>1186</v>
      </c>
      <c r="B52" s="1596" t="s">
        <v>1187</v>
      </c>
      <c r="C52" s="1596"/>
      <c r="D52" s="1616">
        <f ca="1">ROUND(D45*'数据-取费表'!B41/(1+'数据-取费表'!C42),0)</f>
        <v>17499</v>
      </c>
      <c r="E52" s="1620" t="s">
        <v>1188</v>
      </c>
      <c r="F52" s="2284">
        <f>'数据-取费表'!B41</f>
        <v>0.056</v>
      </c>
      <c r="G52" s="2285"/>
      <c r="H52" s="1736"/>
      <c r="I52" s="2328"/>
      <c r="J52" s="2322">
        <v>1</v>
      </c>
      <c r="K52" s="2322" t="s">
        <v>1189</v>
      </c>
      <c r="L52" s="2322"/>
      <c r="M52" s="2329" t="b">
        <f ca="1">D48</f>
        <v>0</v>
      </c>
      <c r="N52" s="2322" t="str">
        <f>E48</f>
        <v>销售额×税（费）率</v>
      </c>
      <c r="O52" s="2330">
        <f>F48</f>
        <v>0.056</v>
      </c>
    </row>
    <row r="53" ht="12" customHeight="1" spans="1:15">
      <c r="A53" s="2283" t="s">
        <v>1190</v>
      </c>
      <c r="B53" s="1595" t="s">
        <v>1191</v>
      </c>
      <c r="C53" s="2286"/>
      <c r="D53" s="1616">
        <f ca="1">ROUND(D45*'数据-取费表'!B41/(1+'数据-取费表'!C42),0)</f>
        <v>17499</v>
      </c>
      <c r="E53" s="1620" t="s">
        <v>1188</v>
      </c>
      <c r="F53" s="2284">
        <f>'数据-取费表'!B41</f>
        <v>0.056</v>
      </c>
      <c r="G53" s="2285"/>
      <c r="H53" s="1736"/>
      <c r="I53" s="2328"/>
      <c r="J53" s="2322">
        <v>2</v>
      </c>
      <c r="K53" s="2322" t="s">
        <v>1192</v>
      </c>
      <c r="L53" s="2322"/>
      <c r="M53" s="2329">
        <f ca="1" t="shared" ref="M53:O54" si="0">D55</f>
        <v>164</v>
      </c>
      <c r="N53" s="2322" t="str">
        <f ca="1" t="shared" si="0"/>
        <v>销售额×税（费）率</v>
      </c>
      <c r="O53" s="2330" t="str">
        <f ca="1" t="shared" si="0"/>
        <v>免征</v>
      </c>
    </row>
    <row r="54" ht="12" customHeight="1" spans="1:15">
      <c r="A54" s="2283" t="s">
        <v>1193</v>
      </c>
      <c r="B54" s="1595" t="s">
        <v>1194</v>
      </c>
      <c r="C54" s="2286"/>
      <c r="D54" s="1616">
        <f ca="1">C68</f>
        <v>17499</v>
      </c>
      <c r="E54" s="1630" t="s">
        <v>1195</v>
      </c>
      <c r="F54" s="2284">
        <f>'数据-取费表'!B41</f>
        <v>0.056</v>
      </c>
      <c r="G54" s="2285"/>
      <c r="H54" s="2287"/>
      <c r="I54" s="2328"/>
      <c r="J54" s="2322">
        <v>3</v>
      </c>
      <c r="K54" s="2322" t="s">
        <v>1196</v>
      </c>
      <c r="L54" s="2322"/>
      <c r="M54" s="2329">
        <f ca="1" t="shared" si="0"/>
        <v>185709</v>
      </c>
      <c r="N54" s="2322" t="str">
        <f ca="1" t="shared" si="0"/>
        <v>增值额×税（费）率</v>
      </c>
      <c r="O54" s="2331" t="str">
        <f ca="1" t="shared" si="0"/>
        <v>免征</v>
      </c>
    </row>
    <row r="55" ht="24" customHeight="1" spans="1:15">
      <c r="A55" s="2283" t="s">
        <v>1197</v>
      </c>
      <c r="B55" s="1620"/>
      <c r="C55" s="1620"/>
      <c r="D55" s="1721">
        <f ca="1">IF(H55="个人住宅",0,ROUND(D45*I55,0))</f>
        <v>164</v>
      </c>
      <c r="E55" s="1620" t="s">
        <v>1198</v>
      </c>
      <c r="F55" s="2284" t="str">
        <f>IF(H55="正常",I55,"免征")</f>
        <v>免征</v>
      </c>
      <c r="G55" s="2285"/>
      <c r="H55" s="2272"/>
      <c r="I55" s="2332">
        <f>'数据-取费表'!B49</f>
        <v>0.0005</v>
      </c>
      <c r="J55" s="2322">
        <f>IF(H59="非个人房产","",4)</f>
        <v>4</v>
      </c>
      <c r="K55" s="2322" t="str">
        <f>IF(H59="非个人房产","——","个人所得税")</f>
        <v>个人所得税</v>
      </c>
      <c r="L55" s="2322"/>
      <c r="M55" s="2333">
        <f ca="1">D59</f>
        <v>3125</v>
      </c>
      <c r="N55" s="499" t="str">
        <f>E59</f>
        <v>差额计税</v>
      </c>
      <c r="O55" s="2334">
        <f>F59</f>
        <v>0.01</v>
      </c>
    </row>
    <row r="56" ht="24.75" spans="1:15">
      <c r="A56" s="2283" t="s">
        <v>1199</v>
      </c>
      <c r="B56" s="1620"/>
      <c r="C56" s="1620"/>
      <c r="D56" s="1721">
        <f ca="1">IF(H56="个人住宅",D57,D58)</f>
        <v>185709</v>
      </c>
      <c r="E56" s="1620" t="s">
        <v>1200</v>
      </c>
      <c r="F56" s="2284" t="str">
        <f>IF(H56="正常",F58,"免征")</f>
        <v>免征</v>
      </c>
      <c r="G56" s="2288" t="s">
        <v>1201</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1172</v>
      </c>
      <c r="B57" s="1595" t="s">
        <v>1202</v>
      </c>
      <c r="C57" s="2286"/>
      <c r="D57" s="2273">
        <v>0</v>
      </c>
      <c r="E57" s="1626" t="s">
        <v>1174</v>
      </c>
      <c r="F57" s="1561"/>
      <c r="G57" s="2285"/>
      <c r="H57" s="2290"/>
      <c r="I57" s="2300"/>
      <c r="J57" s="2322">
        <f>IF(AND(J55="",J56=""),4,IF(项目基本情况!K6="上海银行",结果表!J56+1,结果表!J55+1))</f>
        <v>5</v>
      </c>
      <c r="K57" s="2322" t="s">
        <v>1203</v>
      </c>
      <c r="L57" s="2335" t="s">
        <v>1204</v>
      </c>
      <c r="M57" s="2336"/>
      <c r="N57" s="2337">
        <f ca="1">SUMIF(M52:M56,"&lt;9e307")</f>
        <v>188998</v>
      </c>
      <c r="O57" s="2338"/>
      <c r="P57" s="2339" t="e">
        <f ca="1">N57/M49</f>
        <v>#VALUE!</v>
      </c>
    </row>
    <row r="58" ht="24.75" spans="1:15">
      <c r="A58" s="2283" t="s">
        <v>1186</v>
      </c>
      <c r="B58" s="1595" t="s">
        <v>1205</v>
      </c>
      <c r="C58" s="1596"/>
      <c r="D58" s="1721">
        <f ca="1">IF(H58="转让取得",C81,C97)</f>
        <v>185709</v>
      </c>
      <c r="E58" s="1620" t="s">
        <v>1200</v>
      </c>
      <c r="F58" s="1561" t="s">
        <v>124</v>
      </c>
      <c r="G58" s="2285"/>
      <c r="H58" s="2289"/>
      <c r="I58" s="2300"/>
      <c r="J58" s="2322"/>
      <c r="K58" s="2322"/>
      <c r="L58" s="2335" t="s">
        <v>1206</v>
      </c>
      <c r="M58" s="2340"/>
      <c r="N58" s="2341" t="str">
        <f ca="1">NUMBERSTRING(INT(N57*10000),2)&amp;"元整"</f>
        <v>壹拾捌亿捌仟玖佰玖拾捌万元整</v>
      </c>
      <c r="O58" s="2342"/>
    </row>
    <row r="59" ht="24.75" spans="1:15">
      <c r="A59" s="2291" t="s">
        <v>1207</v>
      </c>
      <c r="B59" s="2292"/>
      <c r="C59" s="2292"/>
      <c r="D59" s="2293">
        <f ca="1">IF(H59="非个人房产","——",IF(H59="个人住宅（满五唯一有凭证）",0,IF(H59="个人其他（无凭证）",ROUND(D45*F59,0),ROUND(C67*F59,0))))</f>
        <v>3125</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1201</v>
      </c>
      <c r="H59" s="2297"/>
      <c r="I59" s="2343" t="s">
        <v>1208</v>
      </c>
      <c r="J59" s="499">
        <f>J57+1</f>
        <v>6</v>
      </c>
      <c r="K59" s="2322" t="s">
        <v>1209</v>
      </c>
      <c r="L59" s="2322" t="s">
        <v>1204</v>
      </c>
      <c r="M59" s="2344"/>
      <c r="N59" s="2345" t="e">
        <f ca="1">M49-N57</f>
        <v>#VALUE!</v>
      </c>
      <c r="O59" s="2346"/>
    </row>
    <row r="60" ht="12" customHeight="1" spans="1:15">
      <c r="A60" s="2298"/>
      <c r="B60" s="2148"/>
      <c r="C60" s="2148"/>
      <c r="D60" s="2148"/>
      <c r="E60" s="2299"/>
      <c r="F60" s="2300"/>
      <c r="G60" s="2300"/>
      <c r="H60" s="2301"/>
      <c r="I60" s="2027"/>
      <c r="J60" s="504"/>
      <c r="K60" s="2322"/>
      <c r="L60" s="2335" t="s">
        <v>1206</v>
      </c>
      <c r="M60" s="2340"/>
      <c r="N60" s="2341" t="e">
        <f ca="1">NUMBERSTRING(INT(N59*10000),2)&amp;"元整"</f>
        <v>#VALUE!</v>
      </c>
      <c r="O60" s="2342"/>
    </row>
    <row r="61" ht="14.25" spans="1:15">
      <c r="A61" s="2302" t="s">
        <v>1210</v>
      </c>
      <c r="B61" s="2302"/>
      <c r="C61" s="2302"/>
      <c r="D61" s="2302"/>
      <c r="E61" s="2302"/>
      <c r="F61" s="2300"/>
      <c r="G61" s="2300"/>
      <c r="H61" s="2301"/>
      <c r="I61" s="2027"/>
      <c r="J61" s="2322">
        <f>J59+1</f>
        <v>7</v>
      </c>
      <c r="K61" s="2322" t="s">
        <v>1211</v>
      </c>
      <c r="L61" s="2322"/>
      <c r="M61" s="2347"/>
      <c r="N61" s="2348" t="e">
        <f ca="1">ROUND(N59*10000/'数据-汇总表'!E3,0)</f>
        <v>#VALUE!</v>
      </c>
      <c r="O61" s="2349"/>
    </row>
    <row r="62" ht="13.5" spans="1:9">
      <c r="A62" s="2303" t="s">
        <v>1212</v>
      </c>
      <c r="B62" s="476"/>
      <c r="C62" s="476"/>
      <c r="D62" s="476" t="s">
        <v>1213</v>
      </c>
      <c r="E62" s="2304" t="s">
        <v>1167</v>
      </c>
      <c r="F62" s="2300"/>
      <c r="G62" s="2300"/>
      <c r="H62" s="2301"/>
      <c r="I62" s="2027"/>
    </row>
    <row r="63" ht="13.5" spans="1:35">
      <c r="A63" s="2305" t="s">
        <v>1214</v>
      </c>
      <c r="B63" s="2306" t="s">
        <v>1215</v>
      </c>
      <c r="C63" s="2307">
        <f ca="1">ROUND((C64+C65)/(1+'数据-取费表'!C42),0)</f>
        <v>312483</v>
      </c>
      <c r="D63" s="2306"/>
      <c r="E63" s="2308"/>
      <c r="F63" s="2300"/>
      <c r="G63" s="2300"/>
      <c r="H63" s="2301"/>
      <c r="I63" s="2027"/>
      <c r="J63" s="2350" t="s">
        <v>1216</v>
      </c>
      <c r="K63" s="2350" t="s">
        <v>1217</v>
      </c>
      <c r="L63" s="2350" t="e">
        <f ca="1">IF(M49&gt;10000,M49*0.5%,IF(AND(M49&gt;1000,M49&lt;=10000),M49*1%,IF(AND(M49&gt;100,M49&lt;=1000),M49*3%,IF(AND(M49&gt;10,M49&lt;=100),M49*5%,M49*8%))))</f>
        <v>#VALUE!</v>
      </c>
      <c r="M63" s="1561" t="e">
        <f ca="1">ROUND(L63,1)</f>
        <v>#VALUE!</v>
      </c>
      <c r="N63" s="2351"/>
      <c r="Z63" s="2141"/>
      <c r="AI63" s="2146"/>
    </row>
    <row r="64" ht="14.25" customHeight="1" spans="1:35">
      <c r="A64" s="2309" t="s">
        <v>1218</v>
      </c>
      <c r="B64" s="459" t="s">
        <v>1219</v>
      </c>
      <c r="C64" s="2310">
        <f ca="1">D45</f>
        <v>328107</v>
      </c>
      <c r="D64" s="459" t="s">
        <v>124</v>
      </c>
      <c r="E64" s="2311"/>
      <c r="F64" s="2300"/>
      <c r="G64" s="2300"/>
      <c r="H64" s="2301"/>
      <c r="I64" s="2027"/>
      <c r="J64" s="2350"/>
      <c r="K64" s="2350" t="s">
        <v>1220</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1221</v>
      </c>
      <c r="Z64" s="2141"/>
      <c r="AI64" s="2146"/>
    </row>
    <row r="65" ht="14.25" customHeight="1" spans="1:35">
      <c r="A65" s="2309" t="s">
        <v>1222</v>
      </c>
      <c r="B65" s="459" t="s">
        <v>1223</v>
      </c>
      <c r="C65" s="2353"/>
      <c r="D65" s="459"/>
      <c r="E65" s="2311"/>
      <c r="F65" s="2300"/>
      <c r="G65" s="2300"/>
      <c r="H65" s="2301"/>
      <c r="I65" s="2027"/>
      <c r="J65" s="2350"/>
      <c r="K65" s="2350" t="s">
        <v>1224</v>
      </c>
      <c r="L65" s="2350" t="e">
        <f ca="1">IF(M49&gt;1000,M49*0.1%,IF(AND(M49&gt;500,M49&lt;=1000),M49*0.5%,IF(AND(M49&gt;50,M49&lt;=500),M49*1%,IF(AND(M49&gt;1,M49&lt;=50),M49*1.5%))))</f>
        <v>#VALUE!</v>
      </c>
      <c r="M65" s="1561" t="e">
        <f ca="1" t="shared" si="1"/>
        <v>#VALUE!</v>
      </c>
      <c r="N65" s="1736" t="s">
        <v>1221</v>
      </c>
      <c r="Z65" s="2141"/>
      <c r="AI65" s="2146"/>
    </row>
    <row r="66" ht="14.25" customHeight="1" spans="1:35">
      <c r="A66" s="2305" t="s">
        <v>1225</v>
      </c>
      <c r="B66" s="2354" t="s">
        <v>1226</v>
      </c>
      <c r="C66" s="2355"/>
      <c r="D66" s="2354" t="s">
        <v>124</v>
      </c>
      <c r="E66" s="2356" t="s">
        <v>1227</v>
      </c>
      <c r="F66" s="2300"/>
      <c r="G66" s="2300"/>
      <c r="H66" s="2301"/>
      <c r="I66" s="2027"/>
      <c r="J66" s="2350"/>
      <c r="K66" s="2350" t="s">
        <v>1228</v>
      </c>
      <c r="L66" s="2350" t="e">
        <f ca="1">M49*0.5%</f>
        <v>#VALUE!</v>
      </c>
      <c r="M66" s="1561" t="e">
        <f ca="1">IF(L66&gt;0.5,0.5,ROUND(L66,0))</f>
        <v>#VALUE!</v>
      </c>
      <c r="N66" s="1736" t="s">
        <v>1229</v>
      </c>
      <c r="Z66" s="2141"/>
      <c r="AI66" s="2146"/>
    </row>
    <row r="67" ht="14.25" customHeight="1" spans="1:35">
      <c r="A67" s="2305" t="s">
        <v>1230</v>
      </c>
      <c r="B67" s="2354" t="s">
        <v>1231</v>
      </c>
      <c r="C67" s="2357">
        <f ca="1">C63-C66</f>
        <v>312483</v>
      </c>
      <c r="D67" s="459" t="s">
        <v>124</v>
      </c>
      <c r="E67" s="2311"/>
      <c r="F67" s="2300"/>
      <c r="G67" s="2300"/>
      <c r="H67" s="2301"/>
      <c r="I67" s="2027"/>
      <c r="J67" s="2350"/>
      <c r="K67" s="2350" t="s">
        <v>1232</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1233</v>
      </c>
      <c r="B68" s="2359" t="s">
        <v>1234</v>
      </c>
      <c r="C68" s="2360">
        <f ca="1">IF(C67&lt;=0,0,ROUND(C67*D68,0))</f>
        <v>17499</v>
      </c>
      <c r="D68" s="2361">
        <f>'数据-取费表'!B41</f>
        <v>0.056</v>
      </c>
      <c r="E68" s="2362"/>
      <c r="F68" s="2300"/>
      <c r="G68" s="2300"/>
      <c r="H68" s="2301"/>
      <c r="I68" s="2027"/>
      <c r="J68" s="2350"/>
      <c r="K68" s="2350" t="s">
        <v>1235</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1236</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1237</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1212</v>
      </c>
      <c r="B71" s="476"/>
      <c r="C71" s="476"/>
      <c r="D71" s="476" t="s">
        <v>1213</v>
      </c>
      <c r="E71" s="2369" t="s">
        <v>1167</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1214</v>
      </c>
      <c r="B72" s="2354" t="s">
        <v>1238</v>
      </c>
      <c r="C72" s="2357">
        <f ca="1">ROUND(D45/(1+'数据-取费表'!C42),0)</f>
        <v>312483</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1225</v>
      </c>
      <c r="B73" s="2266" t="s">
        <v>1239</v>
      </c>
      <c r="C73" s="2357">
        <f ca="1">C74+C78</f>
        <v>1875</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1218</v>
      </c>
      <c r="B74" s="459" t="s">
        <v>1240</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1241</v>
      </c>
      <c r="B75" s="459" t="s">
        <v>1242</v>
      </c>
      <c r="C75" s="2373"/>
      <c r="D75" s="459" t="s">
        <v>124</v>
      </c>
      <c r="E75" s="2374" t="s">
        <v>1243</v>
      </c>
      <c r="F75" s="2375"/>
      <c r="G75" s="2374" t="s">
        <v>1244</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1245</v>
      </c>
      <c r="B76" s="2377" t="s">
        <v>1246</v>
      </c>
      <c r="C76" s="459">
        <f>IF(F75="购房发票",ROUND(C75*H75*D76,0),0)</f>
        <v>0</v>
      </c>
      <c r="D76" s="2378">
        <v>0.05</v>
      </c>
      <c r="E76" s="1595" t="s">
        <v>1247</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1248</v>
      </c>
      <c r="B77" s="459" t="s">
        <v>1249</v>
      </c>
      <c r="C77" s="459">
        <f>ROUND(IF(G77="个人住宅",0,IF(G77="2016年5月1日前购买",C75*D77,C75*D77/(1+'数据-取费表'!C42))),0)</f>
        <v>0</v>
      </c>
      <c r="D77" s="2380">
        <f>'数据-取费表'!B48+'数据-取费表'!B49</f>
        <v>0.0305</v>
      </c>
      <c r="E77" s="1721" t="s">
        <v>1250</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1222</v>
      </c>
      <c r="B78" s="459" t="s">
        <v>1251</v>
      </c>
      <c r="C78" s="2383">
        <f ca="1">ROUND(D45*D78/(1+'数据-取费表'!C42),0)</f>
        <v>1875</v>
      </c>
      <c r="D78" s="2384">
        <f>'数据-取费表'!B43</f>
        <v>0.006</v>
      </c>
      <c r="E78" s="2385" t="s">
        <v>1252</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1230</v>
      </c>
      <c r="B79" s="2354" t="s">
        <v>1253</v>
      </c>
      <c r="C79" s="2357">
        <f ca="1">C72-C73</f>
        <v>310608</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1233</v>
      </c>
      <c r="B80" s="2354" t="s">
        <v>1254</v>
      </c>
      <c r="C80" s="2388">
        <f ca="1">IF(C79&lt;=0,0,C79/C73)</f>
        <v>165.6576</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1255</v>
      </c>
      <c r="B81" s="2359" t="s">
        <v>1256</v>
      </c>
      <c r="C81" s="2389">
        <f ca="1">ROUND(IF(C79&lt;=0,0,IF(C80&gt;=200%,C79*60%-C73*35%,IF(C80&gt;=100%,C79*50%-C73*15%,IF(C80&gt;=50%,C79*40%-C73*5%,IF(C80&lt;50%,C79*30%,0))))),0)</f>
        <v>185709</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1257</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1212</v>
      </c>
      <c r="B84" s="476"/>
      <c r="C84" s="476"/>
      <c r="D84" s="476" t="s">
        <v>1213</v>
      </c>
      <c r="E84" s="2369" t="s">
        <v>1167</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1214</v>
      </c>
      <c r="B85" s="2354" t="s">
        <v>1238</v>
      </c>
      <c r="C85" s="2357">
        <f ca="1">ROUND(D45/(1+'数据-取费表'!C42),0)</f>
        <v>312483</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1225</v>
      </c>
      <c r="B86" s="2266" t="s">
        <v>1239</v>
      </c>
      <c r="C86" s="2357">
        <f ca="1">IF(H88="仅含出让金",C87+C90+C91+C92+C93+C94,C87+C91+C92+C93+C94)</f>
        <v>1875</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1218</v>
      </c>
      <c r="B87" s="459" t="s">
        <v>1258</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1241</v>
      </c>
      <c r="B88" s="459" t="s">
        <v>1259</v>
      </c>
      <c r="C88" s="2400"/>
      <c r="D88" s="2384"/>
      <c r="E88" s="2401" t="s">
        <v>1260</v>
      </c>
      <c r="F88" s="2386"/>
      <c r="G88" s="2402" t="s">
        <v>1261</v>
      </c>
      <c r="H88" s="2403"/>
      <c r="I88" s="712"/>
      <c r="J88" s="2473" t="s">
        <v>1262</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1245</v>
      </c>
      <c r="B89" s="459" t="s">
        <v>1249</v>
      </c>
      <c r="C89" s="2383">
        <f>ROUND(C88*D89,0)</f>
        <v>0</v>
      </c>
      <c r="D89" s="2384">
        <f>'数据-取费表'!B48+'数据-取费表'!B49</f>
        <v>0.0305</v>
      </c>
      <c r="E89" s="2401" t="s">
        <v>1263</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1222</v>
      </c>
      <c r="B90" s="459" t="s">
        <v>1264</v>
      </c>
      <c r="C90" s="2400"/>
      <c r="D90" s="2384"/>
      <c r="E90" s="2401" t="str">
        <f>IF(H88="-","土地取得成本中已包含该笔费用"," ")</f>
        <v/>
      </c>
      <c r="F90" s="2386"/>
      <c r="G90" s="2404" t="s">
        <v>1265</v>
      </c>
      <c r="H90" s="2405"/>
      <c r="I90" s="712"/>
      <c r="J90" s="2473" t="s">
        <v>1266</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1267</v>
      </c>
      <c r="B91" s="459" t="s">
        <v>1268</v>
      </c>
      <c r="C91" s="2383">
        <f ca="1">IF(H91="——",成本法!C33,I91)</f>
        <v>0</v>
      </c>
      <c r="D91" s="2384"/>
      <c r="E91" s="2385" t="s">
        <v>1269</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1270</v>
      </c>
      <c r="B92" s="459" t="s">
        <v>1271</v>
      </c>
      <c r="C92" s="2383">
        <f ca="1">ROUND((C87+C90+C91)*D92,0)</f>
        <v>0</v>
      </c>
      <c r="D92" s="2407"/>
      <c r="E92" s="2385" t="s">
        <v>1272</v>
      </c>
      <c r="F92" s="2386"/>
      <c r="G92" s="2386"/>
      <c r="H92" s="2387"/>
      <c r="I92" s="712"/>
      <c r="J92" s="2475" t="s">
        <v>1273</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1274</v>
      </c>
      <c r="B93" s="459" t="s">
        <v>1251</v>
      </c>
      <c r="C93" s="2383">
        <f ca="1">ROUND(D45*D93/(1+'数据-取费表'!C42),0)</f>
        <v>1875</v>
      </c>
      <c r="D93" s="2384">
        <f>'数据-取费表'!B43</f>
        <v>0.006</v>
      </c>
      <c r="E93" s="2385" t="s">
        <v>1252</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1275</v>
      </c>
      <c r="B94" s="459" t="s">
        <v>1276</v>
      </c>
      <c r="C94" s="2400">
        <f ca="1">ROUND((C87+C90+C91)*D94,0)</f>
        <v>0</v>
      </c>
      <c r="D94" s="2384">
        <v>0.2</v>
      </c>
      <c r="E94" s="2408" t="s">
        <v>1277</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1230</v>
      </c>
      <c r="B95" s="2354" t="s">
        <v>1253</v>
      </c>
      <c r="C95" s="2357">
        <f ca="1">ROUND(C85-C86,0)</f>
        <v>310608</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1233</v>
      </c>
      <c r="B96" s="2354" t="s">
        <v>1254</v>
      </c>
      <c r="C96" s="2388">
        <f ca="1">IF(C95&lt;=0,0,C95/C86)</f>
        <v>165.6576</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1255</v>
      </c>
      <c r="B97" s="2359" t="s">
        <v>1256</v>
      </c>
      <c r="C97" s="2389">
        <f ca="1">ROUND(IF(C95&lt;=0,0,IF(C96&gt;=200%,C95*60%-C86*35%,IF(C96&gt;=100%,C95*50%-C86*15%,IF(C96&gt;=50%,C95*40%-C86*5%,IF(C96&lt;50%,C95*30%,0))))),0)</f>
        <v>185709</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1278</v>
      </c>
      <c r="B99" s="2148"/>
      <c r="C99" s="2148"/>
      <c r="D99" s="2148"/>
      <c r="E99" s="2299"/>
      <c r="F99" s="2299"/>
      <c r="G99" s="2299"/>
      <c r="H99" s="2247"/>
      <c r="I99" s="2027"/>
    </row>
    <row r="100" ht="18.75" customHeight="1" spans="1:9">
      <c r="A100" s="2412" t="s">
        <v>1279</v>
      </c>
      <c r="B100" s="2413"/>
      <c r="C100" s="2413"/>
      <c r="D100" s="2414"/>
      <c r="E100" s="2413" t="s">
        <v>1280</v>
      </c>
      <c r="F100" s="2413"/>
      <c r="G100" s="2413"/>
      <c r="H100" s="2414"/>
      <c r="I100" s="2027"/>
    </row>
    <row r="101" ht="18.75" customHeight="1" spans="1:9">
      <c r="A101" s="2415" t="s">
        <v>1281</v>
      </c>
      <c r="B101" s="2416"/>
      <c r="C101" s="2417" t="str">
        <f>C4</f>
        <v>典型户型修正-办公</v>
      </c>
      <c r="D101" s="2418" t="str">
        <f>D4</f>
        <v>办公收益法-无租约</v>
      </c>
      <c r="E101" s="2419" t="s">
        <v>1282</v>
      </c>
      <c r="F101" s="2420"/>
      <c r="G101" s="2421" t="s">
        <v>1283</v>
      </c>
      <c r="H101" s="2422">
        <f ca="1">H118</f>
        <v>328107</v>
      </c>
      <c r="I101" s="2027"/>
    </row>
    <row r="102" ht="18.75" customHeight="1" spans="1:9">
      <c r="A102" s="2423" t="s">
        <v>1284</v>
      </c>
      <c r="B102" s="2424" t="s">
        <v>1283</v>
      </c>
      <c r="C102" s="2417">
        <f ca="1">C19</f>
        <v>335938</v>
      </c>
      <c r="D102" s="2418">
        <f ca="1">D19</f>
        <v>320276</v>
      </c>
      <c r="E102" s="2419"/>
      <c r="F102" s="2420"/>
      <c r="G102" s="2421" t="s">
        <v>99</v>
      </c>
      <c r="H102" s="2285">
        <f ca="1">I118</f>
        <v>51828</v>
      </c>
      <c r="I102" s="2027"/>
    </row>
    <row r="103" ht="42.75" customHeight="1" spans="1:9">
      <c r="A103" s="2423"/>
      <c r="B103" s="2424" t="s">
        <v>99</v>
      </c>
      <c r="C103" s="2425">
        <f ca="1">C20</f>
        <v>53065</v>
      </c>
      <c r="D103" s="2426">
        <f ca="1">D20</f>
        <v>50591</v>
      </c>
      <c r="E103" s="2427" t="s">
        <v>1285</v>
      </c>
      <c r="F103" s="2428"/>
      <c r="G103" s="2429" t="s">
        <v>102</v>
      </c>
      <c r="H103" s="2422">
        <f>IF(D36="正常操作",H104+H105+H106,H105+H106)</f>
        <v>0</v>
      </c>
      <c r="I103" s="2027"/>
    </row>
    <row r="104" ht="18.75" customHeight="1" spans="1:9">
      <c r="A104" s="2423" t="s">
        <v>1286</v>
      </c>
      <c r="B104" s="2430" t="s">
        <v>1283</v>
      </c>
      <c r="C104" s="2431">
        <f ca="1">H118</f>
        <v>328107</v>
      </c>
      <c r="D104" s="2432"/>
      <c r="E104" s="2231" t="s">
        <v>1287</v>
      </c>
      <c r="F104" s="2433"/>
      <c r="G104" s="2429" t="s">
        <v>102</v>
      </c>
      <c r="H104" s="2434">
        <f>IF(D36="同一抵押权人同一抵押物续贷",C36&amp;"（续贷，未扣减，详见特别提示）",C36)</f>
        <v>0</v>
      </c>
      <c r="I104" s="2027"/>
    </row>
    <row r="105" ht="18.75" customHeight="1" spans="1:9">
      <c r="A105" s="2435"/>
      <c r="B105" s="2436" t="s">
        <v>99</v>
      </c>
      <c r="C105" s="2437">
        <f ca="1">I118</f>
        <v>51828</v>
      </c>
      <c r="D105" s="2438"/>
      <c r="E105" s="2231" t="s">
        <v>1288</v>
      </c>
      <c r="F105" s="2433"/>
      <c r="G105" s="2429" t="s">
        <v>102</v>
      </c>
      <c r="H105" s="2439">
        <f>C37</f>
        <v>0</v>
      </c>
      <c r="I105" s="2027"/>
    </row>
    <row r="106" ht="18.75" customHeight="1" spans="1:9">
      <c r="A106" s="2148" t="s">
        <v>1289</v>
      </c>
      <c r="B106" s="2148"/>
      <c r="C106" s="2148"/>
      <c r="D106" s="2148"/>
      <c r="E106" s="2440" t="s">
        <v>1290</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1283</v>
      </c>
      <c r="H107" s="2422">
        <f ca="1">IF(E107="——","——",H101-H103)</f>
        <v>328107</v>
      </c>
      <c r="I107" s="2027"/>
    </row>
    <row r="108" ht="18.75" customHeight="1" spans="1:9">
      <c r="A108" s="2027"/>
      <c r="B108" s="2027"/>
      <c r="C108" s="2027"/>
      <c r="D108" s="2027"/>
      <c r="E108" s="2441"/>
      <c r="F108" s="2420"/>
      <c r="G108" s="2421" t="s">
        <v>99</v>
      </c>
      <c r="H108" s="2285">
        <f ca="1">ROUND(H107*10000/'数据-汇总表'!E3,0)</f>
        <v>49378</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1283</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1283</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1289</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1291</v>
      </c>
      <c r="B115" s="2451"/>
      <c r="C115" s="2451"/>
      <c r="D115" s="2451"/>
      <c r="E115" s="2451"/>
      <c r="F115" s="2451"/>
      <c r="G115" s="2451"/>
      <c r="H115" s="2451"/>
      <c r="I115" s="2476"/>
    </row>
    <row r="116" ht="27" customHeight="1" spans="1:9">
      <c r="A116" s="2161" t="s">
        <v>1292</v>
      </c>
      <c r="B116" s="2452" t="s">
        <v>1293</v>
      </c>
      <c r="C116" s="2452" t="s">
        <v>1294</v>
      </c>
      <c r="D116" s="2453" t="s">
        <v>1295</v>
      </c>
      <c r="E116" s="2454"/>
      <c r="F116" s="2455" t="s">
        <v>1296</v>
      </c>
      <c r="G116" s="2455"/>
      <c r="H116" s="2161" t="s">
        <v>1297</v>
      </c>
      <c r="I116" s="2161"/>
    </row>
    <row r="117" ht="18.75" customHeight="1" spans="1:9">
      <c r="A117" s="2161"/>
      <c r="B117" s="2456"/>
      <c r="C117" s="2456"/>
      <c r="D117" s="2161" t="s">
        <v>1298</v>
      </c>
      <c r="E117" s="2161" t="s">
        <v>1125</v>
      </c>
      <c r="F117" s="2161" t="s">
        <v>1298</v>
      </c>
      <c r="G117" s="2161" t="s">
        <v>1125</v>
      </c>
      <c r="H117" s="2161" t="s">
        <v>1298</v>
      </c>
      <c r="I117" s="2161" t="s">
        <v>1125</v>
      </c>
    </row>
    <row r="118" ht="24.75" customHeight="1" spans="1:9">
      <c r="A118" s="2457" t="str">
        <f>项目基本情况!S2</f>
        <v>北京市房地产</v>
      </c>
      <c r="B118" s="2161">
        <f>M18</f>
        <v>63306.74</v>
      </c>
      <c r="C118" s="2161">
        <f>M19</f>
        <v>8652.93</v>
      </c>
      <c r="D118" s="2161">
        <f ca="1">ROUND(IF(D32="总价",C34,E118*B118/10000),0)</f>
        <v>272985</v>
      </c>
      <c r="E118" s="2161">
        <f ca="1">ROUND(IF(C33="自定义",IF(D32="楼面单价",C34,D118*10000/B118),I118-G118),0)</f>
        <v>43121</v>
      </c>
      <c r="F118" s="2161">
        <f ca="1">ROUND(IF(D32="总价",C35,G118*B118/10000),0)</f>
        <v>55122</v>
      </c>
      <c r="G118" s="2161">
        <f ca="1">ROUND(IF(D32="楼面单价",C35,F118*10000/B118),0)</f>
        <v>8707</v>
      </c>
      <c r="H118" s="2161">
        <f ca="1">ROUND(IF(D32="总价",C32,I118*B118/10000),0)</f>
        <v>328107</v>
      </c>
      <c r="I118" s="2161">
        <f ca="1">ROUND(IF(D32="楼面单价",C32,H118*10000/B118),0)</f>
        <v>51828</v>
      </c>
    </row>
    <row r="119" ht="18.75" customHeight="1" spans="1:9">
      <c r="A119" s="2161" t="s">
        <v>1299</v>
      </c>
      <c r="B119" s="2161"/>
      <c r="C119" s="2161"/>
      <c r="D119" s="2458" t="str">
        <f ca="1">NUMBERSTRING(INT(D118*10000),2)&amp;"元整"</f>
        <v>贰拾柒亿贰仟玖佰捌拾伍万元整</v>
      </c>
      <c r="E119" s="2459"/>
      <c r="F119" s="2458" t="str">
        <f ca="1">NUMBERSTRING(INT(F118*10000),2)&amp;"元整"</f>
        <v>伍亿伍仟壹佰贰拾贰万元整</v>
      </c>
      <c r="G119" s="2459"/>
      <c r="H119" s="2458" t="str">
        <f ca="1">NUMBERSTRING(INT(H118*10000),2)&amp;"元整"</f>
        <v>叁拾贰亿捌仟壹佰零柒万元整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1299</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H107</f>
        <v>328107</v>
      </c>
      <c r="E122" s="2461"/>
      <c r="F122" s="2461"/>
      <c r="G122" s="2461"/>
      <c r="H122" s="2461"/>
      <c r="I122" s="2462"/>
      <c r="AA122" s="1985"/>
    </row>
    <row r="123" ht="18.75" customHeight="1" spans="1:27">
      <c r="A123" s="2161" t="s">
        <v>1299</v>
      </c>
      <c r="B123" s="2161"/>
      <c r="C123" s="2161"/>
      <c r="D123" s="2458" t="str">
        <f ca="1">NUMBERSTRING(INT(D122*10000),2)&amp;"元整"</f>
        <v>叁拾贰亿捌仟壹佰零柒万元整</v>
      </c>
      <c r="E123" s="2466"/>
      <c r="F123" s="2466"/>
      <c r="G123" s="2466"/>
      <c r="H123" s="2466"/>
      <c r="I123" s="2459"/>
      <c r="AA123" s="1985"/>
    </row>
    <row r="124" ht="18.75" customHeight="1" spans="1:27">
      <c r="A124" s="2444" t="str">
        <f>IF(项目基本情况!B9="房地产市场价值","",MID(E109,3,LEN(E109)-2))</f>
        <v/>
      </c>
      <c r="B124" s="2444"/>
      <c r="C124" s="2444"/>
      <c r="D124" s="2460" t="str">
        <f ca="1">H109</f>
        <v>——</v>
      </c>
      <c r="E124" s="2461"/>
      <c r="F124" s="2461"/>
      <c r="G124" s="2461"/>
      <c r="H124" s="2461"/>
      <c r="I124" s="2462"/>
      <c r="AA124" s="1985"/>
    </row>
    <row r="125" ht="18.75" customHeight="1" spans="1:27">
      <c r="A125" s="2161" t="s">
        <v>1299</v>
      </c>
      <c r="B125" s="2161"/>
      <c r="C125" s="2161"/>
      <c r="D125" s="2458" t="e">
        <f ca="1">NUMBERSTRING(INT(D124*10000),2)&amp;"元整"</f>
        <v>#VALUE!</v>
      </c>
      <c r="E125" s="2466"/>
      <c r="F125" s="2466"/>
      <c r="G125" s="2466"/>
      <c r="H125" s="2466"/>
      <c r="I125" s="2459"/>
      <c r="AA125" s="1985"/>
    </row>
    <row r="126" ht="18.75" customHeight="1" spans="1:27">
      <c r="A126" s="2444" t="str">
        <f>IF(项目基本情况!B9="房地产市场价值","",MID(E111,3,LEN(E111)-2))</f>
        <v/>
      </c>
      <c r="B126" s="2444"/>
      <c r="C126" s="2444"/>
      <c r="D126" s="2460" t="str">
        <f ca="1">H111</f>
        <v>——</v>
      </c>
      <c r="E126" s="2461"/>
      <c r="F126" s="2461"/>
      <c r="G126" s="2461"/>
      <c r="H126" s="2461"/>
      <c r="I126" s="2462"/>
      <c r="AA126" s="1985"/>
    </row>
    <row r="127" ht="18.75" customHeight="1" spans="1:27">
      <c r="A127" s="2161" t="s">
        <v>1299</v>
      </c>
      <c r="B127" s="2161"/>
      <c r="C127" s="2161"/>
      <c r="D127" s="2458" t="e">
        <f ca="1">NUMBERSTRING(INT(D126*10000),2)&amp;"元整"</f>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1300</v>
      </c>
      <c r="B129" s="2479"/>
      <c r="C129" s="2480" t="s">
        <v>1301</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1302</v>
      </c>
      <c r="G135" s="2492"/>
      <c r="H135" s="2492"/>
      <c r="I135" s="2500" t="s">
        <v>1303</v>
      </c>
    </row>
    <row r="136" customHeight="1" spans="1:9">
      <c r="A136" s="1985"/>
      <c r="B136" s="2493" t="s">
        <v>1304</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1305</v>
      </c>
    </row>
    <row r="139" customHeight="1" spans="1:9">
      <c r="A139" s="1985"/>
      <c r="B139" s="2493" t="s">
        <v>1306</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1305</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B7" workbookViewId="0">
      <selection activeCell="M40" sqref="M40"/>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1307</v>
      </c>
      <c r="B1" s="1336" t="s">
        <v>1308</v>
      </c>
      <c r="C1" s="1202" t="s">
        <v>1309</v>
      </c>
      <c r="D1" s="1203"/>
      <c r="E1" s="1204"/>
      <c r="F1" s="1205" t="s">
        <v>1310</v>
      </c>
      <c r="G1" s="1206" t="s">
        <v>1311</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1312</v>
      </c>
      <c r="B2" s="1208">
        <f ca="1">IF(C2="——",ROUND(C50*D3/10000,0),ROUND(C50*D3/10000,0)-D2)</f>
        <v>360888</v>
      </c>
      <c r="C2" s="1209" t="s">
        <v>124</v>
      </c>
      <c r="D2" s="1384" t="e">
        <f ca="1">SUMIF(INDIRECT("'"&amp;F2&amp;"'"&amp;"!A:A"),"承租人权益价值",INDIRECT("'"&amp;F2&amp;"'"&amp;"!c:c"))</f>
        <v>#REF!</v>
      </c>
      <c r="E2" s="1210" t="s">
        <v>1313</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1314</v>
      </c>
      <c r="B3" s="801">
        <f ca="1">IF(C2="——",C50,ROUND(B2*10000/D3,0))</f>
        <v>54311</v>
      </c>
      <c r="C3" s="1212" t="s">
        <v>1315</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1316</v>
      </c>
      <c r="B4" s="804"/>
      <c r="C4" s="805" t="s">
        <v>1317</v>
      </c>
      <c r="D4" s="806"/>
      <c r="E4" s="807" t="s">
        <v>1318</v>
      </c>
      <c r="F4" s="808"/>
      <c r="G4" s="805" t="s">
        <v>1319</v>
      </c>
      <c r="H4" s="806"/>
      <c r="I4" s="805" t="s">
        <v>1320</v>
      </c>
      <c r="J4" s="806"/>
      <c r="K4" s="960" t="s">
        <v>1321</v>
      </c>
      <c r="L4" s="961"/>
      <c r="M4" s="962"/>
      <c r="N4" s="962"/>
      <c r="O4" s="962"/>
      <c r="P4" s="2543" t="s">
        <v>1322</v>
      </c>
      <c r="Q4" s="2548"/>
      <c r="R4" s="2549" t="s">
        <v>1318</v>
      </c>
      <c r="S4" s="2550"/>
      <c r="T4" s="2549" t="s">
        <v>1319</v>
      </c>
      <c r="U4" s="2550"/>
      <c r="V4" s="925" t="s">
        <v>1320</v>
      </c>
      <c r="W4" s="925"/>
      <c r="X4" s="2551"/>
      <c r="Y4" s="2549" t="s">
        <v>1322</v>
      </c>
      <c r="Z4" s="2550"/>
      <c r="AA4" s="2551" t="s">
        <v>1318</v>
      </c>
      <c r="AB4" s="2551" t="s">
        <v>1319</v>
      </c>
      <c r="AC4" s="2554" t="s">
        <v>1320</v>
      </c>
    </row>
    <row r="5" ht="15" spans="1:29">
      <c r="A5" s="809"/>
      <c r="B5" s="810"/>
      <c r="C5" s="811" t="s">
        <v>1323</v>
      </c>
      <c r="D5" s="812"/>
      <c r="E5" s="2103" t="s">
        <v>1324</v>
      </c>
      <c r="F5" s="814"/>
      <c r="G5" s="2104" t="s">
        <v>1325</v>
      </c>
      <c r="H5" s="812"/>
      <c r="I5" s="2104" t="s">
        <v>1326</v>
      </c>
      <c r="J5" s="812"/>
      <c r="K5" s="960"/>
      <c r="L5" s="961"/>
      <c r="M5" s="962"/>
      <c r="N5" s="962"/>
      <c r="O5" s="962"/>
      <c r="P5" s="2544"/>
      <c r="Q5" s="1016"/>
      <c r="R5" s="1017"/>
      <c r="S5" s="1018"/>
      <c r="T5" s="1017"/>
      <c r="U5" s="1018"/>
      <c r="V5" s="1002"/>
      <c r="W5" s="1002"/>
      <c r="X5" s="1015"/>
      <c r="Y5" s="1017"/>
      <c r="Z5" s="1018"/>
      <c r="AA5" s="1015"/>
      <c r="AB5" s="1015"/>
      <c r="AC5" s="1292"/>
    </row>
    <row r="6" ht="15.75" spans="1:29">
      <c r="A6" s="815"/>
      <c r="B6" s="816"/>
      <c r="C6" s="1163" t="s">
        <v>1327</v>
      </c>
      <c r="D6" s="1164"/>
      <c r="E6" s="1165" t="s">
        <v>1327</v>
      </c>
      <c r="F6" s="1166"/>
      <c r="G6" s="1163" t="s">
        <v>1327</v>
      </c>
      <c r="H6" s="1164"/>
      <c r="I6" s="1163" t="s">
        <v>1327</v>
      </c>
      <c r="J6" s="1164"/>
      <c r="K6" s="960" t="s">
        <v>1328</v>
      </c>
      <c r="L6" s="961"/>
      <c r="M6" s="962"/>
      <c r="N6" s="962"/>
      <c r="O6" s="962"/>
      <c r="P6" s="2545"/>
      <c r="Q6" s="1019"/>
      <c r="R6" s="1017"/>
      <c r="S6" s="1018"/>
      <c r="T6" s="1020"/>
      <c r="U6" s="1021"/>
      <c r="V6" s="1002"/>
      <c r="W6" s="1002"/>
      <c r="X6" s="1015"/>
      <c r="Y6" s="1020"/>
      <c r="Z6" s="1021"/>
      <c r="AA6" s="1041"/>
      <c r="AB6" s="1041"/>
      <c r="AC6" s="2555"/>
    </row>
    <row r="7" s="784" customFormat="1" ht="15.75" spans="1:29">
      <c r="A7" s="821" t="s">
        <v>1329</v>
      </c>
      <c r="B7" s="822"/>
      <c r="C7" s="823">
        <f>'数据-取费表'!B2</f>
        <v>44175</v>
      </c>
      <c r="D7" s="824">
        <v>100</v>
      </c>
      <c r="E7" s="825">
        <v>44166</v>
      </c>
      <c r="F7" s="826">
        <f>SUMIF(59:59,YEAR(E7)&amp;"-"&amp;MONTH(E7),60:60)</f>
        <v>100</v>
      </c>
      <c r="G7" s="825">
        <v>44166</v>
      </c>
      <c r="H7" s="824">
        <f>SUMIF(59:59,YEAR(G7)&amp;"-"&amp;MONTH(G7),60:60)</f>
        <v>100</v>
      </c>
      <c r="I7" s="825">
        <v>44166</v>
      </c>
      <c r="J7" s="824">
        <f>SUMIF(59:59,YEAR(I7)&amp;"-"&amp;MONTH(I7),60:60)</f>
        <v>100</v>
      </c>
      <c r="K7" s="966"/>
      <c r="L7" s="967"/>
      <c r="M7" s="968"/>
      <c r="N7" s="968"/>
      <c r="O7" s="968"/>
      <c r="P7" s="2546" t="s">
        <v>1330</v>
      </c>
      <c r="Q7" s="1022"/>
      <c r="R7" s="1023" t="s">
        <v>1331</v>
      </c>
      <c r="S7" s="1024">
        <f t="shared" ref="S7:S15" si="0">F7</f>
        <v>100</v>
      </c>
      <c r="T7" s="1023" t="s">
        <v>1331</v>
      </c>
      <c r="U7" s="1024">
        <f t="shared" ref="U7:U15" si="1">H7</f>
        <v>100</v>
      </c>
      <c r="V7" s="1023" t="s">
        <v>1331</v>
      </c>
      <c r="W7" s="1024">
        <f t="shared" ref="W7:W15" si="2">J7</f>
        <v>100</v>
      </c>
      <c r="X7" s="1025"/>
      <c r="Y7" s="969" t="s">
        <v>1330</v>
      </c>
      <c r="Z7" s="1026"/>
      <c r="AA7" s="1042">
        <f>D7/F7</f>
        <v>1</v>
      </c>
      <c r="AB7" s="1042">
        <f>D7/H7</f>
        <v>1</v>
      </c>
      <c r="AC7" s="2556">
        <f>D7/J7</f>
        <v>1</v>
      </c>
    </row>
    <row r="8" s="784" customFormat="1" ht="15.75" spans="1:29">
      <c r="A8" s="821" t="s">
        <v>1332</v>
      </c>
      <c r="B8" s="822"/>
      <c r="C8" s="828" t="s">
        <v>1333</v>
      </c>
      <c r="D8" s="824">
        <v>100</v>
      </c>
      <c r="E8" s="828" t="s">
        <v>1334</v>
      </c>
      <c r="F8" s="826">
        <f>SUMIF(62:62,E8,63:63)-SUMIF(62:62,C8,63:63)+100</f>
        <v>100</v>
      </c>
      <c r="G8" s="828" t="s">
        <v>1334</v>
      </c>
      <c r="H8" s="824">
        <f>SUMIF(62:62,G8,63:63)-SUMIF(62:62,C8,63:63)+100</f>
        <v>100</v>
      </c>
      <c r="I8" s="828" t="s">
        <v>1334</v>
      </c>
      <c r="J8" s="824">
        <f>SUMIF(62:62,I8,63:63)-SUMIF(62:62,C8,63:63)+100</f>
        <v>100</v>
      </c>
      <c r="K8" s="966"/>
      <c r="L8" s="967"/>
      <c r="M8" s="968"/>
      <c r="N8" s="968"/>
      <c r="O8" s="968"/>
      <c r="P8" s="2546" t="s">
        <v>1335</v>
      </c>
      <c r="Q8" s="1026"/>
      <c r="R8" s="1023" t="s">
        <v>1331</v>
      </c>
      <c r="S8" s="1024">
        <f t="shared" si="0"/>
        <v>100</v>
      </c>
      <c r="T8" s="1023" t="s">
        <v>1331</v>
      </c>
      <c r="U8" s="1024">
        <f t="shared" si="1"/>
        <v>100</v>
      </c>
      <c r="V8" s="1023" t="s">
        <v>1331</v>
      </c>
      <c r="W8" s="1024">
        <f t="shared" si="2"/>
        <v>100</v>
      </c>
      <c r="X8" s="1025"/>
      <c r="Y8" s="969" t="s">
        <v>1335</v>
      </c>
      <c r="Z8" s="1026"/>
      <c r="AA8" s="1042">
        <f t="shared" ref="AA8:AA47" si="3">D8/F8</f>
        <v>1</v>
      </c>
      <c r="AB8" s="1042">
        <f t="shared" ref="AB8:AB47" si="4">D8/H8</f>
        <v>1</v>
      </c>
      <c r="AC8" s="2556">
        <f t="shared" ref="AC8:AC47" si="5">D8/J8</f>
        <v>1</v>
      </c>
    </row>
    <row r="9" s="784" customFormat="1" spans="1:29">
      <c r="A9" s="829" t="s">
        <v>1336</v>
      </c>
      <c r="B9" s="830" t="s">
        <v>1337</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2556">
        <f t="shared" si="5"/>
        <v>1</v>
      </c>
    </row>
    <row r="10" s="785" customFormat="1" ht="27" spans="1:29">
      <c r="A10" s="833"/>
      <c r="B10" s="834" t="s">
        <v>1340</v>
      </c>
      <c r="C10" s="2536" t="s">
        <v>1341</v>
      </c>
      <c r="D10" s="836">
        <v>100</v>
      </c>
      <c r="E10" s="1217" t="s">
        <v>1341</v>
      </c>
      <c r="F10" s="836">
        <f>SUMIF(66:66,E10,67:67)-SUMIF(66:66,C10,67:67)+100</f>
        <v>100</v>
      </c>
      <c r="G10" s="1287" t="s">
        <v>1341</v>
      </c>
      <c r="H10" s="836">
        <f>SUMIF(66:66,G10,67:67)-SUMIF(66:66,C10,67:67)+100</f>
        <v>100</v>
      </c>
      <c r="I10" s="1217" t="s">
        <v>1341</v>
      </c>
      <c r="J10" s="836">
        <f>SUMIF(66:66,I10,67:67)-SUMIF(66:66,C10,67:67)+100</f>
        <v>100</v>
      </c>
      <c r="K10" s="986">
        <v>0</v>
      </c>
      <c r="L10" s="972"/>
      <c r="M10" s="973"/>
      <c r="N10" s="973"/>
      <c r="O10" s="973"/>
      <c r="P10" s="932"/>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2556">
        <f t="shared" si="5"/>
        <v>1</v>
      </c>
    </row>
    <row r="11" ht="15" spans="1:29">
      <c r="A11" s="837"/>
      <c r="B11" s="834" t="s">
        <v>1342</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1331</v>
      </c>
      <c r="S11" s="1024">
        <f t="shared" si="0"/>
        <v>100</v>
      </c>
      <c r="T11" s="1023" t="s">
        <v>1331</v>
      </c>
      <c r="U11" s="1024">
        <f t="shared" si="1"/>
        <v>100</v>
      </c>
      <c r="V11" s="1023" t="s">
        <v>1331</v>
      </c>
      <c r="W11" s="1024">
        <f t="shared" si="2"/>
        <v>100</v>
      </c>
      <c r="X11" s="1025"/>
      <c r="Y11" s="1027"/>
      <c r="Z11" s="1043" t="str">
        <f t="shared" si="7"/>
        <v>容积率</v>
      </c>
      <c r="AA11" s="1042">
        <f t="shared" si="3"/>
        <v>1</v>
      </c>
      <c r="AB11" s="1042">
        <f t="shared" si="4"/>
        <v>1</v>
      </c>
      <c r="AC11" s="2556">
        <f t="shared" si="5"/>
        <v>1</v>
      </c>
    </row>
    <row r="12" s="784" customFormat="1" ht="15" spans="1:29">
      <c r="A12" s="840"/>
      <c r="B12" s="841">
        <v>111</v>
      </c>
      <c r="C12" s="835"/>
      <c r="D12" s="842">
        <v>100</v>
      </c>
      <c r="E12" s="835"/>
      <c r="F12" s="836">
        <f>SUMIF(71:71,E12,72:72)-SUMIF(71:71,C12,72:72)+100</f>
        <v>100</v>
      </c>
      <c r="G12" s="2537"/>
      <c r="H12" s="836">
        <f>SUMIF(71:71,G12,72:72)-SUMIF(71:71,C12,72:72)+100</f>
        <v>100</v>
      </c>
      <c r="I12" s="835"/>
      <c r="J12" s="836">
        <f>SUMIF(71:71,I12,72:72)-SUMIF(71:71,C12,72:72)+100</f>
        <v>100</v>
      </c>
      <c r="K12" s="985"/>
      <c r="L12" s="967"/>
      <c r="M12" s="968"/>
      <c r="N12" s="968"/>
      <c r="O12" s="968"/>
      <c r="P12" s="932"/>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2556">
        <f t="shared" si="5"/>
        <v>1</v>
      </c>
    </row>
    <row r="13" ht="15" spans="1:29">
      <c r="A13" s="837"/>
      <c r="B13" s="841">
        <v>111</v>
      </c>
      <c r="C13" s="845"/>
      <c r="D13" s="846">
        <v>100</v>
      </c>
      <c r="E13" s="835"/>
      <c r="F13" s="836">
        <f>SUMIF(73:73,E13,74:74)-SUMIF(73:73,C13,74:74)+100</f>
        <v>100</v>
      </c>
      <c r="G13" s="2537"/>
      <c r="H13" s="846">
        <f>SUMIF(73:73,G13,74:74)-SUMIF(73:73,C13,74:74)+100</f>
        <v>100</v>
      </c>
      <c r="I13" s="835"/>
      <c r="J13" s="846">
        <f>SUMIF(73:73,I13,74:74)-SUMIF(73:73,C13,74:74)+100</f>
        <v>100</v>
      </c>
      <c r="K13" s="985"/>
      <c r="L13" s="978"/>
      <c r="M13" s="962"/>
      <c r="N13" s="962"/>
      <c r="O13" s="962"/>
      <c r="P13" s="932"/>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2556">
        <f t="shared" si="5"/>
        <v>1</v>
      </c>
    </row>
    <row r="14" ht="15.75" spans="1:29">
      <c r="A14" s="847"/>
      <c r="B14" s="848">
        <v>111</v>
      </c>
      <c r="C14" s="849"/>
      <c r="D14" s="850">
        <v>100</v>
      </c>
      <c r="E14" s="1296"/>
      <c r="F14" s="850">
        <f>SUMIF(75:75,E14,76:76)-SUMIF(75:75,C14,76:76)+100</f>
        <v>100</v>
      </c>
      <c r="G14" s="2537"/>
      <c r="H14" s="850">
        <f>SUMIF(75:75,G14,76:76)-SUMIF(75:75,C14,76:76)+100</f>
        <v>100</v>
      </c>
      <c r="I14" s="835"/>
      <c r="J14" s="850">
        <f>SUMIF(75:75,I14,76:76)-SUMIF(75:75,C14,76:76)+100</f>
        <v>100</v>
      </c>
      <c r="K14" s="985"/>
      <c r="L14" s="978"/>
      <c r="M14" s="962"/>
      <c r="N14" s="962"/>
      <c r="O14" s="962"/>
      <c r="P14" s="932"/>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2556">
        <f t="shared" si="5"/>
        <v>1</v>
      </c>
    </row>
    <row r="15" ht="68.25" spans="1:29">
      <c r="A15" s="851" t="s">
        <v>1343</v>
      </c>
      <c r="B15" s="852" t="s">
        <v>1344</v>
      </c>
      <c r="C15" s="2538"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1345</v>
      </c>
      <c r="Q15" s="548" t="str">
        <f t="shared" si="6"/>
        <v>办公集聚程度</v>
      </c>
      <c r="R15" s="1028" t="s">
        <v>1331</v>
      </c>
      <c r="S15" s="1029">
        <f t="shared" si="0"/>
        <v>100</v>
      </c>
      <c r="T15" s="1028" t="s">
        <v>1331</v>
      </c>
      <c r="U15" s="1029">
        <f t="shared" si="1"/>
        <v>100</v>
      </c>
      <c r="V15" s="1028" t="s">
        <v>1331</v>
      </c>
      <c r="W15" s="1029">
        <f t="shared" si="2"/>
        <v>100</v>
      </c>
      <c r="X15" s="1015"/>
      <c r="Y15" s="980" t="s">
        <v>1345</v>
      </c>
      <c r="Z15" s="1002" t="str">
        <f t="shared" si="7"/>
        <v>办公集聚程度</v>
      </c>
      <c r="AA15" s="1044">
        <f t="shared" si="3"/>
        <v>1</v>
      </c>
      <c r="AB15" s="1044">
        <f t="shared" si="4"/>
        <v>1</v>
      </c>
      <c r="AC15" s="2557">
        <f t="shared" si="5"/>
        <v>1</v>
      </c>
    </row>
    <row r="16" ht="15" spans="1:29">
      <c r="A16" s="837"/>
      <c r="B16" s="856"/>
      <c r="C16" s="859" t="s">
        <v>1346</v>
      </c>
      <c r="D16" s="858"/>
      <c r="E16" s="857" t="s">
        <v>1346</v>
      </c>
      <c r="F16" s="858"/>
      <c r="G16" s="859" t="s">
        <v>1346</v>
      </c>
      <c r="H16" s="860"/>
      <c r="I16" s="857" t="s">
        <v>1346</v>
      </c>
      <c r="J16" s="858"/>
      <c r="K16" s="1261"/>
      <c r="L16" s="978"/>
      <c r="M16" s="962"/>
      <c r="N16" s="962"/>
      <c r="O16" s="962"/>
      <c r="P16" s="1411"/>
      <c r="Q16" s="548"/>
      <c r="R16" s="1028"/>
      <c r="S16" s="1029"/>
      <c r="T16" s="1028"/>
      <c r="U16" s="1029"/>
      <c r="V16" s="1028"/>
      <c r="W16" s="1029"/>
      <c r="X16" s="1015"/>
      <c r="Y16" s="981"/>
      <c r="Z16" s="1002"/>
      <c r="AA16" s="1044">
        <v>1</v>
      </c>
      <c r="AB16" s="1044">
        <v>1</v>
      </c>
      <c r="AC16" s="2557">
        <v>1</v>
      </c>
    </row>
    <row r="17" ht="67.5" spans="1:29">
      <c r="A17" s="837"/>
      <c r="B17" s="861" t="s">
        <v>1347</v>
      </c>
      <c r="C17" s="2539"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1331</v>
      </c>
      <c r="S17" s="1029">
        <f>F17</f>
        <v>100</v>
      </c>
      <c r="T17" s="1028" t="s">
        <v>1331</v>
      </c>
      <c r="U17" s="1029">
        <f>H17</f>
        <v>100</v>
      </c>
      <c r="V17" s="1028" t="s">
        <v>1331</v>
      </c>
      <c r="W17" s="1029">
        <f>J17</f>
        <v>100</v>
      </c>
      <c r="X17" s="1015"/>
      <c r="Y17" s="981"/>
      <c r="Z17" s="1002" t="str">
        <f>Q17</f>
        <v>交通便捷度</v>
      </c>
      <c r="AA17" s="1044">
        <f t="shared" si="3"/>
        <v>1</v>
      </c>
      <c r="AB17" s="1044">
        <f t="shared" si="4"/>
        <v>1</v>
      </c>
      <c r="AC17" s="2557">
        <f t="shared" si="5"/>
        <v>1</v>
      </c>
    </row>
    <row r="18" ht="15" spans="1:29">
      <c r="A18" s="837"/>
      <c r="B18" s="865"/>
      <c r="C18" s="2540" t="s">
        <v>1348</v>
      </c>
      <c r="D18" s="860"/>
      <c r="E18" s="1182" t="s">
        <v>1348</v>
      </c>
      <c r="F18" s="860"/>
      <c r="G18" s="1174" t="s">
        <v>1348</v>
      </c>
      <c r="H18" s="858"/>
      <c r="I18" s="1174" t="s">
        <v>1348</v>
      </c>
      <c r="J18" s="858"/>
      <c r="K18" s="1261"/>
      <c r="L18" s="978"/>
      <c r="M18" s="962"/>
      <c r="N18" s="962"/>
      <c r="O18" s="962"/>
      <c r="P18" s="1411"/>
      <c r="Q18" s="548"/>
      <c r="R18" s="1028"/>
      <c r="S18" s="1029"/>
      <c r="T18" s="1028"/>
      <c r="U18" s="1029"/>
      <c r="V18" s="1028"/>
      <c r="W18" s="1029"/>
      <c r="X18" s="1015"/>
      <c r="Y18" s="981"/>
      <c r="Z18" s="1002"/>
      <c r="AA18" s="1044">
        <v>1</v>
      </c>
      <c r="AB18" s="1044">
        <v>1</v>
      </c>
      <c r="AC18" s="2557">
        <v>1</v>
      </c>
    </row>
    <row r="19" ht="40.5" spans="1:29">
      <c r="A19" s="837"/>
      <c r="B19" s="861" t="s">
        <v>1349</v>
      </c>
      <c r="C19" s="2539"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1331</v>
      </c>
      <c r="S19" s="1029">
        <f>F19</f>
        <v>100</v>
      </c>
      <c r="T19" s="1028" t="s">
        <v>1331</v>
      </c>
      <c r="U19" s="1029">
        <f>H19</f>
        <v>100</v>
      </c>
      <c r="V19" s="1028" t="s">
        <v>1331</v>
      </c>
      <c r="W19" s="1029">
        <f>J19</f>
        <v>100</v>
      </c>
      <c r="X19" s="1015"/>
      <c r="Y19" s="981"/>
      <c r="Z19" s="1002" t="str">
        <f>Q19</f>
        <v>公共配套设施</v>
      </c>
      <c r="AA19" s="1044">
        <f t="shared" si="3"/>
        <v>1</v>
      </c>
      <c r="AB19" s="1044">
        <f t="shared" si="4"/>
        <v>1</v>
      </c>
      <c r="AC19" s="2557">
        <f t="shared" si="5"/>
        <v>1</v>
      </c>
    </row>
    <row r="20" ht="15" spans="1:29">
      <c r="A20" s="837"/>
      <c r="B20" s="865"/>
      <c r="C20" s="859" t="s">
        <v>1348</v>
      </c>
      <c r="D20" s="858"/>
      <c r="E20" s="983" t="s">
        <v>1348</v>
      </c>
      <c r="F20" s="858"/>
      <c r="G20" s="866" t="s">
        <v>1348</v>
      </c>
      <c r="H20" s="858"/>
      <c r="I20" s="866" t="s">
        <v>1348</v>
      </c>
      <c r="J20" s="858"/>
      <c r="K20" s="1261"/>
      <c r="L20" s="978"/>
      <c r="M20" s="962"/>
      <c r="N20" s="962"/>
      <c r="O20" s="962"/>
      <c r="P20" s="1411"/>
      <c r="Q20" s="548"/>
      <c r="R20" s="1028"/>
      <c r="S20" s="1029"/>
      <c r="T20" s="1028"/>
      <c r="U20" s="1029"/>
      <c r="V20" s="1028"/>
      <c r="W20" s="1029"/>
      <c r="X20" s="1015"/>
      <c r="Y20" s="981"/>
      <c r="Z20" s="1002"/>
      <c r="AA20" s="1044">
        <v>1</v>
      </c>
      <c r="AB20" s="1044">
        <v>1</v>
      </c>
      <c r="AC20" s="2557">
        <v>1</v>
      </c>
    </row>
    <row r="21" ht="27" spans="1:29">
      <c r="A21" s="837"/>
      <c r="B21" s="868" t="s">
        <v>1350</v>
      </c>
      <c r="C21" s="2539"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1331</v>
      </c>
      <c r="S21" s="1029">
        <f>F21</f>
        <v>100</v>
      </c>
      <c r="T21" s="1028" t="s">
        <v>1331</v>
      </c>
      <c r="U21" s="1029">
        <f>H21</f>
        <v>100</v>
      </c>
      <c r="V21" s="1028" t="s">
        <v>1331</v>
      </c>
      <c r="W21" s="1029">
        <f>J21</f>
        <v>100</v>
      </c>
      <c r="X21" s="1015"/>
      <c r="Y21" s="981"/>
      <c r="Z21" s="1002" t="str">
        <f>Q21</f>
        <v>基础设施水平</v>
      </c>
      <c r="AA21" s="1044">
        <f t="shared" ref="AA21" si="8">D21/F21</f>
        <v>1</v>
      </c>
      <c r="AB21" s="1044">
        <f t="shared" ref="AB21" si="9">D21/H21</f>
        <v>1</v>
      </c>
      <c r="AC21" s="2557">
        <f t="shared" ref="AC21" si="10">D21/J21</f>
        <v>1</v>
      </c>
    </row>
    <row r="22" ht="15" spans="1:29">
      <c r="A22" s="837"/>
      <c r="B22" s="868"/>
      <c r="C22" s="2540"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7">
        <v>1</v>
      </c>
    </row>
    <row r="23" ht="40.5" spans="1:29">
      <c r="A23" s="837"/>
      <c r="B23" s="861" t="s">
        <v>1351</v>
      </c>
      <c r="C23" s="2539"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1331</v>
      </c>
      <c r="S23" s="1029">
        <f>F23</f>
        <v>100</v>
      </c>
      <c r="T23" s="1028" t="s">
        <v>1331</v>
      </c>
      <c r="U23" s="1029">
        <f>H23</f>
        <v>100</v>
      </c>
      <c r="V23" s="1028" t="s">
        <v>1331</v>
      </c>
      <c r="W23" s="1029">
        <f>J23</f>
        <v>100</v>
      </c>
      <c r="X23" s="1015"/>
      <c r="Y23" s="981"/>
      <c r="Z23" s="1002" t="str">
        <f>Q23</f>
        <v>环境质量</v>
      </c>
      <c r="AA23" s="1044">
        <f t="shared" si="3"/>
        <v>1</v>
      </c>
      <c r="AB23" s="1044">
        <f t="shared" si="4"/>
        <v>1</v>
      </c>
      <c r="AC23" s="2557">
        <f t="shared" si="5"/>
        <v>1</v>
      </c>
    </row>
    <row r="24" ht="15" spans="1:29">
      <c r="A24" s="837"/>
      <c r="B24" s="868"/>
      <c r="C24" s="859" t="s">
        <v>1346</v>
      </c>
      <c r="D24" s="858"/>
      <c r="E24" s="983" t="s">
        <v>1346</v>
      </c>
      <c r="F24" s="858"/>
      <c r="G24" s="866" t="s">
        <v>1346</v>
      </c>
      <c r="H24" s="858"/>
      <c r="I24" s="866" t="s">
        <v>1346</v>
      </c>
      <c r="J24" s="858"/>
      <c r="K24" s="1261"/>
      <c r="L24" s="978"/>
      <c r="M24" s="962"/>
      <c r="N24" s="962"/>
      <c r="O24" s="962"/>
      <c r="P24" s="1411"/>
      <c r="Q24" s="548"/>
      <c r="R24" s="1028"/>
      <c r="S24" s="1029"/>
      <c r="T24" s="1028"/>
      <c r="U24" s="1029"/>
      <c r="V24" s="1028"/>
      <c r="W24" s="1029"/>
      <c r="X24" s="1015"/>
      <c r="Y24" s="981"/>
      <c r="Z24" s="1002"/>
      <c r="AA24" s="1044">
        <v>1</v>
      </c>
      <c r="AB24" s="1044">
        <v>1</v>
      </c>
      <c r="AC24" s="2557">
        <v>1</v>
      </c>
    </row>
    <row r="25" ht="27" spans="1:29">
      <c r="A25" s="809"/>
      <c r="B25" s="861" t="s">
        <v>1352</v>
      </c>
      <c r="C25" s="2541" t="s">
        <v>1353</v>
      </c>
      <c r="D25" s="846">
        <v>100</v>
      </c>
      <c r="E25" s="2111" t="s">
        <v>1354</v>
      </c>
      <c r="F25" s="846">
        <f>SUMIF(87:87,E26,88:88)-SUMIF(87:87,C26,88:88)+100</f>
        <v>97</v>
      </c>
      <c r="G25" s="2111" t="s">
        <v>1354</v>
      </c>
      <c r="H25" s="846">
        <f>SUMIF(87:87,G26,88:88)-SUMIF(87:87,C26,88:88)+100</f>
        <v>97</v>
      </c>
      <c r="I25" s="2111" t="s">
        <v>1353</v>
      </c>
      <c r="J25" s="846">
        <f>SUMIF(87:87,I26,88:88)-SUMIF(87:87,C26,88:88)+100</f>
        <v>100</v>
      </c>
      <c r="K25" s="1260">
        <v>1</v>
      </c>
      <c r="L25" s="978"/>
      <c r="M25" s="962"/>
      <c r="N25" s="962"/>
      <c r="O25" s="962"/>
      <c r="P25" s="1411"/>
      <c r="Q25" s="548" t="str">
        <f>B25</f>
        <v>毗邻道路的类型与等级</v>
      </c>
      <c r="R25" s="1028" t="s">
        <v>1331</v>
      </c>
      <c r="S25" s="1029">
        <f>F25</f>
        <v>97</v>
      </c>
      <c r="T25" s="1028" t="s">
        <v>1331</v>
      </c>
      <c r="U25" s="1029">
        <f>H25</f>
        <v>97</v>
      </c>
      <c r="V25" s="1028" t="s">
        <v>1331</v>
      </c>
      <c r="W25" s="1029">
        <f>J25</f>
        <v>100</v>
      </c>
      <c r="X25" s="1015"/>
      <c r="Y25" s="981"/>
      <c r="Z25" s="1002" t="str">
        <f>Q25</f>
        <v>毗邻道路的类型与等级</v>
      </c>
      <c r="AA25" s="1044">
        <f t="shared" si="3"/>
        <v>1.03092783505155</v>
      </c>
      <c r="AB25" s="1044">
        <f t="shared" si="4"/>
        <v>1.03092783505155</v>
      </c>
      <c r="AC25" s="2557">
        <f t="shared" si="5"/>
        <v>1</v>
      </c>
    </row>
    <row r="26" ht="15" spans="1:29">
      <c r="A26" s="809"/>
      <c r="B26" s="865"/>
      <c r="C26" s="872" t="s">
        <v>1355</v>
      </c>
      <c r="D26" s="846"/>
      <c r="E26" s="871" t="s">
        <v>1356</v>
      </c>
      <c r="F26" s="846"/>
      <c r="G26" s="872" t="s">
        <v>1356</v>
      </c>
      <c r="H26" s="846"/>
      <c r="I26" s="871" t="s">
        <v>1355</v>
      </c>
      <c r="J26" s="846"/>
      <c r="K26" s="1261"/>
      <c r="L26" s="978"/>
      <c r="M26" s="962"/>
      <c r="N26" s="962"/>
      <c r="O26" s="962"/>
      <c r="P26" s="1411"/>
      <c r="Q26" s="548"/>
      <c r="R26" s="1028"/>
      <c r="S26" s="1029"/>
      <c r="T26" s="1028"/>
      <c r="U26" s="1029"/>
      <c r="V26" s="1028"/>
      <c r="W26" s="1029"/>
      <c r="X26" s="1015"/>
      <c r="Y26" s="981"/>
      <c r="Z26" s="1002"/>
      <c r="AA26" s="1044">
        <v>1</v>
      </c>
      <c r="AB26" s="1044">
        <v>1</v>
      </c>
      <c r="AC26" s="2557">
        <v>1</v>
      </c>
    </row>
    <row r="27" ht="15" spans="1:29">
      <c r="A27" s="837"/>
      <c r="B27" s="865" t="s">
        <v>1357</v>
      </c>
      <c r="C27" s="872" t="s">
        <v>1358</v>
      </c>
      <c r="D27" s="846">
        <v>100</v>
      </c>
      <c r="E27" s="871" t="s">
        <v>1358</v>
      </c>
      <c r="F27" s="846">
        <f>SUMIF(89:89,E27,90:90)-SUMIF(89:89,C27,90:90)+100</f>
        <v>100</v>
      </c>
      <c r="G27" s="872" t="s">
        <v>1359</v>
      </c>
      <c r="H27" s="846">
        <f>SUMIF(89:89,G27,90:90)-SUMIF(89:89,C27,90:90)+100</f>
        <v>98</v>
      </c>
      <c r="I27" s="871" t="s">
        <v>1359</v>
      </c>
      <c r="J27" s="846">
        <f>SUMIF(89:89,I27,90:90)-SUMIF(89:89,C27,90:90)+100</f>
        <v>98</v>
      </c>
      <c r="K27" s="986">
        <v>1</v>
      </c>
      <c r="L27" s="978"/>
      <c r="M27" s="962"/>
      <c r="N27" s="962"/>
      <c r="O27" s="962"/>
      <c r="P27" s="1411"/>
      <c r="Q27" s="548" t="str">
        <f t="shared" ref="Q27:Q47" si="11">B27</f>
        <v>楼层</v>
      </c>
      <c r="R27" s="1028" t="s">
        <v>1331</v>
      </c>
      <c r="S27" s="1029">
        <f>F27</f>
        <v>100</v>
      </c>
      <c r="T27" s="1028" t="s">
        <v>1331</v>
      </c>
      <c r="U27" s="1029">
        <f>H27</f>
        <v>98</v>
      </c>
      <c r="V27" s="1028" t="s">
        <v>1331</v>
      </c>
      <c r="W27" s="1029">
        <f>J27</f>
        <v>98</v>
      </c>
      <c r="X27" s="1015"/>
      <c r="Y27" s="981"/>
      <c r="Z27" s="1002" t="str">
        <f>Q27</f>
        <v>楼层</v>
      </c>
      <c r="AA27" s="1044">
        <f t="shared" si="3"/>
        <v>1</v>
      </c>
      <c r="AB27" s="1044">
        <f t="shared" si="4"/>
        <v>1.02040816326531</v>
      </c>
      <c r="AC27" s="2557">
        <f t="shared" si="5"/>
        <v>1.02040816326531</v>
      </c>
    </row>
    <row r="28" s="784" customFormat="1" ht="15" spans="1:29">
      <c r="A28" s="840"/>
      <c r="B28" s="861" t="s">
        <v>1360</v>
      </c>
      <c r="C28" s="2542"/>
      <c r="D28" s="1338">
        <v>100</v>
      </c>
      <c r="E28" s="2108"/>
      <c r="F28" s="1338">
        <f>SUMIF(91:91,E28,92:92)-SUMIF(91:91,C28,92:92)+100</f>
        <v>100</v>
      </c>
      <c r="G28" s="2542"/>
      <c r="H28" s="1338">
        <f>SUMIF(91:91,G28,92:92)-SUMIF(91:91,C28,92:92)+100</f>
        <v>100</v>
      </c>
      <c r="I28" s="2108"/>
      <c r="J28" s="1338">
        <f>SUMIF(91:91,I28,92:92)-SUMIF(91:91,C28,92:92)+100</f>
        <v>100</v>
      </c>
      <c r="K28" s="986"/>
      <c r="L28" s="967"/>
      <c r="M28" s="968"/>
      <c r="N28" s="968"/>
      <c r="O28" s="968"/>
      <c r="P28" s="1411"/>
      <c r="Q28" s="1027" t="str">
        <f t="shared" si="11"/>
        <v>朝向</v>
      </c>
      <c r="R28" s="1023" t="s">
        <v>1331</v>
      </c>
      <c r="S28" s="1024">
        <f>F28</f>
        <v>100</v>
      </c>
      <c r="T28" s="1023" t="s">
        <v>1331</v>
      </c>
      <c r="U28" s="1024">
        <f>H28</f>
        <v>100</v>
      </c>
      <c r="V28" s="1023" t="s">
        <v>1331</v>
      </c>
      <c r="W28" s="1024">
        <f>J28</f>
        <v>100</v>
      </c>
      <c r="X28" s="1025"/>
      <c r="Y28" s="981"/>
      <c r="Z28" s="1043" t="str">
        <f>Q28</f>
        <v>朝向</v>
      </c>
      <c r="AA28" s="1044">
        <f t="shared" si="3"/>
        <v>1</v>
      </c>
      <c r="AB28" s="1044">
        <f t="shared" si="4"/>
        <v>1</v>
      </c>
      <c r="AC28" s="2557">
        <f t="shared" si="5"/>
        <v>1</v>
      </c>
    </row>
    <row r="29" ht="15" spans="1:29">
      <c r="A29" s="837"/>
      <c r="B29" s="876">
        <v>111</v>
      </c>
      <c r="C29" s="1388"/>
      <c r="D29" s="846">
        <v>100</v>
      </c>
      <c r="E29" s="835"/>
      <c r="F29" s="846">
        <f>SUMIF(93:93,E29,94:94)-SUMIF(93:93,C29,94:94)+100</f>
        <v>100</v>
      </c>
      <c r="G29" s="2537"/>
      <c r="H29" s="846">
        <f>SUMIF(93:93,G29,94:94)-SUMIF(93:93,C29,94:94)+100</f>
        <v>100</v>
      </c>
      <c r="I29" s="835"/>
      <c r="J29" s="846">
        <f>SUMIF(93:93,I29,94:94)-SUMIF(93:93,C29,94:94)+100</f>
        <v>100</v>
      </c>
      <c r="K29" s="985"/>
      <c r="L29" s="978"/>
      <c r="M29" s="962"/>
      <c r="N29" s="962"/>
      <c r="O29" s="962"/>
      <c r="P29" s="1411"/>
      <c r="Q29" s="548">
        <f t="shared" si="11"/>
        <v>111</v>
      </c>
      <c r="R29" s="1028" t="s">
        <v>1331</v>
      </c>
      <c r="S29" s="1029">
        <f t="shared" ref="S29:S47" si="12">F29</f>
        <v>100</v>
      </c>
      <c r="T29" s="1028" t="s">
        <v>1331</v>
      </c>
      <c r="U29" s="1029">
        <f t="shared" ref="U29:U47" si="13">H29</f>
        <v>100</v>
      </c>
      <c r="V29" s="1028" t="s">
        <v>1331</v>
      </c>
      <c r="W29" s="1029">
        <f t="shared" ref="W29:W47" si="14">J29</f>
        <v>100</v>
      </c>
      <c r="X29" s="1015"/>
      <c r="Y29" s="981"/>
      <c r="Z29" s="1002">
        <f t="shared" ref="Z29:Z47" si="15">Q29</f>
        <v>111</v>
      </c>
      <c r="AA29" s="1044">
        <f t="shared" si="3"/>
        <v>1</v>
      </c>
      <c r="AB29" s="1044">
        <f t="shared" si="4"/>
        <v>1</v>
      </c>
      <c r="AC29" s="2557">
        <f t="shared" si="5"/>
        <v>1</v>
      </c>
    </row>
    <row r="30" ht="15" spans="1:29">
      <c r="A30" s="837"/>
      <c r="B30" s="876">
        <v>111</v>
      </c>
      <c r="C30" s="1388"/>
      <c r="D30" s="846">
        <v>100</v>
      </c>
      <c r="E30" s="835"/>
      <c r="F30" s="846">
        <f>SUMIF(95:95,E30,96:96)-SUMIF(95:95,C30,96:96)+100</f>
        <v>100</v>
      </c>
      <c r="G30" s="2537"/>
      <c r="H30" s="846">
        <f>SUMIF(95:95,G30,96:96)-SUMIF(95:95,C30,96:96)+100</f>
        <v>100</v>
      </c>
      <c r="I30" s="835"/>
      <c r="J30" s="846">
        <f>SUMIF(95:95,I30,96:96)-SUMIF(95:95,C30,96:96)+100</f>
        <v>100</v>
      </c>
      <c r="K30" s="985"/>
      <c r="L30" s="978"/>
      <c r="M30" s="962"/>
      <c r="N30" s="962"/>
      <c r="O30" s="962"/>
      <c r="P30" s="1411"/>
      <c r="Q30" s="548">
        <f t="shared" si="11"/>
        <v>111</v>
      </c>
      <c r="R30" s="1028" t="s">
        <v>1331</v>
      </c>
      <c r="S30" s="1029">
        <f t="shared" si="12"/>
        <v>100</v>
      </c>
      <c r="T30" s="1028" t="s">
        <v>1331</v>
      </c>
      <c r="U30" s="1029">
        <f t="shared" si="13"/>
        <v>100</v>
      </c>
      <c r="V30" s="1028" t="s">
        <v>1331</v>
      </c>
      <c r="W30" s="1029">
        <f t="shared" si="14"/>
        <v>100</v>
      </c>
      <c r="X30" s="1015"/>
      <c r="Y30" s="981"/>
      <c r="Z30" s="1002">
        <f t="shared" si="15"/>
        <v>111</v>
      </c>
      <c r="AA30" s="1044">
        <f t="shared" si="3"/>
        <v>1</v>
      </c>
      <c r="AB30" s="1044">
        <f t="shared" si="4"/>
        <v>1</v>
      </c>
      <c r="AC30" s="2557">
        <f t="shared" si="5"/>
        <v>1</v>
      </c>
    </row>
    <row r="31" ht="15" spans="1:29">
      <c r="A31" s="837"/>
      <c r="B31" s="876">
        <v>111</v>
      </c>
      <c r="C31" s="1388"/>
      <c r="D31" s="846">
        <v>100</v>
      </c>
      <c r="E31" s="835"/>
      <c r="F31" s="846">
        <f>SUMIF(97:97,E31,98:98)-SUMIF(97:97,C31,98:98)+100</f>
        <v>100</v>
      </c>
      <c r="G31" s="2537"/>
      <c r="H31" s="846">
        <f>SUMIF(97:97,G31,98:98)-SUMIF(97:97,C31,98:98)+100</f>
        <v>100</v>
      </c>
      <c r="I31" s="835"/>
      <c r="J31" s="846">
        <f>SUMIF(97:97,I31,98:98)-SUMIF(97:97,C31,98:98)+100</f>
        <v>100</v>
      </c>
      <c r="K31" s="985"/>
      <c r="L31" s="978"/>
      <c r="M31" s="962"/>
      <c r="N31" s="962"/>
      <c r="O31" s="962"/>
      <c r="P31" s="1411"/>
      <c r="Q31" s="548">
        <f t="shared" si="11"/>
        <v>111</v>
      </c>
      <c r="R31" s="1028" t="s">
        <v>1331</v>
      </c>
      <c r="S31" s="1029">
        <f t="shared" si="12"/>
        <v>100</v>
      </c>
      <c r="T31" s="1028" t="s">
        <v>1331</v>
      </c>
      <c r="U31" s="1029">
        <f t="shared" si="13"/>
        <v>100</v>
      </c>
      <c r="V31" s="1028" t="s">
        <v>1331</v>
      </c>
      <c r="W31" s="1029">
        <f t="shared" si="14"/>
        <v>100</v>
      </c>
      <c r="X31" s="1015"/>
      <c r="Y31" s="981"/>
      <c r="Z31" s="1002">
        <f t="shared" si="15"/>
        <v>111</v>
      </c>
      <c r="AA31" s="1044">
        <f t="shared" si="3"/>
        <v>1</v>
      </c>
      <c r="AB31" s="1044">
        <f t="shared" si="4"/>
        <v>1</v>
      </c>
      <c r="AC31" s="2557">
        <f t="shared" si="5"/>
        <v>1</v>
      </c>
    </row>
    <row r="32" ht="15.75" spans="1:29">
      <c r="A32" s="847"/>
      <c r="B32" s="1294">
        <v>111</v>
      </c>
      <c r="C32" s="1389"/>
      <c r="D32" s="850">
        <v>100</v>
      </c>
      <c r="E32" s="1296"/>
      <c r="F32" s="850">
        <f>SUMIF(99:99,E32,100:100)-SUMIF(99:99,C32,100:100)+100</f>
        <v>100</v>
      </c>
      <c r="G32" s="2537"/>
      <c r="H32" s="850">
        <f>SUMIF(99:99,G32,100:100)-SUMIF(99:99,C32,100:100)+100</f>
        <v>100</v>
      </c>
      <c r="I32" s="835"/>
      <c r="J32" s="850">
        <f>SUMIF(99:99,I32,100:100)-SUMIF(99:99,C32,100:100)+100</f>
        <v>100</v>
      </c>
      <c r="K32" s="985"/>
      <c r="L32" s="978"/>
      <c r="M32" s="962"/>
      <c r="N32" s="962"/>
      <c r="O32" s="962"/>
      <c r="P32" s="1411"/>
      <c r="Q32" s="548">
        <f t="shared" si="11"/>
        <v>111</v>
      </c>
      <c r="R32" s="1028" t="s">
        <v>1331</v>
      </c>
      <c r="S32" s="1029">
        <f t="shared" si="12"/>
        <v>100</v>
      </c>
      <c r="T32" s="1028" t="s">
        <v>1331</v>
      </c>
      <c r="U32" s="1029">
        <f t="shared" si="13"/>
        <v>100</v>
      </c>
      <c r="V32" s="1028" t="s">
        <v>1331</v>
      </c>
      <c r="W32" s="1029">
        <f t="shared" si="14"/>
        <v>100</v>
      </c>
      <c r="X32" s="1015"/>
      <c r="Y32" s="981"/>
      <c r="Z32" s="1002">
        <f t="shared" si="15"/>
        <v>111</v>
      </c>
      <c r="AA32" s="1044">
        <f t="shared" si="3"/>
        <v>1</v>
      </c>
      <c r="AB32" s="1044">
        <f t="shared" si="4"/>
        <v>1</v>
      </c>
      <c r="AC32" s="2557">
        <f t="shared" si="5"/>
        <v>1</v>
      </c>
    </row>
    <row r="33" ht="15" spans="1:29">
      <c r="A33" s="851" t="s">
        <v>1361</v>
      </c>
      <c r="B33" s="830" t="s">
        <v>1362</v>
      </c>
      <c r="C33" s="1230" t="s">
        <v>1363</v>
      </c>
      <c r="D33" s="887">
        <v>100</v>
      </c>
      <c r="E33" s="1230" t="s">
        <v>1363</v>
      </c>
      <c r="F33" s="1225">
        <f>SUMIF(101:101,E33,102:102)-SUMIF(101:101,C33,102:102)+100</f>
        <v>100</v>
      </c>
      <c r="G33" s="1230" t="s">
        <v>1363</v>
      </c>
      <c r="H33" s="846">
        <f>SUMIF(101:101,G33,102:102)-SUMIF(101:101,C33,102:102)+100</f>
        <v>100</v>
      </c>
      <c r="I33" s="1230" t="s">
        <v>1363</v>
      </c>
      <c r="J33" s="887">
        <f>SUMIF(101:101,I33,102:102)-SUMIF(101:101,C33,102:102)+100</f>
        <v>100</v>
      </c>
      <c r="K33" s="986">
        <v>2</v>
      </c>
      <c r="L33" s="978"/>
      <c r="M33" s="962"/>
      <c r="N33" s="962"/>
      <c r="O33" s="962"/>
      <c r="P33" s="1413" t="s">
        <v>1364</v>
      </c>
      <c r="Q33" s="548" t="str">
        <f t="shared" si="11"/>
        <v>建筑类型</v>
      </c>
      <c r="R33" s="1028" t="s">
        <v>1331</v>
      </c>
      <c r="S33" s="1029">
        <f t="shared" si="12"/>
        <v>100</v>
      </c>
      <c r="T33" s="1028" t="s">
        <v>1331</v>
      </c>
      <c r="U33" s="1029">
        <f t="shared" si="13"/>
        <v>100</v>
      </c>
      <c r="V33" s="1028" t="s">
        <v>1331</v>
      </c>
      <c r="W33" s="1029">
        <f t="shared" si="14"/>
        <v>100</v>
      </c>
      <c r="X33" s="1015"/>
      <c r="Y33" s="990" t="s">
        <v>1364</v>
      </c>
      <c r="Z33" s="1002" t="str">
        <f t="shared" si="15"/>
        <v>建筑类型</v>
      </c>
      <c r="AA33" s="1044">
        <f t="shared" si="3"/>
        <v>1</v>
      </c>
      <c r="AB33" s="1044">
        <f t="shared" si="4"/>
        <v>1</v>
      </c>
      <c r="AC33" s="2557">
        <f t="shared" si="5"/>
        <v>1</v>
      </c>
    </row>
    <row r="34" s="786" customFormat="1" ht="15" spans="1:29">
      <c r="A34" s="893"/>
      <c r="B34" s="834" t="s">
        <v>1365</v>
      </c>
      <c r="C34" s="1219">
        <f>面积!C27</f>
        <v>854.48</v>
      </c>
      <c r="D34" s="836">
        <v>100</v>
      </c>
      <c r="E34" s="839">
        <v>224</v>
      </c>
      <c r="F34" s="1218">
        <f>LOOKUP(E34,104:104,105:105)-LOOKUP(C34,104:104,105:105)+100</f>
        <v>103</v>
      </c>
      <c r="G34" s="838">
        <v>401.81</v>
      </c>
      <c r="H34" s="836">
        <f>LOOKUP(G34,104:104,105:105)-LOOKUP(C34,104:104,105:105)+100</f>
        <v>102</v>
      </c>
      <c r="I34" s="838">
        <v>281.44</v>
      </c>
      <c r="J34" s="836">
        <f>LOOKUP(I34,104:104,105:105)-LOOKUP(C34,104:104,105:105)+100</f>
        <v>103</v>
      </c>
      <c r="K34" s="985"/>
      <c r="L34" s="976"/>
      <c r="M34" s="988"/>
      <c r="N34" s="988"/>
      <c r="O34" s="988"/>
      <c r="P34" s="1414"/>
      <c r="Q34" s="1264" t="str">
        <f t="shared" si="11"/>
        <v>项目建筑规模</v>
      </c>
      <c r="R34" s="1030" t="s">
        <v>1331</v>
      </c>
      <c r="S34" s="1031">
        <f t="shared" si="12"/>
        <v>103</v>
      </c>
      <c r="T34" s="1030" t="s">
        <v>1331</v>
      </c>
      <c r="U34" s="1031">
        <f t="shared" si="13"/>
        <v>102</v>
      </c>
      <c r="V34" s="1030" t="s">
        <v>1331</v>
      </c>
      <c r="W34" s="1031">
        <f t="shared" si="14"/>
        <v>103</v>
      </c>
      <c r="X34" s="1032"/>
      <c r="Y34" s="990"/>
      <c r="Z34" s="1045" t="str">
        <f t="shared" si="15"/>
        <v>项目建筑规模</v>
      </c>
      <c r="AA34" s="1044">
        <f t="shared" si="3"/>
        <v>0.970873786407767</v>
      </c>
      <c r="AB34" s="1044">
        <f t="shared" si="4"/>
        <v>0.980392156862745</v>
      </c>
      <c r="AC34" s="2557">
        <f t="shared" si="5"/>
        <v>0.970873786407767</v>
      </c>
    </row>
    <row r="35" ht="15" spans="1:29">
      <c r="A35" s="888"/>
      <c r="B35" s="834" t="s">
        <v>1366</v>
      </c>
      <c r="C35" s="1235" t="s">
        <v>1367</v>
      </c>
      <c r="D35" s="846">
        <v>100</v>
      </c>
      <c r="E35" s="1235" t="s">
        <v>1367</v>
      </c>
      <c r="F35" s="1225">
        <f>SUMIF(106:106,E35,107:107)-SUMIF(106:106,C35,107:107)+100</f>
        <v>100</v>
      </c>
      <c r="G35" s="1235" t="s">
        <v>1367</v>
      </c>
      <c r="H35" s="846">
        <f>SUMIF(106:106,G35,107:107)-SUMIF(106:106,C35,107:107)+100</f>
        <v>100</v>
      </c>
      <c r="I35" s="1235" t="s">
        <v>1367</v>
      </c>
      <c r="J35" s="846">
        <f>SUMIF(106:106,I35,107:107)-SUMIF(106:106,C35,107:107)+100</f>
        <v>100</v>
      </c>
      <c r="K35" s="986">
        <v>2</v>
      </c>
      <c r="L35" s="978"/>
      <c r="M35" s="962"/>
      <c r="N35" s="962"/>
      <c r="O35" s="962"/>
      <c r="P35" s="1414"/>
      <c r="Q35" s="548" t="str">
        <f t="shared" si="11"/>
        <v>建筑结构</v>
      </c>
      <c r="R35" s="1028" t="s">
        <v>1331</v>
      </c>
      <c r="S35" s="1029">
        <f t="shared" si="12"/>
        <v>100</v>
      </c>
      <c r="T35" s="1028" t="s">
        <v>1331</v>
      </c>
      <c r="U35" s="1029">
        <f t="shared" si="13"/>
        <v>100</v>
      </c>
      <c r="V35" s="1028" t="s">
        <v>1331</v>
      </c>
      <c r="W35" s="1029">
        <f t="shared" si="14"/>
        <v>100</v>
      </c>
      <c r="X35" s="1015"/>
      <c r="Y35" s="990"/>
      <c r="Z35" s="1002" t="str">
        <f t="shared" si="15"/>
        <v>建筑结构</v>
      </c>
      <c r="AA35" s="1044">
        <f t="shared" si="3"/>
        <v>1</v>
      </c>
      <c r="AB35" s="1044">
        <f t="shared" si="4"/>
        <v>1</v>
      </c>
      <c r="AC35" s="2557">
        <f t="shared" si="5"/>
        <v>1</v>
      </c>
    </row>
    <row r="36" ht="15" spans="1:29">
      <c r="A36" s="888"/>
      <c r="B36" s="834" t="s">
        <v>1368</v>
      </c>
      <c r="C36" s="1235" t="s">
        <v>1369</v>
      </c>
      <c r="D36" s="846">
        <v>100</v>
      </c>
      <c r="E36" s="1235" t="s">
        <v>1369</v>
      </c>
      <c r="F36" s="1225">
        <f>SUMIF(108:108,E36,109:109)-SUMIF(108:108,C36,109:109)+100</f>
        <v>100</v>
      </c>
      <c r="G36" s="1235" t="s">
        <v>1369</v>
      </c>
      <c r="H36" s="846">
        <f>SUMIF(108:108,G36,109:109)-SUMIF(108:108,C36,109:109)+100</f>
        <v>100</v>
      </c>
      <c r="I36" s="1235" t="s">
        <v>1369</v>
      </c>
      <c r="J36" s="846">
        <f>SUMIF(108:108,I36,109:109)-SUMIF(108:108,C36,109:109)+100</f>
        <v>100</v>
      </c>
      <c r="K36" s="986">
        <v>1</v>
      </c>
      <c r="L36" s="978"/>
      <c r="M36" s="962"/>
      <c r="N36" s="962"/>
      <c r="O36" s="962"/>
      <c r="P36" s="1414"/>
      <c r="Q36" s="548" t="str">
        <f t="shared" si="11"/>
        <v>公共部分装修</v>
      </c>
      <c r="R36" s="1028" t="s">
        <v>1331</v>
      </c>
      <c r="S36" s="1029">
        <f t="shared" si="12"/>
        <v>100</v>
      </c>
      <c r="T36" s="1028" t="s">
        <v>1331</v>
      </c>
      <c r="U36" s="1029">
        <f t="shared" si="13"/>
        <v>100</v>
      </c>
      <c r="V36" s="1028" t="s">
        <v>1331</v>
      </c>
      <c r="W36" s="1029">
        <f t="shared" si="14"/>
        <v>100</v>
      </c>
      <c r="X36" s="1015"/>
      <c r="Y36" s="990"/>
      <c r="Z36" s="1002" t="str">
        <f t="shared" si="15"/>
        <v>公共部分装修</v>
      </c>
      <c r="AA36" s="1044">
        <f t="shared" si="3"/>
        <v>1</v>
      </c>
      <c r="AB36" s="1044">
        <f t="shared" si="4"/>
        <v>1</v>
      </c>
      <c r="AC36" s="2557">
        <f t="shared" si="5"/>
        <v>1</v>
      </c>
    </row>
    <row r="37" ht="15" spans="1:29">
      <c r="A37" s="888"/>
      <c r="B37" s="834" t="s">
        <v>619</v>
      </c>
      <c r="C37" s="1232">
        <f>'数据-取费表'!N6</f>
        <v>0.85</v>
      </c>
      <c r="D37" s="846">
        <v>100</v>
      </c>
      <c r="E37" s="1232">
        <v>0.8</v>
      </c>
      <c r="F37" s="1225">
        <f>LOOKUP(E37,111:111,112:112)-LOOKUP(C37,111:111,112:112)+100</f>
        <v>100</v>
      </c>
      <c r="G37" s="1232">
        <v>0.8</v>
      </c>
      <c r="H37" s="1225">
        <f>LOOKUP(G37,111:111,112:112)-LOOKUP(C37,111:111,112:112)+100</f>
        <v>100</v>
      </c>
      <c r="I37" s="1232">
        <v>0.82</v>
      </c>
      <c r="J37" s="846">
        <f>LOOKUP(I37,111:111,112:112)-LOOKUP(C37,111:111,112:112)+100</f>
        <v>100</v>
      </c>
      <c r="K37" s="986">
        <v>1</v>
      </c>
      <c r="L37" s="978"/>
      <c r="M37" s="962"/>
      <c r="N37" s="962"/>
      <c r="O37" s="962"/>
      <c r="P37" s="1414"/>
      <c r="Q37" s="548" t="str">
        <f t="shared" si="11"/>
        <v>成新度</v>
      </c>
      <c r="R37" s="1028" t="s">
        <v>1331</v>
      </c>
      <c r="S37" s="1029">
        <f t="shared" si="12"/>
        <v>100</v>
      </c>
      <c r="T37" s="1028" t="s">
        <v>1331</v>
      </c>
      <c r="U37" s="1029">
        <f t="shared" si="13"/>
        <v>100</v>
      </c>
      <c r="V37" s="1028" t="s">
        <v>1331</v>
      </c>
      <c r="W37" s="1029">
        <f t="shared" si="14"/>
        <v>100</v>
      </c>
      <c r="X37" s="1015"/>
      <c r="Y37" s="990"/>
      <c r="Z37" s="1002" t="str">
        <f t="shared" si="15"/>
        <v>成新度</v>
      </c>
      <c r="AA37" s="1044">
        <f t="shared" si="3"/>
        <v>1</v>
      </c>
      <c r="AB37" s="1044">
        <f t="shared" si="4"/>
        <v>1</v>
      </c>
      <c r="AC37" s="2557">
        <f t="shared" si="5"/>
        <v>1</v>
      </c>
    </row>
    <row r="38" s="784" customFormat="1" ht="15" spans="1:29">
      <c r="A38" s="890"/>
      <c r="B38" s="834" t="s">
        <v>1370</v>
      </c>
      <c r="C38" s="1235" t="s">
        <v>1371</v>
      </c>
      <c r="D38" s="836">
        <v>100</v>
      </c>
      <c r="E38" s="1235" t="s">
        <v>1372</v>
      </c>
      <c r="F38" s="1225">
        <f>SUMIF(113:113,E38,114:114)-SUMIF(113:113,C38,114:114)+100</f>
        <v>95</v>
      </c>
      <c r="G38" s="1235" t="s">
        <v>1372</v>
      </c>
      <c r="H38" s="846">
        <f>SUMIF(113:113,G38,114:114)-SUMIF(113:113,C38,114:114)+100</f>
        <v>95</v>
      </c>
      <c r="I38" s="1235" t="s">
        <v>1372</v>
      </c>
      <c r="J38" s="846">
        <f>SUMIF(113:113,I38,114:114)-SUMIF(113:113,C38,114:114)+100</f>
        <v>95</v>
      </c>
      <c r="K38" s="986">
        <v>5</v>
      </c>
      <c r="L38" s="967"/>
      <c r="M38" s="968"/>
      <c r="N38" s="968"/>
      <c r="O38" s="968"/>
      <c r="P38" s="1414"/>
      <c r="Q38" s="1027" t="str">
        <f t="shared" si="11"/>
        <v>写字楼等级</v>
      </c>
      <c r="R38" s="1023" t="s">
        <v>1331</v>
      </c>
      <c r="S38" s="1024">
        <f t="shared" si="12"/>
        <v>95</v>
      </c>
      <c r="T38" s="1023" t="s">
        <v>1331</v>
      </c>
      <c r="U38" s="1024">
        <f t="shared" si="13"/>
        <v>95</v>
      </c>
      <c r="V38" s="1023" t="s">
        <v>1331</v>
      </c>
      <c r="W38" s="1024">
        <f t="shared" si="14"/>
        <v>95</v>
      </c>
      <c r="X38" s="1025"/>
      <c r="Y38" s="990"/>
      <c r="Z38" s="1043" t="str">
        <f t="shared" si="15"/>
        <v>写字楼等级</v>
      </c>
      <c r="AA38" s="1042">
        <f t="shared" si="3"/>
        <v>1.05263157894737</v>
      </c>
      <c r="AB38" s="1042">
        <f t="shared" si="4"/>
        <v>1.05263157894737</v>
      </c>
      <c r="AC38" s="2556">
        <f t="shared" si="5"/>
        <v>1.05263157894737</v>
      </c>
    </row>
    <row r="39" ht="15" spans="1:29">
      <c r="A39" s="888"/>
      <c r="B39" s="834" t="s">
        <v>1373</v>
      </c>
      <c r="C39" s="1235" t="s">
        <v>1374</v>
      </c>
      <c r="D39" s="846">
        <v>100</v>
      </c>
      <c r="E39" s="1235" t="s">
        <v>1374</v>
      </c>
      <c r="F39" s="1225">
        <f>SUMIF(115:115,E39,116:116)-SUMIF(115:115,C39,116:116)+100</f>
        <v>100</v>
      </c>
      <c r="G39" s="1235" t="s">
        <v>1374</v>
      </c>
      <c r="H39" s="846">
        <f>SUMIF(115:115,G39,116:116)-SUMIF(115:115,C39,116:116)+100</f>
        <v>100</v>
      </c>
      <c r="I39" s="1235" t="s">
        <v>1374</v>
      </c>
      <c r="J39" s="846">
        <f>SUMIF(115:115,I39,116:116)-SUMIF(115:115,C39,116:116)+100</f>
        <v>100</v>
      </c>
      <c r="K39" s="986">
        <v>1</v>
      </c>
      <c r="L39" s="978"/>
      <c r="M39" s="962"/>
      <c r="N39" s="962"/>
      <c r="O39" s="962"/>
      <c r="P39" s="1414" t="s">
        <v>1364</v>
      </c>
      <c r="Q39" s="548" t="str">
        <f t="shared" si="11"/>
        <v>物业管理</v>
      </c>
      <c r="R39" s="1028" t="s">
        <v>1331</v>
      </c>
      <c r="S39" s="1029">
        <f t="shared" si="12"/>
        <v>100</v>
      </c>
      <c r="T39" s="1028" t="s">
        <v>1331</v>
      </c>
      <c r="U39" s="1029">
        <f t="shared" si="13"/>
        <v>100</v>
      </c>
      <c r="V39" s="1028" t="s">
        <v>1331</v>
      </c>
      <c r="W39" s="1029">
        <f t="shared" si="14"/>
        <v>100</v>
      </c>
      <c r="X39" s="1015"/>
      <c r="Y39" s="990" t="s">
        <v>1364</v>
      </c>
      <c r="Z39" s="1002" t="str">
        <f t="shared" si="15"/>
        <v>物业管理</v>
      </c>
      <c r="AA39" s="1044">
        <f t="shared" si="3"/>
        <v>1</v>
      </c>
      <c r="AB39" s="1044">
        <f t="shared" si="4"/>
        <v>1</v>
      </c>
      <c r="AC39" s="2557">
        <f t="shared" si="5"/>
        <v>1</v>
      </c>
    </row>
    <row r="40" ht="15" spans="1:29">
      <c r="A40" s="888"/>
      <c r="B40" s="834" t="s">
        <v>1375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1331</v>
      </c>
      <c r="S40" s="1029">
        <f t="shared" si="12"/>
        <v>100</v>
      </c>
      <c r="T40" s="1028" t="s">
        <v>1331</v>
      </c>
      <c r="U40" s="1029">
        <f t="shared" si="13"/>
        <v>100</v>
      </c>
      <c r="V40" s="1028" t="s">
        <v>1331</v>
      </c>
      <c r="W40" s="1029">
        <f t="shared" si="14"/>
        <v>100</v>
      </c>
      <c r="X40" s="1015"/>
      <c r="Y40" s="990"/>
      <c r="Z40" s="1002" t="str">
        <f t="shared" si="15"/>
        <v>市政基础设施</v>
      </c>
      <c r="AA40" s="1044">
        <f t="shared" si="3"/>
        <v>1</v>
      </c>
      <c r="AB40" s="1044">
        <f t="shared" si="4"/>
        <v>1</v>
      </c>
      <c r="AC40" s="2557">
        <f t="shared" si="5"/>
        <v>1</v>
      </c>
    </row>
    <row r="41" ht="15" spans="1:29">
      <c r="A41" s="888"/>
      <c r="B41" s="834" t="s">
        <v>1376</v>
      </c>
      <c r="C41" s="871" t="s">
        <v>1377</v>
      </c>
      <c r="D41" s="846">
        <v>100</v>
      </c>
      <c r="E41" s="871" t="s">
        <v>1377</v>
      </c>
      <c r="F41" s="1225">
        <f>SUMIF(119:119,E41,120:120)-SUMIF(119:119,C41,120:120)+100</f>
        <v>100</v>
      </c>
      <c r="G41" s="871" t="s">
        <v>1377</v>
      </c>
      <c r="H41" s="846">
        <f>SUMIF(119:119,G41,120:120)-SUMIF(119:119,C41,120:120)+100</f>
        <v>100</v>
      </c>
      <c r="I41" s="871" t="s">
        <v>1377</v>
      </c>
      <c r="J41" s="846">
        <f>SUMIF(119:119,I41,120:120)-SUMIF(119:119,C41,120:120)+100</f>
        <v>100</v>
      </c>
      <c r="K41" s="986">
        <v>2</v>
      </c>
      <c r="L41" s="978"/>
      <c r="M41" s="962"/>
      <c r="N41" s="962"/>
      <c r="O41" s="962"/>
      <c r="P41" s="1414"/>
      <c r="Q41" s="548" t="str">
        <f t="shared" si="11"/>
        <v>层高</v>
      </c>
      <c r="R41" s="1028" t="s">
        <v>1331</v>
      </c>
      <c r="S41" s="1029">
        <f t="shared" si="12"/>
        <v>100</v>
      </c>
      <c r="T41" s="1028" t="s">
        <v>1331</v>
      </c>
      <c r="U41" s="1029">
        <f t="shared" si="13"/>
        <v>100</v>
      </c>
      <c r="V41" s="1028" t="s">
        <v>1331</v>
      </c>
      <c r="W41" s="1029">
        <f t="shared" si="14"/>
        <v>100</v>
      </c>
      <c r="X41" s="1015"/>
      <c r="Y41" s="990"/>
      <c r="Z41" s="1002" t="str">
        <f t="shared" si="15"/>
        <v>层高</v>
      </c>
      <c r="AA41" s="1044">
        <f t="shared" si="3"/>
        <v>1</v>
      </c>
      <c r="AB41" s="1044">
        <f t="shared" si="4"/>
        <v>1</v>
      </c>
      <c r="AC41" s="2557">
        <f t="shared" si="5"/>
        <v>1</v>
      </c>
    </row>
    <row r="42" s="786" customFormat="1" ht="15" spans="1:29">
      <c r="A42" s="893"/>
      <c r="B42" s="997" t="s">
        <v>1378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1331</v>
      </c>
      <c r="S42" s="1031">
        <f t="shared" si="12"/>
        <v>100</v>
      </c>
      <c r="T42" s="1030" t="s">
        <v>1331</v>
      </c>
      <c r="U42" s="1031">
        <f t="shared" si="13"/>
        <v>100</v>
      </c>
      <c r="V42" s="1030" t="s">
        <v>1331</v>
      </c>
      <c r="W42" s="1031">
        <f t="shared" si="14"/>
        <v>100</v>
      </c>
      <c r="X42" s="1032"/>
      <c r="Y42" s="990"/>
      <c r="Z42" s="1045" t="str">
        <f t="shared" si="15"/>
        <v>单套建筑面积</v>
      </c>
      <c r="AA42" s="1044">
        <f t="shared" si="3"/>
        <v>1</v>
      </c>
      <c r="AB42" s="1044">
        <f t="shared" si="4"/>
        <v>1</v>
      </c>
      <c r="AC42" s="2557">
        <f t="shared" si="5"/>
        <v>1</v>
      </c>
    </row>
    <row r="43" ht="15" spans="1:29">
      <c r="A43" s="888"/>
      <c r="B43" s="834" t="s">
        <v>1379</v>
      </c>
      <c r="C43" s="1235" t="s">
        <v>1380</v>
      </c>
      <c r="D43" s="846">
        <v>100</v>
      </c>
      <c r="E43" s="1235" t="s">
        <v>1380</v>
      </c>
      <c r="F43" s="1225">
        <f>SUMIF(123:123,E43,124:124)-SUMIF(123:123,C43,124:124)+100</f>
        <v>100</v>
      </c>
      <c r="G43" s="1235" t="s">
        <v>1380</v>
      </c>
      <c r="H43" s="846">
        <f>SUMIF(123:123,G43,124:124)-SUMIF(123:123,C43,124:124)+100</f>
        <v>100</v>
      </c>
      <c r="I43" s="1235" t="s">
        <v>1380</v>
      </c>
      <c r="J43" s="846">
        <f>SUMIF(123:123,I43,124:124)-SUMIF(123:123,C43,124:124)+100</f>
        <v>100</v>
      </c>
      <c r="K43" s="986">
        <v>2</v>
      </c>
      <c r="L43" s="978"/>
      <c r="M43" s="962"/>
      <c r="N43" s="962"/>
      <c r="O43" s="962"/>
      <c r="P43" s="1414"/>
      <c r="Q43" s="548" t="str">
        <f t="shared" si="11"/>
        <v>内部装修</v>
      </c>
      <c r="R43" s="1028" t="s">
        <v>1331</v>
      </c>
      <c r="S43" s="1029">
        <f t="shared" si="12"/>
        <v>100</v>
      </c>
      <c r="T43" s="1028" t="s">
        <v>1331</v>
      </c>
      <c r="U43" s="1029">
        <f t="shared" si="13"/>
        <v>100</v>
      </c>
      <c r="V43" s="1028" t="s">
        <v>1331</v>
      </c>
      <c r="W43" s="1029">
        <f t="shared" si="14"/>
        <v>100</v>
      </c>
      <c r="X43" s="1015"/>
      <c r="Y43" s="990"/>
      <c r="Z43" s="1002" t="str">
        <f t="shared" si="15"/>
        <v>内部装修</v>
      </c>
      <c r="AA43" s="1044">
        <f t="shared" si="3"/>
        <v>1</v>
      </c>
      <c r="AB43" s="1044">
        <f t="shared" si="4"/>
        <v>1</v>
      </c>
      <c r="AC43" s="2557">
        <f t="shared" si="5"/>
        <v>1</v>
      </c>
    </row>
    <row r="44" ht="15" spans="1:29">
      <c r="A44" s="888"/>
      <c r="B44" s="834" t="s">
        <v>1381</v>
      </c>
      <c r="C44" s="1235" t="s">
        <v>1346</v>
      </c>
      <c r="D44" s="846">
        <v>100</v>
      </c>
      <c r="E44" s="889" t="s">
        <v>1346</v>
      </c>
      <c r="F44" s="1225">
        <f>SUMIF(125:125,E44,126:126)-SUMIF(125:125,C44,126:126)+100</f>
        <v>100</v>
      </c>
      <c r="G44" s="889" t="s">
        <v>1346</v>
      </c>
      <c r="H44" s="846">
        <f>SUMIF(125:125,G44,126:126)-SUMIF(125:125,C44,126:126)+100</f>
        <v>100</v>
      </c>
      <c r="I44" s="889" t="s">
        <v>1346</v>
      </c>
      <c r="J44" s="846">
        <f>SUMIF(125:125,I44,126:126)-SUMIF(125:125,C44,126:126)+100</f>
        <v>100</v>
      </c>
      <c r="K44" s="986">
        <v>1</v>
      </c>
      <c r="L44" s="978"/>
      <c r="M44" s="962"/>
      <c r="N44" s="962"/>
      <c r="O44" s="962"/>
      <c r="P44" s="1414"/>
      <c r="Q44" s="548" t="str">
        <f t="shared" si="11"/>
        <v>内部装修维护情况</v>
      </c>
      <c r="R44" s="1028" t="s">
        <v>1331</v>
      </c>
      <c r="S44" s="1029">
        <f t="shared" si="12"/>
        <v>100</v>
      </c>
      <c r="T44" s="1028" t="s">
        <v>1331</v>
      </c>
      <c r="U44" s="1029">
        <f t="shared" si="13"/>
        <v>100</v>
      </c>
      <c r="V44" s="1028" t="s">
        <v>1331</v>
      </c>
      <c r="W44" s="1029">
        <f t="shared" si="14"/>
        <v>100</v>
      </c>
      <c r="X44" s="1015"/>
      <c r="Y44" s="990"/>
      <c r="Z44" s="1002" t="str">
        <f t="shared" si="15"/>
        <v>内部装修维护情况</v>
      </c>
      <c r="AA44" s="1044">
        <f t="shared" si="3"/>
        <v>1</v>
      </c>
      <c r="AB44" s="1044">
        <f t="shared" si="4"/>
        <v>1</v>
      </c>
      <c r="AC44" s="2557">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1331</v>
      </c>
      <c r="S45" s="1024">
        <f t="shared" si="12"/>
        <v>100</v>
      </c>
      <c r="T45" s="1023" t="s">
        <v>1331</v>
      </c>
      <c r="U45" s="1024">
        <f t="shared" si="13"/>
        <v>100</v>
      </c>
      <c r="V45" s="1023" t="s">
        <v>1331</v>
      </c>
      <c r="W45" s="1024">
        <f t="shared" si="14"/>
        <v>100</v>
      </c>
      <c r="X45" s="1025"/>
      <c r="Y45" s="990"/>
      <c r="Z45" s="1043">
        <f t="shared" si="15"/>
        <v>111</v>
      </c>
      <c r="AA45" s="1042">
        <f t="shared" si="3"/>
        <v>1</v>
      </c>
      <c r="AB45" s="1042">
        <f t="shared" si="4"/>
        <v>1</v>
      </c>
      <c r="AC45" s="2556">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1331</v>
      </c>
      <c r="S46" s="1029">
        <f t="shared" si="12"/>
        <v>100</v>
      </c>
      <c r="T46" s="1028" t="s">
        <v>1331</v>
      </c>
      <c r="U46" s="1029">
        <f t="shared" si="13"/>
        <v>100</v>
      </c>
      <c r="V46" s="1028" t="s">
        <v>1331</v>
      </c>
      <c r="W46" s="1029">
        <f t="shared" si="14"/>
        <v>100</v>
      </c>
      <c r="X46" s="1015"/>
      <c r="Y46" s="990"/>
      <c r="Z46" s="1002">
        <f t="shared" si="15"/>
        <v>111</v>
      </c>
      <c r="AA46" s="1044">
        <f t="shared" si="3"/>
        <v>1</v>
      </c>
      <c r="AB46" s="1044">
        <f t="shared" si="4"/>
        <v>1</v>
      </c>
      <c r="AC46" s="2557">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1331</v>
      </c>
      <c r="S47" s="1029">
        <f t="shared" si="12"/>
        <v>100</v>
      </c>
      <c r="T47" s="1028" t="s">
        <v>1331</v>
      </c>
      <c r="U47" s="1029">
        <f t="shared" si="13"/>
        <v>100</v>
      </c>
      <c r="V47" s="1028" t="s">
        <v>1331</v>
      </c>
      <c r="W47" s="1029">
        <f t="shared" si="14"/>
        <v>100</v>
      </c>
      <c r="X47" s="1015"/>
      <c r="Y47" s="1355"/>
      <c r="Z47" s="1002">
        <f t="shared" si="15"/>
        <v>111</v>
      </c>
      <c r="AA47" s="1044">
        <f t="shared" si="3"/>
        <v>1</v>
      </c>
      <c r="AB47" s="1044">
        <f t="shared" si="4"/>
        <v>1</v>
      </c>
      <c r="AC47" s="2557">
        <f t="shared" si="5"/>
        <v>1</v>
      </c>
    </row>
    <row r="48" ht="15" spans="1:29">
      <c r="A48" s="895" t="s">
        <v>1382</v>
      </c>
      <c r="B48" s="1239"/>
      <c r="C48" s="1240" t="s">
        <v>124</v>
      </c>
      <c r="D48" s="1241"/>
      <c r="E48" s="1242">
        <v>52264</v>
      </c>
      <c r="F48" s="1243"/>
      <c r="G48" s="1244">
        <v>51339</v>
      </c>
      <c r="H48" s="1245"/>
      <c r="I48" s="1242">
        <v>49993</v>
      </c>
      <c r="J48" s="902"/>
      <c r="K48" s="993"/>
      <c r="L48" s="994"/>
      <c r="M48" s="962"/>
      <c r="N48" s="962"/>
      <c r="O48" s="962"/>
      <c r="P48" s="932" t="str">
        <f>A48</f>
        <v>成交单价（元/平方米）</v>
      </c>
      <c r="Q48" s="548"/>
      <c r="R48" s="1044">
        <f>E48</f>
        <v>52264</v>
      </c>
      <c r="S48" s="1044"/>
      <c r="T48" s="1044">
        <f>G48</f>
        <v>51339</v>
      </c>
      <c r="U48" s="1044"/>
      <c r="V48" s="1044">
        <f>I48</f>
        <v>49993</v>
      </c>
      <c r="W48" s="1044"/>
      <c r="X48" s="1171"/>
      <c r="Y48" s="1046"/>
      <c r="Z48" s="1171"/>
      <c r="AA48" s="1171"/>
      <c r="AB48" s="1171"/>
      <c r="AC48" s="856"/>
    </row>
    <row r="49" ht="15.75" spans="1:29">
      <c r="A49" s="903" t="s">
        <v>1383</v>
      </c>
      <c r="B49" s="1246"/>
      <c r="C49" s="1247">
        <f>R50</f>
        <v>54311</v>
      </c>
      <c r="D49" s="906" t="s">
        <v>1384</v>
      </c>
      <c r="E49" s="1248">
        <f>R49</f>
        <v>55064</v>
      </c>
      <c r="F49" s="907"/>
      <c r="G49" s="1247">
        <f>T49</f>
        <v>55735</v>
      </c>
      <c r="H49" s="907"/>
      <c r="I49" s="1248">
        <f>V49</f>
        <v>52134</v>
      </c>
      <c r="J49" s="907"/>
      <c r="K49" s="995">
        <f>F49+H49+J49</f>
        <v>0</v>
      </c>
      <c r="L49" s="994"/>
      <c r="M49" s="962"/>
      <c r="N49" s="962"/>
      <c r="O49" s="962"/>
      <c r="P49" s="932" t="str">
        <f>A49</f>
        <v>比较价值（元/平方米）</v>
      </c>
      <c r="Q49" s="548"/>
      <c r="R49" s="1044">
        <f>IF(F1="售价",ROUND(PRODUCT(R48,AA7:AA47),0),ROUND(PRODUCT(R48,AA7:AA47),1))</f>
        <v>55064</v>
      </c>
      <c r="S49" s="1044"/>
      <c r="T49" s="1044">
        <f>IF(F1="售价",ROUND(PRODUCT(T48,AB7:AB47),0),ROUND(PRODUCT(T48,AB7:AB47),1))</f>
        <v>55735</v>
      </c>
      <c r="U49" s="1044"/>
      <c r="V49" s="1044">
        <f>IF(F1="售价",ROUND(PRODUCT(V48,AC7:AC47),0),ROUND(PRODUCT(V48,AC7:AC47),1))</f>
        <v>52134</v>
      </c>
      <c r="W49" s="1044"/>
      <c r="X49" s="1171"/>
      <c r="Y49" s="1171"/>
      <c r="Z49" s="1171"/>
      <c r="AA49" s="1171"/>
      <c r="AB49" s="1171"/>
      <c r="AC49" s="856"/>
    </row>
    <row r="50" ht="15.75" spans="1:29">
      <c r="A50" s="909" t="s">
        <v>1385</v>
      </c>
      <c r="B50" s="910"/>
      <c r="C50" s="1249">
        <f>R50</f>
        <v>54311</v>
      </c>
      <c r="D50" s="1249"/>
      <c r="E50" s="1249"/>
      <c r="F50" s="1249"/>
      <c r="G50" s="1249"/>
      <c r="H50" s="1249"/>
      <c r="I50" s="1249"/>
      <c r="J50" s="911"/>
      <c r="K50" s="996"/>
      <c r="L50" s="994"/>
      <c r="M50" s="962"/>
      <c r="N50" s="962"/>
      <c r="O50" s="962"/>
      <c r="P50" s="2547" t="str">
        <f>A50</f>
        <v>估价对象XX用房的比较价值（楼面单价，元/平方米）</v>
      </c>
      <c r="Q50" s="2552"/>
      <c r="R50" s="2553">
        <f>IF(F1="售价",ROUND(IF(D49="简单平均",AVERAGE(R49:V49),R49*F49+T49*H49+V49*J49),0),ROUND(IF(D49="简单平均",AVERAGE(R49:V49),R49*F49+T49*H49+V49*J49),1))</f>
        <v>54311</v>
      </c>
      <c r="S50" s="2553"/>
      <c r="T50" s="2553"/>
      <c r="U50" s="2553"/>
      <c r="V50" s="2553"/>
      <c r="W50" s="2553"/>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1386</v>
      </c>
      <c r="D53" s="590"/>
      <c r="E53" s="915">
        <f>IF(E48&lt;E49,E49/E48-1,E48/E49-1)</f>
        <v>0.053574161947038</v>
      </c>
      <c r="F53" s="916" t="str">
        <f>IF(OR(E53&gt;=0.3,E53&lt;=-0.3),"超过30%","")</f>
        <v/>
      </c>
      <c r="G53" s="915">
        <f>IF(G48&lt;G49,G49/G48-1,G48/G49-1)</f>
        <v>0.0856269113149848</v>
      </c>
      <c r="H53" s="916" t="str">
        <f>IF(OR(G53&gt;=0.3,G53&lt;=-0.3),"超过30%","")</f>
        <v/>
      </c>
      <c r="I53" s="915">
        <f>IF(I48&lt;I49,I49/I48-1,I48/I49-1)</f>
        <v>0.0428259956393895</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1387</v>
      </c>
      <c r="D54" s="589"/>
      <c r="E54" s="915">
        <f>IF(E49&lt;G49,G49/E49-1,E49/G49-1)</f>
        <v>0.0121858201365683</v>
      </c>
      <c r="F54" s="916" t="str">
        <f>IF(OR(E54&gt;=0.2,E54&lt;=-0.2),"超过20%","")</f>
        <v/>
      </c>
      <c r="G54" s="915">
        <f>IF(G49&lt;I49,I49/G49-1,G49/I49-1)</f>
        <v>0.0690720067518318</v>
      </c>
      <c r="H54" s="916" t="str">
        <f>IF(OR(G54&gt;=0.2,G54&lt;=-0.2),"超过20%","")</f>
        <v/>
      </c>
      <c r="I54" s="915">
        <f>IF(I49&lt;E49,E49/I49-1,I49/E49-1)</f>
        <v>0.0562013273487552</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1388</v>
      </c>
      <c r="D55" s="589"/>
      <c r="E55" s="915">
        <f>IF(E48&lt;G48,G48/E48-1,E48/G48-1)</f>
        <v>0.0180174915756053</v>
      </c>
      <c r="F55" s="916" t="str">
        <f>IF(OR(E55&gt;=0.3,E55&lt;=-0.3),"超过30%","")</f>
        <v/>
      </c>
      <c r="G55" s="915">
        <f>IF(G48&lt;I48,I48/G48-1,G48/I48-1)</f>
        <v>0.0269237693277058</v>
      </c>
      <c r="H55" s="916" t="str">
        <f>IF(OR(G55&gt;=0.3,G55&lt;=-0.3),"超过30%","")</f>
        <v/>
      </c>
      <c r="I55" s="915">
        <f>IF(I48&lt;E48,E48/I48-1,I48/E48-1)</f>
        <v>0.0454263596903566</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1389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1329</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1390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1332</v>
      </c>
      <c r="B62" s="1058"/>
      <c r="C62" s="1059" t="s">
        <v>1333</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1391</v>
      </c>
      <c r="B64" s="1064" t="s">
        <v>1337</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1340</v>
      </c>
      <c r="C66" s="1069" t="s">
        <v>1392</v>
      </c>
      <c r="D66" s="1069" t="s">
        <v>1393</v>
      </c>
      <c r="E66" s="1069" t="s">
        <v>1394</v>
      </c>
      <c r="F66" s="1069" t="s">
        <v>1395</v>
      </c>
      <c r="G66" s="1069" t="s">
        <v>1396</v>
      </c>
      <c r="H66" s="1069" t="s">
        <v>1397</v>
      </c>
      <c r="I66" s="1069" t="s">
        <v>1398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1399</v>
      </c>
      <c r="D67" s="1071" t="s">
        <v>1399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1342</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8"/>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1343</v>
      </c>
      <c r="B77" s="1064" t="s">
        <v>1344</v>
      </c>
      <c r="C77" s="1085" t="s">
        <v>1400</v>
      </c>
      <c r="D77" s="1085" t="s">
        <v>1401</v>
      </c>
      <c r="E77" s="1085" t="s">
        <v>1402</v>
      </c>
      <c r="F77" s="1085" t="s">
        <v>1403</v>
      </c>
      <c r="G77" s="1085" t="s">
        <v>1404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1347</v>
      </c>
      <c r="C79" s="1087" t="s">
        <v>1400</v>
      </c>
      <c r="D79" s="1087" t="s">
        <v>1401</v>
      </c>
      <c r="E79" s="1087" t="s">
        <v>1402</v>
      </c>
      <c r="F79" s="1087" t="s">
        <v>1403</v>
      </c>
      <c r="G79" s="1087" t="s">
        <v>1404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1349</v>
      </c>
      <c r="C81" s="1087" t="s">
        <v>1400</v>
      </c>
      <c r="D81" s="1087" t="s">
        <v>1401</v>
      </c>
      <c r="E81" s="1087" t="s">
        <v>1402</v>
      </c>
      <c r="F81" s="1087" t="s">
        <v>1403</v>
      </c>
      <c r="G81" s="1087" t="s">
        <v>1404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1350</v>
      </c>
      <c r="C83" s="1092" t="s">
        <v>1405</v>
      </c>
      <c r="D83" s="1092" t="s">
        <v>1406</v>
      </c>
      <c r="E83" s="1092" t="s">
        <v>1407</v>
      </c>
      <c r="F83" s="1092" t="s">
        <v>1408</v>
      </c>
      <c r="G83" s="1092" t="s">
        <v>1409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1351</v>
      </c>
      <c r="C85" s="1087" t="s">
        <v>1400</v>
      </c>
      <c r="D85" s="1087" t="s">
        <v>1401</v>
      </c>
      <c r="E85" s="1087" t="s">
        <v>1402</v>
      </c>
      <c r="F85" s="1087" t="s">
        <v>1403</v>
      </c>
      <c r="G85" s="1087" t="s">
        <v>1404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1352</v>
      </c>
      <c r="C87" s="2000" t="s">
        <v>1355</v>
      </c>
      <c r="D87" s="2000" t="s">
        <v>1410</v>
      </c>
      <c r="E87" s="2000" t="s">
        <v>1411</v>
      </c>
      <c r="F87" s="2000" t="s">
        <v>1356</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1358</v>
      </c>
      <c r="D89" s="2000" t="s">
        <v>1412</v>
      </c>
      <c r="E89" s="2000" t="s">
        <v>1359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99</v>
      </c>
      <c r="E90" s="1071">
        <f t="shared" ref="E90:M90" si="20">D90-$K27</f>
        <v>98</v>
      </c>
      <c r="F90" s="1071">
        <f t="shared" si="20"/>
        <v>97</v>
      </c>
      <c r="G90" s="1071">
        <f t="shared" si="20"/>
        <v>96</v>
      </c>
      <c r="H90" s="1071">
        <f t="shared" si="20"/>
        <v>95</v>
      </c>
      <c r="I90" s="1071">
        <f t="shared" si="20"/>
        <v>94</v>
      </c>
      <c r="J90" s="1071">
        <f t="shared" si="20"/>
        <v>93</v>
      </c>
      <c r="K90" s="1071">
        <f t="shared" si="20"/>
        <v>92</v>
      </c>
      <c r="L90" s="1071">
        <f t="shared" si="20"/>
        <v>91</v>
      </c>
      <c r="M90" s="1071">
        <f t="shared" si="20"/>
        <v>90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1361</v>
      </c>
      <c r="B101" s="1064" t="s">
        <v>1362</v>
      </c>
      <c r="C101" s="2128" t="s">
        <v>1363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1365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1366</v>
      </c>
      <c r="C106" s="2000" t="s">
        <v>1367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1368</v>
      </c>
      <c r="C108" s="2000" t="s">
        <v>1369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619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1370</v>
      </c>
      <c r="C113" s="2000" t="s">
        <v>1371</v>
      </c>
      <c r="D113" s="2000" t="s">
        <v>1372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95</v>
      </c>
      <c r="E114" s="1071">
        <f t="shared" ref="E114:M114" si="27">D114-$K38</f>
        <v>90</v>
      </c>
      <c r="F114" s="1071">
        <f t="shared" si="27"/>
        <v>85</v>
      </c>
      <c r="G114" s="1071">
        <f t="shared" si="27"/>
        <v>80</v>
      </c>
      <c r="H114" s="1071">
        <f t="shared" si="27"/>
        <v>75</v>
      </c>
      <c r="I114" s="1071">
        <f t="shared" si="27"/>
        <v>70</v>
      </c>
      <c r="J114" s="1071">
        <f t="shared" si="27"/>
        <v>65</v>
      </c>
      <c r="K114" s="1071">
        <f t="shared" si="27"/>
        <v>60</v>
      </c>
      <c r="L114" s="1071">
        <f t="shared" si="27"/>
        <v>55</v>
      </c>
      <c r="M114" s="1071">
        <f t="shared" si="27"/>
        <v>50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1373</v>
      </c>
      <c r="C115" s="2000" t="s">
        <v>1374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1375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1413</v>
      </c>
      <c r="C119" s="2130" t="s">
        <v>1377</v>
      </c>
      <c r="D119" s="1093"/>
      <c r="E119" s="1093"/>
      <c r="F119" s="1093"/>
      <c r="G119" s="1093"/>
      <c r="H119" s="1093"/>
      <c r="I119" s="1093"/>
      <c r="J119" s="1093"/>
      <c r="K119" s="1093"/>
      <c r="L119" s="2559"/>
      <c r="M119" s="2560"/>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1414</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1379</v>
      </c>
      <c r="C123" s="2000" t="s">
        <v>1369</v>
      </c>
      <c r="D123" s="2000" t="s">
        <v>1380</v>
      </c>
      <c r="E123" s="2000" t="s">
        <v>1415</v>
      </c>
      <c r="F123" s="2130" t="s">
        <v>1416</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1381</v>
      </c>
      <c r="C125" s="1087" t="s">
        <v>1400</v>
      </c>
      <c r="D125" s="1087" t="s">
        <v>1401</v>
      </c>
      <c r="E125" s="1087" t="s">
        <v>1402</v>
      </c>
      <c r="F125" s="1087" t="s">
        <v>1403</v>
      </c>
      <c r="G125" s="1087" t="s">
        <v>1404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2" sqref="O3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8" activePane="bottomLeft" state="frozen"/>
      <selection/>
      <selection pane="bottomLeft" activeCell="T32" sqref="T3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1417</v>
      </c>
      <c r="C1" s="1988" t="s">
        <v>1418</v>
      </c>
      <c r="D1" s="1989"/>
      <c r="E1" s="1989"/>
      <c r="F1" s="1989"/>
      <c r="G1" s="1989"/>
      <c r="H1" s="1989"/>
      <c r="I1" s="1989"/>
      <c r="J1" s="1989"/>
      <c r="K1" s="1989"/>
      <c r="L1" s="1989"/>
      <c r="M1" s="1989"/>
      <c r="N1" s="1989"/>
      <c r="O1" s="1989"/>
      <c r="P1" s="1989"/>
      <c r="Q1" s="1989"/>
      <c r="R1" s="1989"/>
      <c r="S1" s="2068"/>
      <c r="T1" s="1987" t="s">
        <v>1419</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v>1500</v>
      </c>
      <c r="J3" s="2046"/>
      <c r="K3" s="2046"/>
      <c r="L3" s="2526"/>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v>95</v>
      </c>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1420</v>
      </c>
      <c r="C5" s="2000" t="s">
        <v>1358</v>
      </c>
      <c r="D5" s="2000" t="s">
        <v>1412</v>
      </c>
      <c r="E5" s="2000" t="s">
        <v>1359</v>
      </c>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99</v>
      </c>
      <c r="E6" s="2004">
        <f t="shared" ref="E6:S6" si="7">D6-$T5</f>
        <v>98</v>
      </c>
      <c r="F6" s="2005">
        <f t="shared" si="7"/>
        <v>97</v>
      </c>
      <c r="G6" s="2005">
        <f t="shared" si="7"/>
        <v>96</v>
      </c>
      <c r="H6" s="2005">
        <f t="shared" si="7"/>
        <v>95</v>
      </c>
      <c r="I6" s="2005">
        <f t="shared" si="7"/>
        <v>94</v>
      </c>
      <c r="J6" s="2005">
        <f t="shared" si="7"/>
        <v>93</v>
      </c>
      <c r="K6" s="2005">
        <f t="shared" si="7"/>
        <v>92</v>
      </c>
      <c r="L6" s="2005">
        <f t="shared" si="7"/>
        <v>91</v>
      </c>
      <c r="M6" s="2005">
        <f t="shared" si="7"/>
        <v>90</v>
      </c>
      <c r="N6" s="2005">
        <f t="shared" si="7"/>
        <v>89</v>
      </c>
      <c r="O6" s="2005">
        <f t="shared" si="7"/>
        <v>88</v>
      </c>
      <c r="P6" s="2005">
        <f t="shared" si="7"/>
        <v>87</v>
      </c>
      <c r="Q6" s="2005">
        <f t="shared" si="7"/>
        <v>86</v>
      </c>
      <c r="R6" s="2005">
        <f t="shared" si="7"/>
        <v>85</v>
      </c>
      <c r="S6" s="2005">
        <f t="shared" si="7"/>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1421</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1422</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1423</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1424</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1425</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1426</v>
      </c>
      <c r="B17" s="2019" t="s">
        <v>1427</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1428</v>
      </c>
      <c r="E19" s="2030"/>
      <c r="F19" s="2030"/>
      <c r="G19" s="2030"/>
      <c r="H19" s="1660"/>
      <c r="I19" s="2028"/>
      <c r="J19" s="2028"/>
      <c r="K19" s="2028"/>
      <c r="L19" s="2028"/>
      <c r="M19" s="2028"/>
      <c r="N19" s="2028"/>
      <c r="O19" s="2028"/>
      <c r="P19" s="2028"/>
      <c r="Q19" s="2028"/>
      <c r="R19" s="2093"/>
      <c r="S19" s="2027"/>
    </row>
    <row r="20" ht="16.5" spans="1:19">
      <c r="A20" s="2031" t="s">
        <v>1429</v>
      </c>
      <c r="B20" s="2032">
        <f ca="1">IF(D20="——",S22,S22-F20)</f>
        <v>335938</v>
      </c>
      <c r="C20" s="2028"/>
      <c r="D20" s="2033" t="s">
        <v>124</v>
      </c>
      <c r="E20" s="2034"/>
      <c r="F20" s="1987" t="e">
        <f ca="1">SUMIF(INDIRECT("'"&amp;H20&amp;"'"&amp;"!A:A"),"承租人权益价值",INDIRECT("'"&amp;H20&amp;"'"&amp;"!c:c"))</f>
        <v>#REF!</v>
      </c>
      <c r="G20" s="1987" t="s">
        <v>1124</v>
      </c>
      <c r="H20" s="2035"/>
      <c r="I20" s="2028"/>
      <c r="J20" s="2028"/>
      <c r="K20" s="2028"/>
      <c r="L20" s="2028"/>
      <c r="M20" s="2028"/>
      <c r="N20" s="2028"/>
      <c r="O20" s="2028"/>
      <c r="P20" s="2028"/>
      <c r="Q20" s="2028"/>
      <c r="R20" s="2093"/>
      <c r="S20" s="2027"/>
    </row>
    <row r="21" ht="15.75" spans="1:19">
      <c r="A21" s="2031" t="s">
        <v>1430</v>
      </c>
      <c r="B21" s="2032">
        <f ca="1">ROUND(B20*10000/B22,0)</f>
        <v>53065</v>
      </c>
      <c r="C21" s="2028"/>
      <c r="D21" s="2028"/>
      <c r="E21" s="2028"/>
      <c r="F21" s="2028"/>
      <c r="G21" s="2028"/>
      <c r="H21" s="2028"/>
      <c r="I21" s="2028"/>
      <c r="J21" s="2028"/>
      <c r="K21" s="2028"/>
      <c r="L21" s="2028"/>
      <c r="M21" s="2028"/>
      <c r="N21" s="2028"/>
      <c r="O21" s="2028"/>
      <c r="P21" s="2028"/>
      <c r="Q21" s="2028"/>
      <c r="R21" s="2093"/>
      <c r="S21" s="2027"/>
    </row>
    <row r="22" spans="1:19">
      <c r="A22" s="1573" t="s">
        <v>1431</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53065</v>
      </c>
      <c r="S22" s="1598">
        <f>SUM(S24:S10000)</f>
        <v>335938</v>
      </c>
    </row>
    <row r="23" s="1980" customFormat="1" ht="24" spans="1:45">
      <c r="A23" s="2036" t="s">
        <v>1432</v>
      </c>
      <c r="B23" s="2036" t="s">
        <v>368</v>
      </c>
      <c r="C23" s="2036" t="s">
        <v>1419</v>
      </c>
      <c r="D23" s="2036" t="str">
        <f>B5</f>
        <v>修正项2</v>
      </c>
      <c r="E23" s="2036" t="s">
        <v>1419</v>
      </c>
      <c r="F23" s="2036" t="str">
        <f>B7</f>
        <v>修正项3</v>
      </c>
      <c r="G23" s="2036" t="s">
        <v>1419</v>
      </c>
      <c r="H23" s="2036" t="str">
        <f>B9</f>
        <v>修正项4</v>
      </c>
      <c r="I23" s="2036" t="s">
        <v>1419</v>
      </c>
      <c r="J23" s="2036" t="str">
        <f>B11</f>
        <v>修正项5</v>
      </c>
      <c r="K23" s="2036" t="s">
        <v>1419</v>
      </c>
      <c r="L23" s="2036" t="str">
        <f>B13</f>
        <v>修正项6</v>
      </c>
      <c r="M23" s="2036" t="s">
        <v>1419</v>
      </c>
      <c r="N23" s="2036" t="str">
        <f>B15</f>
        <v>修正项7</v>
      </c>
      <c r="O23" s="2036" t="s">
        <v>1419</v>
      </c>
      <c r="P23" s="2036" t="str">
        <f>B17</f>
        <v>楼层</v>
      </c>
      <c r="Q23" s="2036" t="s">
        <v>1419</v>
      </c>
      <c r="R23" s="2096" t="s">
        <v>1433</v>
      </c>
      <c r="S23" s="2036" t="s">
        <v>1434</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1435</v>
      </c>
      <c r="B24" s="2038">
        <f>面积!C27</f>
        <v>854.48</v>
      </c>
      <c r="C24" s="2039">
        <v>1</v>
      </c>
      <c r="D24" s="2040" t="s">
        <v>1358</v>
      </c>
      <c r="E24" s="2039">
        <v>1</v>
      </c>
      <c r="F24" s="2040"/>
      <c r="G24" s="2039">
        <v>1</v>
      </c>
      <c r="H24" s="2040"/>
      <c r="I24" s="2039">
        <v>1</v>
      </c>
      <c r="J24" s="2040"/>
      <c r="K24" s="2039">
        <v>1</v>
      </c>
      <c r="L24" s="2040"/>
      <c r="M24" s="2039">
        <v>1</v>
      </c>
      <c r="N24" s="2040"/>
      <c r="O24" s="2039">
        <v>1</v>
      </c>
      <c r="P24" s="2040"/>
      <c r="Q24" s="2039">
        <v>1</v>
      </c>
      <c r="R24" s="2098">
        <f>'比较法-办公出售'!C50</f>
        <v>54311</v>
      </c>
      <c r="S24" s="2099">
        <f t="shared" ref="S24:S54" si="11">ROUND(R24*B24/10000,0)</f>
        <v>4641</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1436</v>
      </c>
      <c r="B25" s="2042">
        <v>1588.13</v>
      </c>
      <c r="C25" s="1598">
        <f>IF(B25="",1,(LOOKUP(B25,$3:$3,$4:$4)-LOOKUP($B$24,$3:$3,$4:$4)+100)/100)</f>
        <v>0.98</v>
      </c>
      <c r="D25" s="2043" t="s">
        <v>1359</v>
      </c>
      <c r="E25" s="1598">
        <f>(SUMIF($5:$5,D25,$6:$6)-SUMIF($5:$5,$D$24,$6:$6)+100)/100</f>
        <v>0.98</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52160</v>
      </c>
      <c r="S25" s="1573">
        <f t="shared" si="11"/>
        <v>8284</v>
      </c>
    </row>
    <row r="26" spans="1:19">
      <c r="A26" s="2041" t="s">
        <v>1437</v>
      </c>
      <c r="B26" s="2042">
        <v>1580.93</v>
      </c>
      <c r="C26" s="1598">
        <f t="shared" ref="C26:C89" si="12">IF(B26="",1,(LOOKUP(B26,$3:$3,$4:$4)-LOOKUP($B$24,$3:$3,$4:$4)+100)/100)</f>
        <v>0.98</v>
      </c>
      <c r="D26" s="2043" t="s">
        <v>1359</v>
      </c>
      <c r="E26" s="1598">
        <f t="shared" ref="E26:E89" si="13">(SUMIF($5:$5,D26,$6:$6)-SUMIF($5:$5,$D$24,$6:$6)+100)/100</f>
        <v>0.98</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52160</v>
      </c>
      <c r="S26" s="1573">
        <f t="shared" si="11"/>
        <v>8246</v>
      </c>
    </row>
    <row r="27" spans="1:19">
      <c r="A27" s="2041" t="s">
        <v>1438</v>
      </c>
      <c r="B27" s="2042">
        <v>1573.73</v>
      </c>
      <c r="C27" s="1598">
        <f t="shared" si="12"/>
        <v>0.98</v>
      </c>
      <c r="D27" s="2043" t="s">
        <v>1359</v>
      </c>
      <c r="E27" s="1598">
        <f t="shared" si="13"/>
        <v>0.98</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52160</v>
      </c>
      <c r="S27" s="1573">
        <f t="shared" si="11"/>
        <v>8209</v>
      </c>
    </row>
    <row r="28" spans="1:29">
      <c r="A28" s="2041" t="s">
        <v>1439</v>
      </c>
      <c r="B28" s="2042">
        <v>1559.33</v>
      </c>
      <c r="C28" s="1598">
        <f t="shared" si="12"/>
        <v>0.98</v>
      </c>
      <c r="D28" s="2043" t="s">
        <v>1359</v>
      </c>
      <c r="E28" s="1598">
        <f t="shared" si="13"/>
        <v>0.98</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52160</v>
      </c>
      <c r="S28" s="1573">
        <f t="shared" si="11"/>
        <v>8133</v>
      </c>
      <c r="U28" s="2527"/>
      <c r="V28" s="2527"/>
      <c r="W28" s="2527"/>
      <c r="X28" s="2527"/>
      <c r="Y28" s="2527"/>
      <c r="Z28" s="2527"/>
      <c r="AA28" s="2527"/>
      <c r="AB28" s="2527"/>
      <c r="AC28" s="2527"/>
    </row>
    <row r="29" spans="1:29">
      <c r="A29" s="2041" t="s">
        <v>1440</v>
      </c>
      <c r="B29" s="2042">
        <v>1552.13</v>
      </c>
      <c r="C29" s="1598">
        <f t="shared" si="12"/>
        <v>0.98</v>
      </c>
      <c r="D29" s="2043" t="s">
        <v>1359</v>
      </c>
      <c r="E29" s="1598">
        <f t="shared" si="13"/>
        <v>0.98</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52160</v>
      </c>
      <c r="S29" s="1573">
        <f t="shared" si="11"/>
        <v>8096</v>
      </c>
      <c r="U29" s="2527"/>
      <c r="V29" s="2527"/>
      <c r="W29" s="2527"/>
      <c r="X29" s="2527"/>
      <c r="Y29" s="2527"/>
      <c r="Z29" s="2527"/>
      <c r="AA29" s="2527"/>
      <c r="AB29" s="2527"/>
      <c r="AC29" s="2527"/>
    </row>
    <row r="30" spans="1:29">
      <c r="A30" s="2041" t="s">
        <v>1441</v>
      </c>
      <c r="B30" s="2042">
        <v>1537.73</v>
      </c>
      <c r="C30" s="1598">
        <f t="shared" si="12"/>
        <v>0.98</v>
      </c>
      <c r="D30" s="2043" t="s">
        <v>1359</v>
      </c>
      <c r="E30" s="1598">
        <f t="shared" si="13"/>
        <v>0.98</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52160</v>
      </c>
      <c r="S30" s="1573">
        <f t="shared" si="11"/>
        <v>8021</v>
      </c>
      <c r="U30" s="2527"/>
      <c r="V30" s="2527"/>
      <c r="W30" s="2527"/>
      <c r="X30" s="2527"/>
      <c r="Y30" s="2527"/>
      <c r="Z30" s="2527"/>
      <c r="AA30" s="2527"/>
      <c r="AB30" s="2527"/>
      <c r="AC30" s="2527"/>
    </row>
    <row r="31" spans="1:29">
      <c r="A31" s="2041" t="s">
        <v>1442</v>
      </c>
      <c r="B31" s="2042">
        <v>1530.53</v>
      </c>
      <c r="C31" s="1598">
        <f t="shared" si="12"/>
        <v>0.98</v>
      </c>
      <c r="D31" s="2043" t="s">
        <v>1412</v>
      </c>
      <c r="E31" s="1598">
        <f t="shared" si="13"/>
        <v>0.99</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52693</v>
      </c>
      <c r="S31" s="1573">
        <f t="shared" si="11"/>
        <v>8065</v>
      </c>
      <c r="U31" s="2527"/>
      <c r="V31" s="2527"/>
      <c r="W31" s="2527"/>
      <c r="X31" s="2527"/>
      <c r="Y31" s="2527"/>
      <c r="Z31" s="2527"/>
      <c r="AA31" s="2527"/>
      <c r="AB31" s="2527"/>
      <c r="AC31" s="2527"/>
    </row>
    <row r="32" spans="1:29">
      <c r="A32" s="2041" t="s">
        <v>1443</v>
      </c>
      <c r="B32" s="2042">
        <v>1516.13</v>
      </c>
      <c r="C32" s="1598">
        <f t="shared" si="12"/>
        <v>0.98</v>
      </c>
      <c r="D32" s="2043" t="s">
        <v>1412</v>
      </c>
      <c r="E32" s="1598">
        <f t="shared" si="13"/>
        <v>0.99</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52693</v>
      </c>
      <c r="S32" s="1573">
        <f t="shared" si="11"/>
        <v>7989</v>
      </c>
      <c r="U32" s="2527"/>
      <c r="V32" s="2527"/>
      <c r="W32" s="2527"/>
      <c r="X32" s="2527"/>
      <c r="Y32" s="2527"/>
      <c r="Z32" s="2527"/>
      <c r="AA32" s="2527"/>
      <c r="AB32" s="2527"/>
      <c r="AC32" s="2527"/>
    </row>
    <row r="33" spans="1:29">
      <c r="A33" s="2041" t="s">
        <v>1444</v>
      </c>
      <c r="B33" s="2042">
        <v>1508.93</v>
      </c>
      <c r="C33" s="1598">
        <f t="shared" si="12"/>
        <v>0.98</v>
      </c>
      <c r="D33" s="2043" t="s">
        <v>1412</v>
      </c>
      <c r="E33" s="1598">
        <f t="shared" si="13"/>
        <v>0.99</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52693</v>
      </c>
      <c r="S33" s="1573">
        <f t="shared" si="11"/>
        <v>7951</v>
      </c>
      <c r="U33" s="2527"/>
      <c r="V33" s="2527"/>
      <c r="W33" s="2527"/>
      <c r="X33" s="2527"/>
      <c r="Y33" s="2527"/>
      <c r="Z33" s="2527"/>
      <c r="AA33" s="2527"/>
      <c r="AB33" s="2527"/>
      <c r="AC33" s="2527"/>
    </row>
    <row r="34" spans="1:29">
      <c r="A34" s="2041" t="s">
        <v>1445</v>
      </c>
      <c r="B34" s="2042">
        <v>1494.53</v>
      </c>
      <c r="C34" s="1598">
        <f t="shared" si="12"/>
        <v>0.99</v>
      </c>
      <c r="D34" s="2043" t="s">
        <v>1412</v>
      </c>
      <c r="E34" s="1598">
        <f t="shared" si="13"/>
        <v>0.99</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53230</v>
      </c>
      <c r="S34" s="1573">
        <f t="shared" si="11"/>
        <v>7955</v>
      </c>
      <c r="U34" s="2527"/>
      <c r="V34" s="2527"/>
      <c r="W34" s="2527"/>
      <c r="X34" s="2527"/>
      <c r="Y34" s="2527"/>
      <c r="Z34" s="2527"/>
      <c r="AA34" s="2527"/>
      <c r="AB34" s="2527"/>
      <c r="AC34" s="2527"/>
    </row>
    <row r="35" spans="1:29">
      <c r="A35" s="2041" t="s">
        <v>1446</v>
      </c>
      <c r="B35" s="2042">
        <v>1487.33</v>
      </c>
      <c r="C35" s="1598">
        <f t="shared" si="12"/>
        <v>0.99</v>
      </c>
      <c r="D35" s="2043" t="s">
        <v>1412</v>
      </c>
      <c r="E35" s="1598">
        <f t="shared" si="13"/>
        <v>0.99</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53230</v>
      </c>
      <c r="S35" s="1573">
        <f t="shared" si="11"/>
        <v>7917</v>
      </c>
      <c r="U35" s="2527"/>
      <c r="V35" s="2527"/>
      <c r="W35" s="2527"/>
      <c r="X35" s="2527"/>
      <c r="Y35" s="2527"/>
      <c r="Z35" s="2527"/>
      <c r="AA35" s="2527"/>
      <c r="AB35" s="2527"/>
      <c r="AC35" s="2527"/>
    </row>
    <row r="36" spans="1:29">
      <c r="A36" s="2041" t="s">
        <v>1447</v>
      </c>
      <c r="B36" s="2042">
        <v>1472.93</v>
      </c>
      <c r="C36" s="1598">
        <f t="shared" si="12"/>
        <v>0.99</v>
      </c>
      <c r="D36" s="2043" t="s">
        <v>1412</v>
      </c>
      <c r="E36" s="1598">
        <f t="shared" si="13"/>
        <v>0.99</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53230</v>
      </c>
      <c r="S36" s="1573">
        <f t="shared" si="11"/>
        <v>7840</v>
      </c>
      <c r="U36" s="2527"/>
      <c r="V36" s="2527"/>
      <c r="W36" s="2527"/>
      <c r="X36" s="2527"/>
      <c r="Y36" s="2527"/>
      <c r="Z36" s="2527"/>
      <c r="AA36" s="2527"/>
      <c r="AB36" s="2527"/>
      <c r="AC36" s="2527"/>
    </row>
    <row r="37" spans="1:29">
      <c r="A37" s="2041" t="s">
        <v>1448</v>
      </c>
      <c r="B37" s="2042">
        <v>1465.73</v>
      </c>
      <c r="C37" s="1598">
        <f t="shared" si="12"/>
        <v>0.99</v>
      </c>
      <c r="D37" s="2043" t="s">
        <v>1412</v>
      </c>
      <c r="E37" s="1598">
        <f t="shared" si="13"/>
        <v>0.99</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53230</v>
      </c>
      <c r="S37" s="1573">
        <f t="shared" si="11"/>
        <v>7802</v>
      </c>
      <c r="U37" s="2527"/>
      <c r="V37" s="2527"/>
      <c r="W37" s="2527"/>
      <c r="X37" s="2527"/>
      <c r="Y37" s="2527"/>
      <c r="Z37" s="2527"/>
      <c r="AA37" s="2527"/>
      <c r="AB37" s="2527"/>
      <c r="AC37" s="2527"/>
    </row>
    <row r="38" spans="1:29">
      <c r="A38" s="2041" t="s">
        <v>1449</v>
      </c>
      <c r="B38" s="2042">
        <v>1451.33</v>
      </c>
      <c r="C38" s="1598">
        <f t="shared" si="12"/>
        <v>0.99</v>
      </c>
      <c r="D38" s="2043" t="s">
        <v>1412</v>
      </c>
      <c r="E38" s="1598">
        <f t="shared" si="13"/>
        <v>0.99</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53230</v>
      </c>
      <c r="S38" s="1573">
        <f t="shared" si="11"/>
        <v>7725</v>
      </c>
      <c r="U38" s="2527"/>
      <c r="V38" s="2527"/>
      <c r="W38" s="2527"/>
      <c r="X38" s="2527"/>
      <c r="Y38" s="2527"/>
      <c r="Z38" s="2527"/>
      <c r="AA38" s="2527"/>
      <c r="AB38" s="2527"/>
      <c r="AC38" s="2527"/>
    </row>
    <row r="39" spans="1:29">
      <c r="A39" s="2041" t="s">
        <v>1450</v>
      </c>
      <c r="B39" s="2042">
        <v>1444.13</v>
      </c>
      <c r="C39" s="1598">
        <f t="shared" si="12"/>
        <v>0.99</v>
      </c>
      <c r="D39" s="2043" t="s">
        <v>1412</v>
      </c>
      <c r="E39" s="1598">
        <f t="shared" si="13"/>
        <v>0.99</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53230</v>
      </c>
      <c r="S39" s="1573">
        <f t="shared" si="11"/>
        <v>7687</v>
      </c>
      <c r="U39" s="2527"/>
      <c r="V39" s="2527"/>
      <c r="W39" s="2527"/>
      <c r="X39" s="2527"/>
      <c r="Y39" s="2527"/>
      <c r="Z39" s="2527"/>
      <c r="AA39" s="2527"/>
      <c r="AB39" s="2527"/>
      <c r="AC39" s="2527"/>
    </row>
    <row r="40" spans="1:29">
      <c r="A40" s="2041" t="s">
        <v>1451</v>
      </c>
      <c r="B40" s="2042">
        <v>1429.73</v>
      </c>
      <c r="C40" s="1598">
        <f t="shared" si="12"/>
        <v>0.99</v>
      </c>
      <c r="D40" s="2043" t="s">
        <v>1358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53768</v>
      </c>
      <c r="S40" s="1573">
        <f t="shared" si="11"/>
        <v>7687</v>
      </c>
      <c r="U40" s="2527"/>
      <c r="V40" s="2527"/>
      <c r="W40" s="2527"/>
      <c r="X40" s="2527"/>
      <c r="Y40" s="2527"/>
      <c r="Z40" s="2527"/>
      <c r="AA40" s="2527"/>
      <c r="AB40" s="2527"/>
      <c r="AC40" s="2527"/>
    </row>
    <row r="41" spans="1:29">
      <c r="A41" s="2041" t="s">
        <v>1452</v>
      </c>
      <c r="B41" s="2042">
        <v>1419.07</v>
      </c>
      <c r="C41" s="1598">
        <f t="shared" si="12"/>
        <v>0.99</v>
      </c>
      <c r="D41" s="2043" t="s">
        <v>1358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53768</v>
      </c>
      <c r="S41" s="1573">
        <f t="shared" si="11"/>
        <v>7630</v>
      </c>
      <c r="U41" s="2527"/>
      <c r="V41" s="2527"/>
      <c r="W41" s="2527"/>
      <c r="X41" s="2527"/>
      <c r="Y41" s="2527"/>
      <c r="Z41" s="2527"/>
      <c r="AA41" s="2527"/>
      <c r="AB41" s="2527"/>
      <c r="AC41" s="2527"/>
    </row>
    <row r="42" ht="14.25" spans="1:29">
      <c r="A42" s="2041" t="s">
        <v>1453</v>
      </c>
      <c r="B42" s="2042">
        <v>1411.87</v>
      </c>
      <c r="C42" s="1598">
        <f t="shared" si="12"/>
        <v>0.99</v>
      </c>
      <c r="D42" s="2043" t="s">
        <v>1358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53768</v>
      </c>
      <c r="S42" s="1573">
        <f t="shared" si="11"/>
        <v>7591</v>
      </c>
      <c r="U42" s="2527"/>
      <c r="V42" s="2528"/>
      <c r="W42" s="2528"/>
      <c r="X42" s="2528"/>
      <c r="Y42" s="2528"/>
      <c r="Z42" s="2528"/>
      <c r="AA42" s="2528"/>
      <c r="AB42" s="2527"/>
      <c r="AC42" s="2527"/>
    </row>
    <row r="43" ht="14.25" spans="1:29">
      <c r="A43" s="2041" t="s">
        <v>1454</v>
      </c>
      <c r="B43" s="2042">
        <v>984.58</v>
      </c>
      <c r="C43" s="1598">
        <f t="shared" si="12"/>
        <v>1</v>
      </c>
      <c r="D43" s="2043" t="s">
        <v>1358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54311</v>
      </c>
      <c r="S43" s="1573">
        <f t="shared" si="11"/>
        <v>5347</v>
      </c>
      <c r="U43" s="2527"/>
      <c r="V43" s="2528"/>
      <c r="W43" s="2528"/>
      <c r="X43" s="2528"/>
      <c r="Y43" s="2528"/>
      <c r="Z43" s="2528"/>
      <c r="AA43" s="2528"/>
      <c r="AB43" s="2527"/>
      <c r="AC43" s="2527"/>
    </row>
    <row r="44" ht="13.5" spans="1:29">
      <c r="A44" s="2041" t="s">
        <v>1455</v>
      </c>
      <c r="B44" s="2042">
        <v>977.38</v>
      </c>
      <c r="C44" s="1598">
        <f t="shared" si="12"/>
        <v>1</v>
      </c>
      <c r="D44" s="2043" t="s">
        <v>1358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54311</v>
      </c>
      <c r="S44" s="1573">
        <f t="shared" si="11"/>
        <v>5308</v>
      </c>
      <c r="U44" s="2529"/>
      <c r="V44" s="2529"/>
      <c r="W44" s="2529"/>
      <c r="X44" s="2529"/>
      <c r="Y44" s="2529"/>
      <c r="Z44" s="2529"/>
      <c r="AA44" s="2529"/>
      <c r="AB44" s="2529"/>
      <c r="AC44" s="2529"/>
    </row>
    <row r="45" ht="13.5" spans="1:30">
      <c r="A45" s="2041" t="s">
        <v>1456</v>
      </c>
      <c r="B45" s="2042">
        <v>881.37</v>
      </c>
      <c r="C45" s="1598">
        <f t="shared" si="12"/>
        <v>1</v>
      </c>
      <c r="D45" s="2043" t="s">
        <v>1358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54311</v>
      </c>
      <c r="S45" s="1573">
        <f t="shared" si="11"/>
        <v>4787</v>
      </c>
      <c r="U45" s="2530" t="s">
        <v>1457</v>
      </c>
      <c r="V45" s="2531" t="s">
        <v>479</v>
      </c>
      <c r="W45" s="2531" t="s">
        <v>1458</v>
      </c>
      <c r="X45" s="2531" t="s">
        <v>1459</v>
      </c>
      <c r="Y45" s="2531" t="s">
        <v>1138</v>
      </c>
      <c r="Z45" s="2527"/>
      <c r="AA45" s="2527"/>
      <c r="AB45" s="2527"/>
      <c r="AC45" s="2527"/>
      <c r="AD45" s="2527"/>
    </row>
    <row r="46" ht="13.5" spans="1:30">
      <c r="A46" s="2041" t="s">
        <v>1460</v>
      </c>
      <c r="B46" s="2042">
        <v>931.34</v>
      </c>
      <c r="C46" s="1598">
        <f t="shared" si="12"/>
        <v>1</v>
      </c>
      <c r="D46" s="2043" t="s">
        <v>1358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54311</v>
      </c>
      <c r="S46" s="1573">
        <f t="shared" si="11"/>
        <v>5058</v>
      </c>
      <c r="U46" s="2532" t="s">
        <v>1461</v>
      </c>
      <c r="V46" s="2533">
        <v>296.32</v>
      </c>
      <c r="W46" s="2533">
        <v>1</v>
      </c>
      <c r="X46" s="2533">
        <v>11768</v>
      </c>
      <c r="Y46" s="2533">
        <v>349</v>
      </c>
      <c r="Z46" s="2527"/>
      <c r="AA46" s="2527"/>
      <c r="AB46" s="2527"/>
      <c r="AC46" s="2527"/>
      <c r="AD46" s="2527"/>
    </row>
    <row r="47" ht="13.5" spans="1:30">
      <c r="A47" s="2041" t="s">
        <v>1462</v>
      </c>
      <c r="B47" s="2042">
        <v>1588.13</v>
      </c>
      <c r="C47" s="1598">
        <f t="shared" si="12"/>
        <v>0.98</v>
      </c>
      <c r="D47" s="2043" t="s">
        <v>1359</v>
      </c>
      <c r="E47" s="1598">
        <f t="shared" si="13"/>
        <v>0.98</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52160</v>
      </c>
      <c r="S47" s="1573">
        <f t="shared" si="11"/>
        <v>8284</v>
      </c>
      <c r="U47" s="2532" t="s">
        <v>1463</v>
      </c>
      <c r="V47" s="2533">
        <v>159.13</v>
      </c>
      <c r="W47" s="2533">
        <v>0.99</v>
      </c>
      <c r="X47" s="2533">
        <v>11650</v>
      </c>
      <c r="Y47" s="2533">
        <v>185</v>
      </c>
      <c r="Z47" s="2527"/>
      <c r="AA47" s="2527"/>
      <c r="AB47" s="2527"/>
      <c r="AC47" s="2527"/>
      <c r="AD47" s="2527"/>
    </row>
    <row r="48" ht="13.5" spans="1:30">
      <c r="A48" s="2041" t="s">
        <v>1464</v>
      </c>
      <c r="B48" s="2042">
        <v>1580.93</v>
      </c>
      <c r="C48" s="1598">
        <f t="shared" si="12"/>
        <v>0.98</v>
      </c>
      <c r="D48" s="2043" t="s">
        <v>1359</v>
      </c>
      <c r="E48" s="1598">
        <f t="shared" si="13"/>
        <v>0.98</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52160</v>
      </c>
      <c r="S48" s="1573">
        <f t="shared" si="11"/>
        <v>8246</v>
      </c>
      <c r="U48" s="2532" t="s">
        <v>1465</v>
      </c>
      <c r="V48" s="2533">
        <v>308.7</v>
      </c>
      <c r="W48" s="2533">
        <v>1</v>
      </c>
      <c r="X48" s="2533">
        <v>11768</v>
      </c>
      <c r="Y48" s="2533">
        <v>363</v>
      </c>
      <c r="Z48" s="2527"/>
      <c r="AA48" s="2527"/>
      <c r="AB48" s="2527"/>
      <c r="AC48" s="2527"/>
      <c r="AD48" s="2527"/>
    </row>
    <row r="49" ht="13.5" spans="1:30">
      <c r="A49" s="2041" t="s">
        <v>1466</v>
      </c>
      <c r="B49" s="2042">
        <v>1573.73</v>
      </c>
      <c r="C49" s="1598">
        <f t="shared" si="12"/>
        <v>0.98</v>
      </c>
      <c r="D49" s="2043" t="s">
        <v>1359</v>
      </c>
      <c r="E49" s="1598">
        <f t="shared" si="13"/>
        <v>0.98</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52160</v>
      </c>
      <c r="S49" s="1573">
        <f t="shared" si="11"/>
        <v>8209</v>
      </c>
      <c r="U49" s="2532" t="s">
        <v>1467</v>
      </c>
      <c r="V49" s="2533">
        <v>334.91</v>
      </c>
      <c r="W49" s="2533">
        <v>1</v>
      </c>
      <c r="X49" s="2533">
        <v>11768</v>
      </c>
      <c r="Y49" s="2533">
        <v>394</v>
      </c>
      <c r="Z49" s="2527"/>
      <c r="AA49" s="2527"/>
      <c r="AB49" s="2527"/>
      <c r="AC49" s="2527"/>
      <c r="AD49" s="2527"/>
    </row>
    <row r="50" ht="13.5" spans="1:30">
      <c r="A50" s="2041" t="s">
        <v>1468</v>
      </c>
      <c r="B50" s="2042">
        <v>1559.33</v>
      </c>
      <c r="C50" s="1598">
        <f t="shared" si="12"/>
        <v>0.98</v>
      </c>
      <c r="D50" s="2043" t="s">
        <v>1359</v>
      </c>
      <c r="E50" s="1598">
        <f t="shared" si="13"/>
        <v>0.98</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52160</v>
      </c>
      <c r="S50" s="1573">
        <f t="shared" si="11"/>
        <v>8133</v>
      </c>
      <c r="U50" s="2532" t="s">
        <v>1469</v>
      </c>
      <c r="V50" s="2533">
        <v>312.8</v>
      </c>
      <c r="W50" s="2533">
        <v>1</v>
      </c>
      <c r="X50" s="2533">
        <v>11768</v>
      </c>
      <c r="Y50" s="2533">
        <v>368</v>
      </c>
      <c r="Z50" s="2527"/>
      <c r="AA50" s="2527"/>
      <c r="AB50" s="2527"/>
      <c r="AC50" s="2527"/>
      <c r="AD50" s="2527"/>
    </row>
    <row r="51" ht="13.5" spans="1:30">
      <c r="A51" s="2041" t="s">
        <v>1470</v>
      </c>
      <c r="B51" s="2042">
        <v>1552.13</v>
      </c>
      <c r="C51" s="1598">
        <f t="shared" si="12"/>
        <v>0.98</v>
      </c>
      <c r="D51" s="2043" t="s">
        <v>1359</v>
      </c>
      <c r="E51" s="1598">
        <f t="shared" si="13"/>
        <v>0.98</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52160</v>
      </c>
      <c r="S51" s="1573">
        <f t="shared" si="11"/>
        <v>8096</v>
      </c>
      <c r="U51" s="2532" t="s">
        <v>1471</v>
      </c>
      <c r="V51" s="2533">
        <v>159.13</v>
      </c>
      <c r="W51" s="2533">
        <v>0.99</v>
      </c>
      <c r="X51" s="2533">
        <v>11650</v>
      </c>
      <c r="Y51" s="2533">
        <v>185</v>
      </c>
      <c r="Z51" s="2527"/>
      <c r="AA51" s="2527"/>
      <c r="AB51" s="2527"/>
      <c r="AC51" s="2527"/>
      <c r="AD51" s="2527"/>
    </row>
    <row r="52" ht="13.5" spans="1:30">
      <c r="A52" s="2041" t="s">
        <v>1472</v>
      </c>
      <c r="B52" s="2042">
        <v>1537.73</v>
      </c>
      <c r="C52" s="1598">
        <f t="shared" si="12"/>
        <v>0.98</v>
      </c>
      <c r="D52" s="2043" t="s">
        <v>1359</v>
      </c>
      <c r="E52" s="1598">
        <f t="shared" si="13"/>
        <v>0.98</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52160</v>
      </c>
      <c r="S52" s="1573">
        <f t="shared" si="11"/>
        <v>8021</v>
      </c>
      <c r="U52" s="2532" t="s">
        <v>1473</v>
      </c>
      <c r="V52" s="2533">
        <v>309.19</v>
      </c>
      <c r="W52" s="2533">
        <v>1</v>
      </c>
      <c r="X52" s="2533">
        <v>11768</v>
      </c>
      <c r="Y52" s="2533">
        <v>364</v>
      </c>
      <c r="Z52" s="2527"/>
      <c r="AA52" s="2527"/>
      <c r="AB52" s="2527"/>
      <c r="AC52" s="2527"/>
      <c r="AD52" s="2527"/>
    </row>
    <row r="53" ht="13.5" spans="1:30">
      <c r="A53" s="2041" t="s">
        <v>1474</v>
      </c>
      <c r="B53" s="2042">
        <v>1530.53</v>
      </c>
      <c r="C53" s="1598">
        <f t="shared" si="12"/>
        <v>0.98</v>
      </c>
      <c r="D53" s="2043" t="s">
        <v>1412</v>
      </c>
      <c r="E53" s="1598">
        <f t="shared" si="13"/>
        <v>0.99</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52693</v>
      </c>
      <c r="S53" s="1573">
        <f t="shared" si="11"/>
        <v>8065</v>
      </c>
      <c r="U53" s="2532" t="s">
        <v>1475</v>
      </c>
      <c r="V53" s="2533">
        <v>334.98</v>
      </c>
      <c r="W53" s="2533">
        <v>1</v>
      </c>
      <c r="X53" s="2533">
        <v>11768</v>
      </c>
      <c r="Y53" s="2533">
        <v>394</v>
      </c>
      <c r="Z53" s="2527"/>
      <c r="AA53" s="2527"/>
      <c r="AB53" s="2527"/>
      <c r="AC53" s="2527"/>
      <c r="AD53" s="2527"/>
    </row>
    <row r="54" ht="13.5" spans="1:30">
      <c r="A54" s="2041" t="s">
        <v>1476</v>
      </c>
      <c r="B54" s="2042">
        <v>1516.13</v>
      </c>
      <c r="C54" s="1598">
        <f t="shared" si="12"/>
        <v>0.98</v>
      </c>
      <c r="D54" s="2043" t="s">
        <v>1412</v>
      </c>
      <c r="E54" s="1598">
        <f t="shared" si="13"/>
        <v>0.99</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52693</v>
      </c>
      <c r="S54" s="1573">
        <f t="shared" si="11"/>
        <v>7989</v>
      </c>
      <c r="U54" s="2534" t="s">
        <v>480</v>
      </c>
      <c r="V54" s="2534"/>
      <c r="W54" s="2534"/>
      <c r="X54" s="2534"/>
      <c r="Y54" s="2535">
        <v>2602</v>
      </c>
      <c r="Z54" s="2527"/>
      <c r="AA54" s="2527"/>
      <c r="AB54" s="2527"/>
      <c r="AC54" s="2527"/>
      <c r="AD54" s="2527"/>
    </row>
    <row r="55" spans="1:30">
      <c r="A55" s="2041" t="s">
        <v>1477</v>
      </c>
      <c r="B55" s="2042">
        <v>1508.93</v>
      </c>
      <c r="C55" s="1598">
        <f t="shared" si="12"/>
        <v>0.98</v>
      </c>
      <c r="D55" s="2043" t="s">
        <v>1412</v>
      </c>
      <c r="E55" s="1598">
        <f t="shared" si="13"/>
        <v>0.99</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52693</v>
      </c>
      <c r="S55" s="1573">
        <f t="shared" ref="S55:S77" si="21">ROUND(R55*B55/10000,0)</f>
        <v>7951</v>
      </c>
      <c r="U55" s="2527"/>
      <c r="V55" s="2527"/>
      <c r="W55" s="2527"/>
      <c r="X55" s="2527"/>
      <c r="Y55" s="2527"/>
      <c r="Z55" s="2527"/>
      <c r="AA55" s="2527"/>
      <c r="AB55" s="2527"/>
      <c r="AC55" s="2527"/>
      <c r="AD55" s="2527"/>
    </row>
    <row r="56" spans="1:30">
      <c r="A56" s="2041" t="s">
        <v>1478</v>
      </c>
      <c r="B56" s="2042">
        <v>1494.53</v>
      </c>
      <c r="C56" s="1598">
        <f t="shared" si="12"/>
        <v>0.99</v>
      </c>
      <c r="D56" s="2043" t="s">
        <v>1412</v>
      </c>
      <c r="E56" s="1598">
        <f t="shared" si="13"/>
        <v>0.99</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53230</v>
      </c>
      <c r="S56" s="1573">
        <f t="shared" si="21"/>
        <v>7955</v>
      </c>
      <c r="U56" s="2527"/>
      <c r="V56" s="2527"/>
      <c r="W56" s="2527"/>
      <c r="X56" s="2527"/>
      <c r="Y56" s="2527"/>
      <c r="Z56" s="2527"/>
      <c r="AA56" s="2527"/>
      <c r="AB56" s="2527"/>
      <c r="AC56" s="2527"/>
      <c r="AD56" s="2527"/>
    </row>
    <row r="57" spans="1:19">
      <c r="A57" s="2041" t="s">
        <v>1479</v>
      </c>
      <c r="B57" s="2042">
        <v>1487.33</v>
      </c>
      <c r="C57" s="1598">
        <f t="shared" si="12"/>
        <v>0.99</v>
      </c>
      <c r="D57" s="2043" t="s">
        <v>1412</v>
      </c>
      <c r="E57" s="1598">
        <f t="shared" si="13"/>
        <v>0.99</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53230</v>
      </c>
      <c r="S57" s="1573">
        <f t="shared" si="21"/>
        <v>7917</v>
      </c>
    </row>
    <row r="58" spans="1:19">
      <c r="A58" s="2041" t="s">
        <v>1480</v>
      </c>
      <c r="B58" s="2042">
        <v>1472.93</v>
      </c>
      <c r="C58" s="1598">
        <f t="shared" si="12"/>
        <v>0.99</v>
      </c>
      <c r="D58" s="2043" t="s">
        <v>1412</v>
      </c>
      <c r="E58" s="1598">
        <f t="shared" si="13"/>
        <v>0.99</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53230</v>
      </c>
      <c r="S58" s="1573">
        <f t="shared" si="21"/>
        <v>7840</v>
      </c>
    </row>
    <row r="59" spans="1:19">
      <c r="A59" s="2041" t="s">
        <v>1481</v>
      </c>
      <c r="B59" s="2042">
        <v>1465.73</v>
      </c>
      <c r="C59" s="1598">
        <f t="shared" si="12"/>
        <v>0.99</v>
      </c>
      <c r="D59" s="2043" t="s">
        <v>1412</v>
      </c>
      <c r="E59" s="1598">
        <f t="shared" si="13"/>
        <v>0.99</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53230</v>
      </c>
      <c r="S59" s="1573">
        <f t="shared" si="21"/>
        <v>7802</v>
      </c>
    </row>
    <row r="60" spans="1:19">
      <c r="A60" s="2041" t="s">
        <v>1482</v>
      </c>
      <c r="B60" s="2042">
        <v>1451.33</v>
      </c>
      <c r="C60" s="1598">
        <f t="shared" si="12"/>
        <v>0.99</v>
      </c>
      <c r="D60" s="2043" t="s">
        <v>1412</v>
      </c>
      <c r="E60" s="1598">
        <f t="shared" si="13"/>
        <v>0.99</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53230</v>
      </c>
      <c r="S60" s="1573">
        <f t="shared" si="21"/>
        <v>7725</v>
      </c>
    </row>
    <row r="61" spans="1:19">
      <c r="A61" s="2041" t="s">
        <v>1483</v>
      </c>
      <c r="B61" s="2042">
        <v>1444.13</v>
      </c>
      <c r="C61" s="1598">
        <f t="shared" si="12"/>
        <v>0.99</v>
      </c>
      <c r="D61" s="2043" t="s">
        <v>1412</v>
      </c>
      <c r="E61" s="1598">
        <f t="shared" si="13"/>
        <v>0.99</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53230</v>
      </c>
      <c r="S61" s="1573">
        <f t="shared" si="21"/>
        <v>7687</v>
      </c>
    </row>
    <row r="62" spans="1:19">
      <c r="A62" s="2041" t="s">
        <v>1484</v>
      </c>
      <c r="B62" s="2042">
        <v>1429.73</v>
      </c>
      <c r="C62" s="1598">
        <f t="shared" si="12"/>
        <v>0.99</v>
      </c>
      <c r="D62" s="2043" t="s">
        <v>1358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53768</v>
      </c>
      <c r="S62" s="1573">
        <f t="shared" si="21"/>
        <v>7687</v>
      </c>
    </row>
    <row r="63" spans="1:19">
      <c r="A63" s="2041" t="s">
        <v>1485</v>
      </c>
      <c r="B63" s="2042">
        <v>1419.07</v>
      </c>
      <c r="C63" s="1598">
        <f t="shared" si="12"/>
        <v>0.99</v>
      </c>
      <c r="D63" s="2043" t="s">
        <v>1358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53768</v>
      </c>
      <c r="S63" s="1573">
        <f t="shared" si="21"/>
        <v>7630</v>
      </c>
    </row>
    <row r="64" spans="1:19">
      <c r="A64" s="2041" t="s">
        <v>1486</v>
      </c>
      <c r="B64" s="2042">
        <v>1411.87</v>
      </c>
      <c r="C64" s="1598">
        <f t="shared" si="12"/>
        <v>0.99</v>
      </c>
      <c r="D64" s="2043" t="s">
        <v>1358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53768</v>
      </c>
      <c r="S64" s="1573">
        <f t="shared" si="21"/>
        <v>7591</v>
      </c>
    </row>
    <row r="65" spans="1:19">
      <c r="A65" s="2041" t="s">
        <v>1487</v>
      </c>
      <c r="B65" s="2042">
        <v>984.58</v>
      </c>
      <c r="C65" s="1598">
        <f t="shared" si="12"/>
        <v>1</v>
      </c>
      <c r="D65" s="2043" t="s">
        <v>1358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54311</v>
      </c>
      <c r="S65" s="1573">
        <f t="shared" si="21"/>
        <v>5347</v>
      </c>
    </row>
    <row r="66" spans="1:19">
      <c r="A66" s="2041" t="s">
        <v>1488</v>
      </c>
      <c r="B66" s="2042">
        <v>977.38</v>
      </c>
      <c r="C66" s="1598">
        <f t="shared" si="12"/>
        <v>1</v>
      </c>
      <c r="D66" s="2043" t="s">
        <v>1358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54311</v>
      </c>
      <c r="S66" s="1573">
        <f t="shared" si="21"/>
        <v>5308</v>
      </c>
    </row>
    <row r="67" spans="1:19">
      <c r="A67" s="2041" t="s">
        <v>1489</v>
      </c>
      <c r="B67" s="2042">
        <v>881.37</v>
      </c>
      <c r="C67" s="1598">
        <f t="shared" si="12"/>
        <v>1</v>
      </c>
      <c r="D67" s="2043" t="s">
        <v>1358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54311</v>
      </c>
      <c r="S67" s="1573">
        <f t="shared" si="21"/>
        <v>4787</v>
      </c>
    </row>
    <row r="68" spans="1:19">
      <c r="A68" s="2041" t="s">
        <v>1490</v>
      </c>
      <c r="B68" s="2042">
        <v>931.34</v>
      </c>
      <c r="C68" s="1598">
        <f t="shared" si="12"/>
        <v>1</v>
      </c>
      <c r="D68" s="2043" t="s">
        <v>1358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54311</v>
      </c>
      <c r="S68" s="1573">
        <f t="shared" si="21"/>
        <v>5058</v>
      </c>
    </row>
    <row r="69" spans="1:19">
      <c r="A69" s="2041" t="s">
        <v>1491</v>
      </c>
      <c r="B69" s="2042">
        <v>854.48</v>
      </c>
      <c r="C69" s="1598">
        <f t="shared" si="12"/>
        <v>1</v>
      </c>
      <c r="D69" s="2043" t="s">
        <v>1358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54311</v>
      </c>
      <c r="S69" s="1573">
        <f t="shared" si="21"/>
        <v>4641</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1492</v>
      </c>
      <c r="B1" s="1039"/>
      <c r="C1" s="1530" t="s">
        <v>462</v>
      </c>
      <c r="D1" s="1531"/>
      <c r="E1" s="1532" t="s">
        <v>1493</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1494</v>
      </c>
      <c r="B2" s="1537">
        <f ca="1">C40+J29+L46</f>
        <v>320276</v>
      </c>
      <c r="C2" s="1538" t="s">
        <v>1495</v>
      </c>
      <c r="D2" s="1538"/>
      <c r="E2" s="1540"/>
      <c r="F2" s="1541"/>
      <c r="G2" s="1542"/>
      <c r="H2" s="1543"/>
      <c r="I2" s="1543"/>
      <c r="J2" s="1543"/>
      <c r="K2" s="1709"/>
      <c r="L2" s="1543"/>
      <c r="M2" s="1543"/>
    </row>
    <row r="3" ht="18" customHeight="1" spans="1:13">
      <c r="A3" s="1544" t="s">
        <v>1496</v>
      </c>
      <c r="B3" s="1545">
        <f ca="1">IF(ISERROR(B2*10000/F43),0,ROUND(B2*10000/F43,0))</f>
        <v>50591</v>
      </c>
      <c r="C3" s="1538" t="s">
        <v>1497</v>
      </c>
      <c r="D3" s="1538"/>
      <c r="E3" s="1540"/>
      <c r="F3" s="1541"/>
      <c r="G3" s="1542"/>
      <c r="H3" s="1546" t="s">
        <v>1498</v>
      </c>
      <c r="I3" s="1710"/>
      <c r="J3" s="1710"/>
      <c r="K3" s="1711"/>
      <c r="L3" s="1710"/>
      <c r="M3" s="1710"/>
    </row>
    <row r="4" ht="18" customHeight="1" spans="1:13">
      <c r="A4" s="1547" t="s">
        <v>1499</v>
      </c>
      <c r="B4" s="1548" t="s">
        <v>1500</v>
      </c>
      <c r="C4" s="1548" t="s">
        <v>1501</v>
      </c>
      <c r="D4" s="1548" t="s">
        <v>1502</v>
      </c>
      <c r="E4" s="1549" t="s">
        <v>1503</v>
      </c>
      <c r="F4" s="1550"/>
      <c r="G4" s="645"/>
      <c r="H4" s="1547" t="s">
        <v>1499</v>
      </c>
      <c r="I4" s="1548" t="s">
        <v>1500</v>
      </c>
      <c r="J4" s="1548" t="s">
        <v>1501</v>
      </c>
      <c r="K4" s="1548" t="s">
        <v>1502</v>
      </c>
      <c r="L4" s="1549" t="s">
        <v>1503</v>
      </c>
      <c r="M4" s="1550"/>
    </row>
    <row r="5" ht="18" customHeight="1" spans="1:13">
      <c r="A5" s="1551">
        <v>1</v>
      </c>
      <c r="B5" s="1552" t="s">
        <v>1504</v>
      </c>
      <c r="C5" s="1553">
        <f ca="1">C6+C10+C12</f>
        <v>18740</v>
      </c>
      <c r="D5" s="1554" t="s">
        <v>1505</v>
      </c>
      <c r="E5" s="1555"/>
      <c r="F5" s="1556"/>
      <c r="G5" s="645"/>
      <c r="H5" s="1551">
        <v>1</v>
      </c>
      <c r="I5" s="1552" t="s">
        <v>1504</v>
      </c>
      <c r="J5" s="1553">
        <f ca="1">J6+J10+J12</f>
        <v>0</v>
      </c>
      <c r="K5" s="1554" t="s">
        <v>1505</v>
      </c>
      <c r="L5" s="1555"/>
      <c r="M5" s="1556"/>
    </row>
    <row r="6" ht="18" customHeight="1" spans="1:13">
      <c r="A6" s="1557" t="s">
        <v>1218</v>
      </c>
      <c r="B6" s="1558" t="s">
        <v>1506</v>
      </c>
      <c r="C6" s="1559">
        <f ca="1">ROUND(F6*F8*F7*(1-F9)/10000,0)</f>
        <v>18717</v>
      </c>
      <c r="D6" s="1560" t="s">
        <v>1507</v>
      </c>
      <c r="E6" s="1561" t="s">
        <v>1508</v>
      </c>
      <c r="F6" s="1562">
        <f ca="1">INDIRECT("'数据-取费表'!u"&amp;$G$1)</f>
        <v>9</v>
      </c>
      <c r="G6" s="645"/>
      <c r="H6" s="1557" t="s">
        <v>1218</v>
      </c>
      <c r="I6" s="1558" t="s">
        <v>1506</v>
      </c>
      <c r="J6" s="1638">
        <f ca="1">ROUND(M6*M8*M7*(1-M9)/10000,0)</f>
        <v>0</v>
      </c>
      <c r="K6" s="1560" t="s">
        <v>1509</v>
      </c>
      <c r="L6" s="1561" t="s">
        <v>1508</v>
      </c>
      <c r="M6" s="1562">
        <f ca="1">INDIRECT("'数据-取费表'!z"&amp;$G$1)</f>
        <v>0</v>
      </c>
    </row>
    <row r="7" ht="18" customHeight="1" spans="1:13">
      <c r="A7" s="1563"/>
      <c r="B7" s="1564"/>
      <c r="C7" s="1565"/>
      <c r="D7" s="1566"/>
      <c r="E7" s="1567" t="s">
        <v>1510</v>
      </c>
      <c r="F7" s="1562">
        <f ca="1">IF(INDIRECT("'数据-取费表'!ah"&amp;$G$1)="",INDIRECT("'数据-取费表'!k"&amp;$G$1),INDIRECT("'数据-取费表'!ah"&amp;$G$1))</f>
        <v>63306.74</v>
      </c>
      <c r="G7" s="645"/>
      <c r="H7" s="1568"/>
      <c r="I7" s="1564"/>
      <c r="J7" s="1569"/>
      <c r="K7" s="1566"/>
      <c r="L7" s="1561" t="s">
        <v>1510</v>
      </c>
      <c r="M7" s="1562">
        <f ca="1">F7</f>
        <v>63306.74</v>
      </c>
    </row>
    <row r="8" ht="18" customHeight="1" spans="1:13">
      <c r="A8" s="1568"/>
      <c r="B8" s="1564"/>
      <c r="C8" s="1569"/>
      <c r="D8" s="1566"/>
      <c r="E8" s="1561" t="s">
        <v>1511</v>
      </c>
      <c r="F8" s="1562">
        <f ca="1">INDIRECT("'数据-取费表'!ai"&amp;$G$1)</f>
        <v>365</v>
      </c>
      <c r="G8" s="645"/>
      <c r="H8" s="1568"/>
      <c r="I8" s="1564"/>
      <c r="J8" s="1569"/>
      <c r="K8" s="1566"/>
      <c r="L8" s="1561" t="s">
        <v>1511</v>
      </c>
      <c r="M8" s="1562">
        <f ca="1">INDIRECT("'数据-取费表'!ai"&amp;$G$1)</f>
        <v>365</v>
      </c>
    </row>
    <row r="9" ht="18" customHeight="1" spans="1:13">
      <c r="A9" s="1568"/>
      <c r="B9" s="1570"/>
      <c r="C9" s="1569"/>
      <c r="D9" s="1566"/>
      <c r="E9" s="1561" t="s">
        <v>1512</v>
      </c>
      <c r="F9" s="1571">
        <f ca="1">INDIRECT("'数据-取费表'!w"&amp;$G$1)</f>
        <v>0.1</v>
      </c>
      <c r="G9" s="645"/>
      <c r="H9" s="1568"/>
      <c r="I9" s="1570"/>
      <c r="J9" s="1569"/>
      <c r="K9" s="1566"/>
      <c r="L9" s="1575" t="s">
        <v>1512</v>
      </c>
      <c r="M9" s="1580">
        <f ca="1">INDIRECT("'数据-取费表'!ab"&amp;$G$1)</f>
        <v>0</v>
      </c>
    </row>
    <row r="10" ht="18" customHeight="1" spans="1:13">
      <c r="A10" s="1557" t="s">
        <v>1222</v>
      </c>
      <c r="B10" s="1572" t="s">
        <v>1513</v>
      </c>
      <c r="C10" s="1573">
        <f ca="1">ROUND(IF(F10="押一",C6/12*F11,IF(F10="押二",C6/12*2*F11,IF(F10="押三",C6/12*3*F11,C11*F11))),0)</f>
        <v>23</v>
      </c>
      <c r="D10" s="1574" t="s">
        <v>1514</v>
      </c>
      <c r="E10" s="1575" t="s">
        <v>1515</v>
      </c>
      <c r="F10" s="1576" t="s">
        <v>1516</v>
      </c>
      <c r="G10" s="645"/>
      <c r="H10" s="1557" t="s">
        <v>1222</v>
      </c>
      <c r="I10" s="1572" t="s">
        <v>1513</v>
      </c>
      <c r="J10" s="1638">
        <f ca="1">ROUND(IF(M10="押一",J6/12*M11,IF(M10="押二",J6/12*2*M11,IF(M10="押三",J6/12*3*M11,J11*M11))),0)</f>
        <v>0</v>
      </c>
      <c r="K10" s="1574" t="s">
        <v>1514</v>
      </c>
      <c r="L10" s="1575" t="s">
        <v>1515</v>
      </c>
      <c r="M10" s="1576" t="s">
        <v>1516</v>
      </c>
    </row>
    <row r="11" ht="18" customHeight="1" spans="1:13">
      <c r="A11" s="1577"/>
      <c r="B11" s="1578" t="s">
        <v>1517</v>
      </c>
      <c r="C11" s="1579"/>
      <c r="D11" s="1932"/>
      <c r="E11" s="1575" t="s">
        <v>1518</v>
      </c>
      <c r="F11" s="1580">
        <f ca="1">'数据-取费表'!B39</f>
        <v>0.015</v>
      </c>
      <c r="G11" s="645"/>
      <c r="H11" s="1581"/>
      <c r="I11" s="1578" t="s">
        <v>1517</v>
      </c>
      <c r="J11" s="1579"/>
      <c r="K11" s="1714"/>
      <c r="L11" s="1575" t="s">
        <v>1518</v>
      </c>
      <c r="M11" s="1715">
        <f ca="1">'数据-取费表'!B39</f>
        <v>0.015</v>
      </c>
    </row>
    <row r="12" ht="18" customHeight="1" spans="1:13">
      <c r="A12" s="1582" t="s">
        <v>1267</v>
      </c>
      <c r="B12" s="1583" t="s">
        <v>1519</v>
      </c>
      <c r="C12" s="1584"/>
      <c r="D12" s="1585"/>
      <c r="E12" s="1586"/>
      <c r="F12" s="1587"/>
      <c r="G12" s="645"/>
      <c r="H12" s="1582" t="s">
        <v>1267</v>
      </c>
      <c r="I12" s="1583" t="s">
        <v>1519</v>
      </c>
      <c r="J12" s="1584"/>
      <c r="K12" s="1716"/>
      <c r="L12" s="1586"/>
      <c r="M12" s="1717"/>
    </row>
    <row r="13" ht="18" customHeight="1" spans="1:13">
      <c r="A13" s="1588">
        <v>2</v>
      </c>
      <c r="B13" s="1589" t="s">
        <v>1520</v>
      </c>
      <c r="C13" s="1590">
        <f ca="1">ROUND(C29*F13,0)</f>
        <v>28915</v>
      </c>
      <c r="D13" s="1591" t="s">
        <v>1521</v>
      </c>
      <c r="E13" s="1591" t="s">
        <v>1522</v>
      </c>
      <c r="F13" s="1592">
        <f ca="1">INDIRECT("'数据-取费表'!y"&amp;$G$1)</f>
        <v>0.85</v>
      </c>
      <c r="G13" s="645"/>
      <c r="H13" s="1588">
        <v>2</v>
      </c>
      <c r="I13" s="1589" t="s">
        <v>1520</v>
      </c>
      <c r="J13" s="1718">
        <f ca="1">ROUND(J14*J15,0)</f>
        <v>0</v>
      </c>
      <c r="K13" s="1616" t="s">
        <v>1521</v>
      </c>
      <c r="L13" s="1719"/>
      <c r="M13" s="1720"/>
    </row>
    <row r="14" ht="18" customHeight="1" spans="1:13">
      <c r="A14" s="1593" t="s">
        <v>1241</v>
      </c>
      <c r="B14" s="1561" t="s">
        <v>1523</v>
      </c>
      <c r="C14" s="1594">
        <f ca="1">INDIRECT("'数据-取费表'!m"&amp;$G$1)+INDIRECT("'数据-取费表'!t"&amp;$G$1)</f>
        <v>22157</v>
      </c>
      <c r="D14" s="1595" t="s">
        <v>1524</v>
      </c>
      <c r="E14" s="1596"/>
      <c r="F14" s="1597"/>
      <c r="G14" s="645"/>
      <c r="H14" s="1593" t="s">
        <v>1218</v>
      </c>
      <c r="I14" s="1561" t="s">
        <v>1525</v>
      </c>
      <c r="J14" s="1598">
        <f ca="1">C29</f>
        <v>34018</v>
      </c>
      <c r="K14" s="1721"/>
      <c r="L14" s="1722"/>
      <c r="M14" s="1723"/>
    </row>
    <row r="15" s="1526" customFormat="1" ht="18" customHeight="1" spans="1:37">
      <c r="A15" s="1593" t="s">
        <v>1245</v>
      </c>
      <c r="B15" s="1561" t="s">
        <v>1526</v>
      </c>
      <c r="C15" s="1598">
        <f ca="1">ROUND(C14*F15,0)</f>
        <v>886</v>
      </c>
      <c r="D15" s="1599" t="s">
        <v>1527</v>
      </c>
      <c r="E15" s="1599" t="s">
        <v>1528</v>
      </c>
      <c r="F15" s="1600">
        <f>'数据-取费表'!B33</f>
        <v>0.04</v>
      </c>
      <c r="G15" s="1601"/>
      <c r="H15" s="1602" t="s">
        <v>1222</v>
      </c>
      <c r="I15" s="1586" t="s">
        <v>1522</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1248</v>
      </c>
      <c r="B16" s="1561" t="s">
        <v>1529</v>
      </c>
      <c r="C16" s="1598">
        <f ca="1">ROUND(INDIRECT("'数据-取费表'!m"&amp;$G$1)*F16,0)</f>
        <v>0</v>
      </c>
      <c r="D16" s="1561" t="s">
        <v>1527</v>
      </c>
      <c r="E16" s="1561" t="s">
        <v>1528</v>
      </c>
      <c r="F16" s="1603">
        <f ca="1">IF(INDIRECT("'数据-取费表'!c"&amp;$G$1)="住宅",'数据-取费表'!B34,0)</f>
        <v>0</v>
      </c>
      <c r="G16" s="645"/>
      <c r="H16" s="1588" t="s">
        <v>532</v>
      </c>
      <c r="I16" s="1589" t="s">
        <v>1530</v>
      </c>
      <c r="J16" s="1590">
        <f ca="1">ROUND(J17+J22+J23+J24,0)</f>
        <v>526</v>
      </c>
      <c r="K16" s="1616" t="s">
        <v>1531</v>
      </c>
      <c r="L16" s="1617"/>
      <c r="M16" s="1556"/>
    </row>
    <row r="17" s="1526" customFormat="1" ht="18" customHeight="1" spans="1:37">
      <c r="A17" s="1593" t="s">
        <v>1532</v>
      </c>
      <c r="B17" s="1561" t="s">
        <v>1533</v>
      </c>
      <c r="C17" s="1598">
        <f ca="1">ROUND(F17*(F43+INDIRECT("'数据-取费表'!S"&amp;$G$1))/10000,0)</f>
        <v>1266</v>
      </c>
      <c r="D17" s="1561" t="s">
        <v>1534</v>
      </c>
      <c r="E17" s="1561" t="s">
        <v>1535</v>
      </c>
      <c r="F17" s="1604">
        <f>'数据-取费表'!B35</f>
        <v>200</v>
      </c>
      <c r="G17" s="1601"/>
      <c r="H17" s="1593" t="s">
        <v>1218</v>
      </c>
      <c r="I17" s="1561" t="s">
        <v>1536</v>
      </c>
      <c r="J17" s="1619">
        <f ca="1">ROUND(IF(AND(项目基本情况!B11="自然人",项目基本情况!B10="北京市"),J6*M17/(1+'数据-取费表'!C42),J18+J19+J20),0)</f>
        <v>16</v>
      </c>
      <c r="K17" s="1595" t="s">
        <v>1537</v>
      </c>
      <c r="L17" s="1620" t="s">
        <v>1538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1539</v>
      </c>
      <c r="B18" s="1561" t="s">
        <v>1540</v>
      </c>
      <c r="C18" s="1598">
        <f ca="1">ROUND(C14*F18,0)</f>
        <v>332</v>
      </c>
      <c r="D18" s="1561" t="s">
        <v>1527</v>
      </c>
      <c r="E18" s="1561" t="s">
        <v>1528</v>
      </c>
      <c r="F18" s="1603">
        <f>'数据-取费表'!B36</f>
        <v>0.015</v>
      </c>
      <c r="G18" s="1601"/>
      <c r="H18" s="1593" t="s">
        <v>1241</v>
      </c>
      <c r="I18" s="1561" t="s">
        <v>1541</v>
      </c>
      <c r="J18" s="1598">
        <f ca="1">ROUND(J6*M18/(1+'数据-取费表'!C42),2)</f>
        <v>0</v>
      </c>
      <c r="K18" s="1620" t="s">
        <v>1542</v>
      </c>
      <c r="L18" s="1561" t="s">
        <v>1528</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1218</v>
      </c>
      <c r="B19" s="1561" t="s">
        <v>1543</v>
      </c>
      <c r="C19" s="1598">
        <f ca="1">SUM(C14:C18)</f>
        <v>24641</v>
      </c>
      <c r="D19" s="1605" t="s">
        <v>1544</v>
      </c>
      <c r="E19" s="1606"/>
      <c r="F19" s="1604"/>
      <c r="G19" s="645"/>
      <c r="H19" s="1593" t="s">
        <v>1245</v>
      </c>
      <c r="I19" s="1561" t="s">
        <v>1545</v>
      </c>
      <c r="J19" s="1598">
        <f ca="1">IF(K19="按租金收入计税",ROUND(J6*M19/(1+'数据-取费表'!C42),2),ROUND(C29*M19*0.7,2))</f>
        <v>0</v>
      </c>
      <c r="K19" s="1623" t="s">
        <v>1546</v>
      </c>
      <c r="L19" s="1561" t="s">
        <v>1528</v>
      </c>
      <c r="M19" s="1603">
        <f>IF(K19="按租金收入计税",'数据-取费表'!B51,'数据-取费表'!B50)</f>
        <v>0.12</v>
      </c>
    </row>
    <row r="20" s="1526" customFormat="1" ht="18" customHeight="1" spans="1:37">
      <c r="A20" s="1593" t="s">
        <v>1222</v>
      </c>
      <c r="B20" s="1561" t="s">
        <v>1547</v>
      </c>
      <c r="C20" s="1598">
        <f ca="1">ROUND(C19*F20,0)</f>
        <v>493</v>
      </c>
      <c r="D20" s="1607" t="s">
        <v>1548</v>
      </c>
      <c r="E20" s="1561" t="s">
        <v>1528</v>
      </c>
      <c r="F20" s="1603">
        <f>'数据-取费表'!B37</f>
        <v>0.02</v>
      </c>
      <c r="G20" s="1601"/>
      <c r="H20" s="1593" t="s">
        <v>1248</v>
      </c>
      <c r="I20" s="1560" t="s">
        <v>1549</v>
      </c>
      <c r="J20" s="1625">
        <f ca="1">ROUND(M20*M21/10000,2)</f>
        <v>15.58</v>
      </c>
      <c r="K20" s="1626" t="s">
        <v>1550</v>
      </c>
      <c r="L20" s="1561" t="s">
        <v>1551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1267</v>
      </c>
      <c r="B21" s="1561" t="s">
        <v>1552</v>
      </c>
      <c r="C21" s="1598" t="s">
        <v>124</v>
      </c>
      <c r="D21" s="1607" t="s">
        <v>1553</v>
      </c>
      <c r="E21" s="1561" t="s">
        <v>1554</v>
      </c>
      <c r="F21" s="1603">
        <f>'数据-取费表'!B38</f>
        <v>0.02</v>
      </c>
      <c r="G21" s="1601"/>
      <c r="H21" s="1608"/>
      <c r="I21" s="1727"/>
      <c r="J21" s="1629"/>
      <c r="K21" s="1630"/>
      <c r="L21" s="1561" t="s">
        <v>1555</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1270</v>
      </c>
      <c r="B22" s="1561" t="s">
        <v>1556</v>
      </c>
      <c r="C22" s="1598"/>
      <c r="D22" s="1605" t="str">
        <f>IF(F23&lt;=1,"单利计息。","复利计息。")&amp;"建造成本、管理费用、销售费用产生的利息。"</f>
        <v>复利计息。建造成本、管理费用、销售费用产生的利息。</v>
      </c>
      <c r="E22" s="1606"/>
      <c r="F22" s="1604"/>
      <c r="G22" s="645"/>
      <c r="H22" s="1593" t="s">
        <v>1222</v>
      </c>
      <c r="I22" s="1561" t="s">
        <v>1557</v>
      </c>
      <c r="J22" s="1598">
        <f ca="1">ROUND(J14*M22,1)</f>
        <v>510.3</v>
      </c>
      <c r="K22" s="1620" t="s">
        <v>1558</v>
      </c>
      <c r="L22" s="1561" t="s">
        <v>1528</v>
      </c>
      <c r="M22" s="1632">
        <f ca="1">INDIRECT("'数据-取费表'!Ak"&amp;$G$1)</f>
        <v>0.015</v>
      </c>
    </row>
    <row r="23" s="1526" customFormat="1" ht="18" customHeight="1" spans="1:37">
      <c r="A23" s="1593" t="s">
        <v>1241</v>
      </c>
      <c r="B23" s="1561" t="s">
        <v>1559</v>
      </c>
      <c r="C23" s="1598">
        <f ca="1">IF('数据-取费表'!B22&lt;=1,ROUND(C19*F24*F23/2,0)+ROUND(C20*F24*F23/2,0),ROUND(C19*(POWER((1+F24),F23/2)-1),0)+ROUND(C20*(POWER((1+F24),F23/2)-1),0))</f>
        <v>1193</v>
      </c>
      <c r="D23" s="1609" t="str">
        <f>IF(F23&lt;=1,"(建造成本+管理费用)×利率×(建设周期÷2)","(建造成本+管理费用)×((1+利率)^(建设周期÷2)-1)")</f>
        <v>(建造成本+管理费用)×((1+利率)^(建设周期÷2)-1)</v>
      </c>
      <c r="E23" s="1561" t="s">
        <v>1560</v>
      </c>
      <c r="F23" s="1610">
        <f>'数据-取费表'!B20</f>
        <v>2</v>
      </c>
      <c r="G23" s="1601"/>
      <c r="H23" s="1593" t="s">
        <v>1267</v>
      </c>
      <c r="I23" s="1561" t="s">
        <v>1561</v>
      </c>
      <c r="J23" s="1598">
        <f ca="1">ROUND(J13*M23,1)</f>
        <v>0</v>
      </c>
      <c r="K23" s="1620" t="s">
        <v>1562</v>
      </c>
      <c r="L23" s="1561" t="s">
        <v>1528</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1245</v>
      </c>
      <c r="B24" s="1561" t="s">
        <v>1563</v>
      </c>
      <c r="C24" s="1598">
        <f ca="1">ROUND(IF('数据-取费表'!B22&lt;=1,F21*F24*F23/2,F21*(POWER((1+F24),F23/2)-1)),4)</f>
        <v>0.001</v>
      </c>
      <c r="D24" s="1609" t="str">
        <f>IF(F23&lt;=1,"销售费用×利率×(建设周期÷2)","销售费用×((1+利率)^(建设周期÷2)-1)")</f>
        <v>销售费用×((1+利率)^(建设周期÷2)-1)</v>
      </c>
      <c r="E24" s="1561" t="s">
        <v>1564</v>
      </c>
      <c r="F24" s="1611">
        <f ca="1">'数据-取费表'!B40</f>
        <v>0.0475</v>
      </c>
      <c r="G24" s="1601"/>
      <c r="H24" s="1602" t="s">
        <v>1270</v>
      </c>
      <c r="I24" s="1586" t="s">
        <v>1547</v>
      </c>
      <c r="J24" s="1612">
        <f ca="1">ROUND(J5*M24,1)</f>
        <v>0</v>
      </c>
      <c r="K24" s="1613" t="s">
        <v>1565</v>
      </c>
      <c r="L24" s="1586" t="s">
        <v>1528</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1274</v>
      </c>
      <c r="B25" s="1561" t="s">
        <v>1566</v>
      </c>
      <c r="C25" s="1598"/>
      <c r="D25" s="1605" t="s">
        <v>1567</v>
      </c>
      <c r="E25" s="1606"/>
      <c r="F25" s="1604"/>
      <c r="G25" s="645"/>
      <c r="H25" s="1588" t="s">
        <v>1568</v>
      </c>
      <c r="I25" s="1634" t="s">
        <v>1569</v>
      </c>
      <c r="J25" s="1590">
        <f ca="1">J5-J16</f>
        <v>-526</v>
      </c>
      <c r="K25" s="1635" t="s">
        <v>1570</v>
      </c>
      <c r="L25" s="1636"/>
      <c r="M25" s="1637"/>
    </row>
    <row r="26" spans="1:13">
      <c r="A26" s="1593" t="s">
        <v>1241</v>
      </c>
      <c r="B26" s="1561" t="s">
        <v>1571</v>
      </c>
      <c r="C26" s="1598">
        <f ca="1">ROUND((C19+C20)*F26,0)</f>
        <v>5027</v>
      </c>
      <c r="D26" s="1607" t="s">
        <v>1572</v>
      </c>
      <c r="E26" s="1575" t="s">
        <v>1573</v>
      </c>
      <c r="F26" s="1571">
        <f ca="1">INDIRECT("'数据-取费表'!q"&amp;$G$1)</f>
        <v>0.2</v>
      </c>
      <c r="G26" s="645"/>
      <c r="H26" s="1551" t="s">
        <v>1574</v>
      </c>
      <c r="I26" s="1552" t="s">
        <v>1575</v>
      </c>
      <c r="J26" s="1638">
        <f ca="1">IF(J5&lt;&gt;0,ROUND(J25*(1-((1+M28)/(1+M26))^M27)/(M26-M28),0),0)</f>
        <v>0</v>
      </c>
      <c r="K26" s="1626" t="s">
        <v>1576</v>
      </c>
      <c r="L26" s="1561" t="s">
        <v>1577</v>
      </c>
      <c r="M26" s="1571">
        <f ca="1">INDIRECT("'数据-取费表'!I"&amp;$G$1)</f>
        <v>0.055</v>
      </c>
    </row>
    <row r="27" ht="18" customHeight="1" spans="1:13">
      <c r="A27" s="1593" t="s">
        <v>1245</v>
      </c>
      <c r="B27" s="1561" t="s">
        <v>1578</v>
      </c>
      <c r="C27" s="1598">
        <f ca="1">ROUND(F21*F26,4)</f>
        <v>0.004</v>
      </c>
      <c r="D27" s="1607" t="s">
        <v>1579</v>
      </c>
      <c r="E27" s="1599"/>
      <c r="F27" s="1600"/>
      <c r="G27" s="645"/>
      <c r="H27" s="1568"/>
      <c r="I27" s="1640"/>
      <c r="J27" s="1569"/>
      <c r="K27" s="1641" t="s">
        <v>1580</v>
      </c>
      <c r="L27" s="1561" t="s">
        <v>1581</v>
      </c>
      <c r="M27" s="1642">
        <f ca="1">INDIRECT("'数据-取费表'!ag"&amp;$G$1)</f>
        <v>0</v>
      </c>
    </row>
    <row r="28" s="1526" customFormat="1" ht="18" customHeight="1" spans="1:37">
      <c r="A28" s="1593" t="s">
        <v>1275</v>
      </c>
      <c r="B28" s="1561" t="s">
        <v>1582</v>
      </c>
      <c r="C28" s="1598">
        <f>ROUND(F28/(1+'数据-取费表'!C42),4)</f>
        <v>0.0533</v>
      </c>
      <c r="D28" s="1607" t="s">
        <v>1583</v>
      </c>
      <c r="E28" s="1561" t="s">
        <v>1528</v>
      </c>
      <c r="F28" s="1603">
        <f>'数据-取费表'!B41</f>
        <v>0.056</v>
      </c>
      <c r="G28" s="1601"/>
      <c r="H28" s="1577"/>
      <c r="I28" s="1644"/>
      <c r="J28" s="1590"/>
      <c r="K28" s="1630"/>
      <c r="L28" s="1561" t="s">
        <v>1584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1585</v>
      </c>
      <c r="B29" s="1586" t="s">
        <v>1586</v>
      </c>
      <c r="C29" s="1612">
        <f ca="1">ROUND((C19+C20+C23+C26)/(1-F21-C24-C27-C28),0)</f>
        <v>34018</v>
      </c>
      <c r="D29" s="1613"/>
      <c r="E29" s="1586"/>
      <c r="F29" s="1614"/>
      <c r="G29" s="1601"/>
      <c r="H29" s="1615" t="s">
        <v>1587</v>
      </c>
      <c r="I29" s="1645" t="s">
        <v>1588</v>
      </c>
      <c r="J29" s="1646">
        <f ca="1">ROUND(J26/(1+F40)^F41,0)</f>
        <v>0</v>
      </c>
      <c r="K29" s="1647" t="s">
        <v>1589</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1530</v>
      </c>
      <c r="C30" s="1590">
        <f ca="1">ROUND(C31+C36+C37+C38,0)</f>
        <v>4082</v>
      </c>
      <c r="D30" s="1616" t="s">
        <v>1531</v>
      </c>
      <c r="E30" s="1617"/>
      <c r="F30" s="1556"/>
      <c r="G30" s="645"/>
      <c r="H30" s="1618"/>
      <c r="I30" s="1728"/>
      <c r="J30" s="1729"/>
      <c r="K30" s="1730"/>
      <c r="L30" s="1731"/>
      <c r="M30" s="1732"/>
    </row>
    <row r="31" ht="18" customHeight="1" spans="1:13">
      <c r="A31" s="1593" t="s">
        <v>1218</v>
      </c>
      <c r="B31" s="1561" t="s">
        <v>1536</v>
      </c>
      <c r="C31" s="1619">
        <f ca="1">ROUND(IF(AND(项目基本情况!B11="自然人",项目基本情况!B10="北京市"),C6*F31/(1+'数据-取费表'!C42),C32+C33+C34),0)</f>
        <v>3153</v>
      </c>
      <c r="D31" s="1595" t="s">
        <v>1537</v>
      </c>
      <c r="E31" s="1620" t="s">
        <v>1538</v>
      </c>
      <c r="F31" s="1621" t="str">
        <f ca="1">IF(项目基本情况!B11="企业","——",IF('数据-取费表'!B10="住宅",IF(F6*F7*F8/12/(1+'数据-取费表'!F30)&gt;100000,4%,2.5%),IF(F6*F7*F8/12/(1+'数据-取费表'!F30)&gt;100000,12%,7%)))</f>
        <v>——</v>
      </c>
      <c r="G31" s="645"/>
      <c r="H31" s="1622" t="s">
        <v>1590</v>
      </c>
      <c r="I31" s="1728"/>
      <c r="J31" s="1729"/>
      <c r="K31" s="1730"/>
      <c r="L31" s="1731"/>
      <c r="M31" s="1732"/>
    </row>
    <row r="32" ht="18" customHeight="1" spans="1:13">
      <c r="A32" s="1593" t="s">
        <v>1241</v>
      </c>
      <c r="B32" s="1561" t="s">
        <v>1541</v>
      </c>
      <c r="C32" s="1598">
        <f ca="1">IF(项目基本情况!B11="自然人","——",ROUND(C6*F32/(1+'数据-取费表'!C42),2))</f>
        <v>998.24</v>
      </c>
      <c r="D32" s="1620" t="s">
        <v>1542</v>
      </c>
      <c r="E32" s="1561" t="s">
        <v>1528</v>
      </c>
      <c r="F32" s="1611">
        <f>'数据-取费表'!B41</f>
        <v>0.056</v>
      </c>
      <c r="G32" s="645"/>
      <c r="H32" s="1618"/>
      <c r="I32" s="1728"/>
      <c r="J32" s="1729"/>
      <c r="K32" s="1730"/>
      <c r="L32" s="1731"/>
      <c r="M32" s="1732"/>
    </row>
    <row r="33" ht="18" customHeight="1" spans="1:13">
      <c r="A33" s="1593" t="s">
        <v>1245</v>
      </c>
      <c r="B33" s="1561" t="s">
        <v>1545</v>
      </c>
      <c r="C33" s="1598">
        <f ca="1">IF(项目基本情况!B11="自然人","——",IF(D33="按租金收入计税",ROUND(C6*F33/(1+'数据-取费表'!C42),2),IF(D33="按房产原值计税",ROUND(C29*F33*0.7,2),INDIRECT("'数据-取费表'!Aj"&amp;$G$1))))</f>
        <v>2139.09</v>
      </c>
      <c r="D33" s="1623" t="s">
        <v>1546</v>
      </c>
      <c r="E33" s="1561" t="s">
        <v>1528</v>
      </c>
      <c r="F33" s="1603">
        <f>IF(D33="按票据","——",IF(D33="按租金收入计税",'数据-取费表'!B51,'数据-取费表'!B50))</f>
        <v>0.12</v>
      </c>
      <c r="G33" s="645"/>
      <c r="H33" s="1624"/>
      <c r="I33" s="1728"/>
      <c r="J33" s="1729"/>
      <c r="K33" s="1733"/>
      <c r="L33" s="1624"/>
      <c r="M33" s="1624"/>
    </row>
    <row r="34" ht="18" customHeight="1" spans="1:13">
      <c r="A34" s="1557" t="s">
        <v>1248</v>
      </c>
      <c r="B34" s="1560" t="s">
        <v>1549</v>
      </c>
      <c r="C34" s="1625">
        <f ca="1">IF(项目基本情况!B11="自然人","——",ROUND(F34*F35/10000,2))</f>
        <v>15.58</v>
      </c>
      <c r="D34" s="1626" t="s">
        <v>1550</v>
      </c>
      <c r="E34" s="1561" t="s">
        <v>1551</v>
      </c>
      <c r="F34" s="1610">
        <f>'数据-取费表'!B52</f>
        <v>18</v>
      </c>
      <c r="G34" s="645"/>
      <c r="H34" s="1618"/>
      <c r="I34" s="1728"/>
      <c r="J34" s="1729"/>
      <c r="K34" s="1734"/>
      <c r="L34" s="1735"/>
      <c r="M34" s="1735"/>
    </row>
    <row r="35" ht="18" customHeight="1" spans="1:13">
      <c r="A35" s="1627"/>
      <c r="B35" s="1628"/>
      <c r="C35" s="1629"/>
      <c r="D35" s="1630"/>
      <c r="E35" s="1561" t="s">
        <v>1555</v>
      </c>
      <c r="F35" s="1562">
        <f ca="1">INDIRECT("'数据-取费表'!r"&amp;$G$1)</f>
        <v>8652.93</v>
      </c>
      <c r="G35" s="645"/>
      <c r="H35" s="1618"/>
      <c r="I35" s="1728"/>
      <c r="J35" s="1729"/>
      <c r="K35" s="1733"/>
      <c r="L35" s="1624"/>
      <c r="M35" s="1624"/>
    </row>
    <row r="36" ht="18" customHeight="1" spans="1:13">
      <c r="A36" s="1631" t="s">
        <v>1222</v>
      </c>
      <c r="B36" s="1561" t="s">
        <v>1557</v>
      </c>
      <c r="C36" s="1598">
        <f ca="1">ROUND(C29*F36,1)</f>
        <v>510.3</v>
      </c>
      <c r="D36" s="1620" t="s">
        <v>1591</v>
      </c>
      <c r="E36" s="1561" t="s">
        <v>1528</v>
      </c>
      <c r="F36" s="1632">
        <f ca="1">INDIRECT("'数据-取费表'!Ak"&amp;$G$1)</f>
        <v>0.015</v>
      </c>
      <c r="G36" s="645"/>
      <c r="H36" s="1624"/>
      <c r="I36" s="1728"/>
      <c r="J36" s="1729"/>
      <c r="K36" s="1736"/>
      <c r="L36" s="1624"/>
      <c r="M36" s="1624"/>
    </row>
    <row r="37" ht="18" customHeight="1" spans="1:13">
      <c r="A37" s="1593" t="s">
        <v>1267</v>
      </c>
      <c r="B37" s="1561" t="s">
        <v>1561</v>
      </c>
      <c r="C37" s="1598">
        <f ca="1">ROUND(C13*F37,1)</f>
        <v>43.4</v>
      </c>
      <c r="D37" s="1620" t="s">
        <v>1562</v>
      </c>
      <c r="E37" s="1561" t="s">
        <v>1528</v>
      </c>
      <c r="F37" s="1633">
        <f ca="1">INDIRECT("'数据-取费表'!Al"&amp;$G$1)</f>
        <v>0.0015</v>
      </c>
      <c r="G37" s="645"/>
      <c r="H37" s="1624"/>
      <c r="I37" s="1728"/>
      <c r="J37" s="1729"/>
      <c r="K37" s="1736"/>
      <c r="L37" s="1624"/>
      <c r="M37" s="1624"/>
    </row>
    <row r="38" ht="18" customHeight="1" spans="1:13">
      <c r="A38" s="1602" t="s">
        <v>1270</v>
      </c>
      <c r="B38" s="1586" t="s">
        <v>1547</v>
      </c>
      <c r="C38" s="1612">
        <f ca="1">ROUND(C5*F38,1)</f>
        <v>374.8</v>
      </c>
      <c r="D38" s="1613" t="s">
        <v>1565</v>
      </c>
      <c r="E38" s="1586" t="s">
        <v>1528</v>
      </c>
      <c r="F38" s="1587">
        <f ca="1">INDIRECT("'数据-取费表'!Am"&amp;$G$1)</f>
        <v>0.02</v>
      </c>
      <c r="G38" s="645"/>
      <c r="H38" s="1624"/>
      <c r="I38" s="1728"/>
      <c r="J38" s="1729"/>
      <c r="K38" s="1737"/>
      <c r="L38" s="1624"/>
      <c r="M38" s="1624"/>
    </row>
    <row r="39" ht="24.6" customHeight="1" spans="1:13">
      <c r="A39" s="1588" t="s">
        <v>1568</v>
      </c>
      <c r="B39" s="1634" t="s">
        <v>1569</v>
      </c>
      <c r="C39" s="1590">
        <f ca="1">C5-C30</f>
        <v>14658</v>
      </c>
      <c r="D39" s="1635" t="s">
        <v>1570</v>
      </c>
      <c r="E39" s="1636"/>
      <c r="F39" s="1637"/>
      <c r="G39" s="645"/>
      <c r="H39" s="1624"/>
      <c r="I39" s="1728"/>
      <c r="J39" s="1729"/>
      <c r="K39" s="1737"/>
      <c r="L39" s="1624"/>
      <c r="M39" s="1624"/>
    </row>
    <row r="40" ht="18" customHeight="1" spans="1:13">
      <c r="A40" s="1551" t="s">
        <v>1574</v>
      </c>
      <c r="B40" s="1552" t="s">
        <v>1592</v>
      </c>
      <c r="C40" s="1638">
        <f ca="1">ROUND(C39*(1-((1+F42)/(1+F40))^F41)/(F40-F42),0)</f>
        <v>320276</v>
      </c>
      <c r="D40" s="1626" t="s">
        <v>1576</v>
      </c>
      <c r="E40" s="1561" t="s">
        <v>1577</v>
      </c>
      <c r="F40" s="1571">
        <f ca="1">INDIRECT("'数据-取费表'!I"&amp;$G$1)</f>
        <v>0.055</v>
      </c>
      <c r="G40" s="645"/>
      <c r="H40" s="1639"/>
      <c r="I40" s="1728"/>
      <c r="J40" s="1729"/>
      <c r="K40" s="1737"/>
      <c r="L40" s="1639"/>
      <c r="M40" s="1639"/>
    </row>
    <row r="41" ht="18" customHeight="1" spans="1:13">
      <c r="A41" s="1568"/>
      <c r="B41" s="1640"/>
      <c r="C41" s="1569"/>
      <c r="D41" s="1641" t="s">
        <v>1580</v>
      </c>
      <c r="E41" s="1561" t="s">
        <v>1581</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1584</v>
      </c>
      <c r="F42" s="1571">
        <f ca="1">INDIRECT("'数据-取费表'!v"&amp;$G$1)</f>
        <v>0.03</v>
      </c>
      <c r="G42" s="645"/>
      <c r="H42" s="1643"/>
      <c r="I42" s="1728"/>
      <c r="J42" s="1729"/>
      <c r="K42" s="1736"/>
      <c r="L42" s="1643"/>
      <c r="M42" s="1643"/>
    </row>
    <row r="43" ht="18" customHeight="1" spans="1:13">
      <c r="A43" s="1615" t="s">
        <v>1587</v>
      </c>
      <c r="B43" s="1645" t="s">
        <v>1593</v>
      </c>
      <c r="C43" s="1646">
        <f ca="1">ROUND(C40*10000/F43,0)</f>
        <v>50591</v>
      </c>
      <c r="D43" s="1647" t="s">
        <v>1594</v>
      </c>
      <c r="E43" s="1648" t="s">
        <v>1595</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1596</v>
      </c>
      <c r="P45" s="1639"/>
      <c r="Q45" s="1639"/>
      <c r="R45" s="1639"/>
    </row>
    <row r="46" s="645" customFormat="1" ht="13.5" spans="1:18">
      <c r="A46" s="1654" t="s">
        <v>1597</v>
      </c>
      <c r="C46" s="1655">
        <f ca="1">C68-C40</f>
        <v>-371910</v>
      </c>
      <c r="D46" s="1656" t="str">
        <f>C2</f>
        <v>万元</v>
      </c>
      <c r="E46" s="1650"/>
      <c r="F46" s="1650"/>
      <c r="I46" s="1740" t="s">
        <v>1598</v>
      </c>
      <c r="J46" s="1741"/>
      <c r="K46" s="1742"/>
      <c r="L46" s="1743" t="str">
        <f ca="1">IF(M47="住宅",0,IF(L48&gt;J51,L60,J60))</f>
        <v>0</v>
      </c>
      <c r="O46" s="1744" t="s">
        <v>1599</v>
      </c>
      <c r="P46" s="1745" t="s">
        <v>1600</v>
      </c>
      <c r="Q46" s="1791" t="s">
        <v>1601</v>
      </c>
      <c r="R46" s="1791" t="s">
        <v>1602</v>
      </c>
    </row>
    <row r="47" s="645" customFormat="1" ht="13.5" spans="1:18">
      <c r="A47" s="1657" t="s">
        <v>1499</v>
      </c>
      <c r="B47" s="1658" t="s">
        <v>1500</v>
      </c>
      <c r="C47" s="1933" t="s">
        <v>1501</v>
      </c>
      <c r="D47" s="1658" t="s">
        <v>1502</v>
      </c>
      <c r="E47" s="1659" t="s">
        <v>1503</v>
      </c>
      <c r="F47" s="1660"/>
      <c r="G47" s="1661"/>
      <c r="I47" s="1746" t="s">
        <v>1603</v>
      </c>
      <c r="J47" s="1747" t="s">
        <v>1367</v>
      </c>
      <c r="K47" s="1748" t="s">
        <v>1604</v>
      </c>
      <c r="L47" s="1749">
        <f ca="1">INDIRECT("'数据-取费表'!d"&amp;$G$1)</f>
        <v>50</v>
      </c>
      <c r="M47" s="1750" t="str">
        <f>IF(ISNUMBER(FIND("住宅",C1)),"住宅","非住宅")</f>
        <v>非住宅</v>
      </c>
      <c r="O47" s="1751" t="s">
        <v>1605</v>
      </c>
      <c r="P47" s="1752" t="s">
        <v>1606</v>
      </c>
      <c r="Q47" s="1792">
        <f ca="1">C40+J29</f>
        <v>320276</v>
      </c>
      <c r="R47" s="1792" t="s">
        <v>1607</v>
      </c>
    </row>
    <row r="48" s="645" customFormat="1" ht="26.25" spans="1:18">
      <c r="A48" s="1662" t="s">
        <v>1608</v>
      </c>
      <c r="B48" s="1552" t="s">
        <v>1504</v>
      </c>
      <c r="C48" s="1663">
        <f ca="1">C49+C53+C55</f>
        <v>0</v>
      </c>
      <c r="D48" s="1664"/>
      <c r="E48" s="1665"/>
      <c r="F48" s="1666"/>
      <c r="G48" s="1661"/>
      <c r="H48" s="1667"/>
      <c r="I48" s="707" t="s">
        <v>1609</v>
      </c>
      <c r="J48" s="1753" t="s">
        <v>1610</v>
      </c>
      <c r="K48" s="1754" t="s">
        <v>1611</v>
      </c>
      <c r="L48" s="1755">
        <f ca="1">INDIRECT("'数据-取费表'!f"&amp;$G$1)</f>
        <v>32.95</v>
      </c>
      <c r="O48" s="1751" t="s">
        <v>1612</v>
      </c>
      <c r="P48" s="1752" t="s">
        <v>1613</v>
      </c>
      <c r="Q48" s="1792" t="str">
        <f ca="1">J60</f>
        <v>0</v>
      </c>
      <c r="R48" s="1792" t="s">
        <v>1614</v>
      </c>
    </row>
    <row r="49" s="645" customFormat="1" ht="13.5" spans="1:18">
      <c r="A49" s="1668" t="s">
        <v>1615</v>
      </c>
      <c r="B49" s="1669" t="s">
        <v>1616</v>
      </c>
      <c r="C49" s="1670">
        <f ca="1">ROUND(F49*F51*F50*(1-F52)/10000,0)</f>
        <v>0</v>
      </c>
      <c r="D49" s="1671" t="s">
        <v>1509</v>
      </c>
      <c r="E49" s="1672" t="s">
        <v>1617</v>
      </c>
      <c r="F49" s="1673"/>
      <c r="G49" s="1674"/>
      <c r="H49" s="1667"/>
      <c r="I49" s="707" t="s">
        <v>1618</v>
      </c>
      <c r="J49" s="1756">
        <v>2008</v>
      </c>
      <c r="K49" s="1754" t="s">
        <v>1619</v>
      </c>
      <c r="L49" s="1757"/>
      <c r="O49" s="1758" t="s">
        <v>1620</v>
      </c>
      <c r="P49" s="1752" t="s">
        <v>1621</v>
      </c>
      <c r="Q49" s="1792">
        <f ca="1">C29</f>
        <v>34018</v>
      </c>
      <c r="R49" s="1792" t="s">
        <v>1607</v>
      </c>
    </row>
    <row r="50" s="645" customFormat="1" ht="13.5" spans="1:18">
      <c r="A50" s="1675"/>
      <c r="B50" s="1676"/>
      <c r="C50" s="1934"/>
      <c r="D50" s="1678"/>
      <c r="E50" s="1679" t="s">
        <v>1510</v>
      </c>
      <c r="F50" s="1680">
        <f ca="1">F7</f>
        <v>63306.74</v>
      </c>
      <c r="H50" s="1667"/>
      <c r="I50" s="707" t="s">
        <v>1622</v>
      </c>
      <c r="J50" s="1759">
        <f>SUMPRODUCT((I63:I65=J47)*(J62:L62=J48)*(J63:L65))</f>
        <v>60</v>
      </c>
      <c r="K50" s="1754" t="s">
        <v>1623</v>
      </c>
      <c r="L50" s="1757"/>
      <c r="M50" s="1760"/>
      <c r="O50" s="1758" t="s">
        <v>1624</v>
      </c>
      <c r="P50" s="1752" t="s">
        <v>1625</v>
      </c>
      <c r="Q50" s="1793" t="e">
        <f ca="1">J58</f>
        <v>#VALUE!</v>
      </c>
      <c r="R50" s="1792"/>
    </row>
    <row r="51" s="645" customFormat="1" ht="13.5" spans="1:18">
      <c r="A51" s="1681"/>
      <c r="B51" s="1676"/>
      <c r="C51" s="1677"/>
      <c r="D51" s="1678"/>
      <c r="E51" s="1682" t="s">
        <v>1511</v>
      </c>
      <c r="F51" s="1562">
        <f ca="1">F8</f>
        <v>365</v>
      </c>
      <c r="I51" s="1761" t="s">
        <v>1626</v>
      </c>
      <c r="J51" s="1762">
        <f>IF(J49="",J50,J49+J50-YEAR('数据-取费表'!B2))</f>
        <v>48</v>
      </c>
      <c r="K51" s="1763" t="s">
        <v>1627</v>
      </c>
      <c r="L51" s="1764">
        <f ca="1">ROUND(-PV(INDIRECT("'数据-取费表'!h"&amp;$G$1),J51,(C39-C13*C76),0),0)</f>
        <v>220545</v>
      </c>
      <c r="M51" s="1765"/>
      <c r="O51" s="1758" t="s">
        <v>1628</v>
      </c>
      <c r="P51" s="1752" t="s">
        <v>1629</v>
      </c>
      <c r="Q51" s="1793">
        <f>J52</f>
        <v>0</v>
      </c>
      <c r="R51" s="1792"/>
    </row>
    <row r="52" s="645" customFormat="1" ht="13.5" spans="1:18">
      <c r="A52" s="1681"/>
      <c r="B52" s="1676"/>
      <c r="C52" s="1677"/>
      <c r="D52" s="1678"/>
      <c r="E52" s="1682" t="s">
        <v>1512</v>
      </c>
      <c r="F52" s="1683"/>
      <c r="I52" s="1766" t="s">
        <v>1630</v>
      </c>
      <c r="J52" s="1767"/>
      <c r="K52" s="1766" t="s">
        <v>1631</v>
      </c>
      <c r="L52" s="1767"/>
      <c r="O52" s="1758" t="s">
        <v>1632</v>
      </c>
      <c r="P52" s="1752" t="s">
        <v>1633</v>
      </c>
      <c r="Q52" s="1792">
        <f ca="1">J53</f>
        <v>32.95</v>
      </c>
      <c r="R52" s="1792" t="s">
        <v>1634</v>
      </c>
    </row>
    <row r="53" s="645" customFormat="1" ht="24.75" spans="1:18">
      <c r="A53" s="1935" t="s">
        <v>1635</v>
      </c>
      <c r="B53" s="1936" t="s">
        <v>1513</v>
      </c>
      <c r="C53" s="1573">
        <f ca="1">ROUND(IF(F53="押一",C49/12*F11,IF(F53="押二",C49/12*2*F11,IF(F53="押三",C49/12*3*F11,C54*F11))),0)</f>
        <v>0</v>
      </c>
      <c r="D53" s="1574" t="s">
        <v>1514</v>
      </c>
      <c r="E53" s="1575" t="s">
        <v>1515</v>
      </c>
      <c r="F53" s="1576"/>
      <c r="I53" s="1768" t="s">
        <v>1636</v>
      </c>
      <c r="J53" s="1769">
        <f ca="1">IF(M47="住宅",IF(D1="——",MAX(J51,L48),MAX(J51,L48-'数据-取费表'!B24)),IF(D1="——",MIN(J51,L48),MIN(J51,L48-'数据-取费表'!B24)))</f>
        <v>32.95</v>
      </c>
      <c r="K53" s="1770" t="s">
        <v>1637</v>
      </c>
      <c r="L53" s="1771"/>
      <c r="O53" s="1751" t="s">
        <v>1638</v>
      </c>
      <c r="P53" s="1752" t="s">
        <v>1639</v>
      </c>
      <c r="Q53" s="1792">
        <f ca="1">Q47+Q48</f>
        <v>320276</v>
      </c>
      <c r="R53" s="1792" t="s">
        <v>1640</v>
      </c>
    </row>
    <row r="54" s="645" customFormat="1" ht="13.5" spans="1:18">
      <c r="A54" s="1937"/>
      <c r="B54" s="1578" t="s">
        <v>1517</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1641</v>
      </c>
      <c r="P54" s="1774"/>
      <c r="Q54" s="1774"/>
      <c r="R54" s="1774"/>
    </row>
    <row r="55" s="645" customFormat="1" ht="13.5" spans="1:18">
      <c r="A55" s="1582" t="s">
        <v>1267</v>
      </c>
      <c r="B55" s="1583" t="s">
        <v>1519</v>
      </c>
      <c r="C55" s="1584"/>
      <c r="D55" s="1574"/>
      <c r="E55" s="1686"/>
      <c r="F55" s="1687"/>
      <c r="I55" s="1775" t="s">
        <v>1642</v>
      </c>
      <c r="J55" s="1776" t="e">
        <f ca="1">ROUND(IF(J47="钢混",J57/J50,1-(1-2%)*(J50-J57)/J50),3)</f>
        <v>#VALUE!</v>
      </c>
      <c r="K55" s="1777" t="s">
        <v>1643</v>
      </c>
      <c r="L55" s="1778" t="s">
        <v>1644</v>
      </c>
      <c r="O55" s="1744" t="s">
        <v>1599</v>
      </c>
      <c r="P55" s="1745" t="s">
        <v>1600</v>
      </c>
      <c r="Q55" s="1791" t="s">
        <v>1601</v>
      </c>
      <c r="R55" s="1791" t="s">
        <v>1602</v>
      </c>
    </row>
    <row r="56" s="645" customFormat="1" ht="25.5" spans="1:18">
      <c r="A56" s="1688">
        <v>2</v>
      </c>
      <c r="B56" s="1689" t="s">
        <v>1520</v>
      </c>
      <c r="C56" s="183">
        <f ca="1">C13</f>
        <v>28915</v>
      </c>
      <c r="D56" s="1690"/>
      <c r="E56" s="1691"/>
      <c r="F56" s="1687"/>
      <c r="I56" s="1779" t="s">
        <v>1645</v>
      </c>
      <c r="J56" s="1780" t="s">
        <v>473</v>
      </c>
      <c r="K56" s="707" t="s">
        <v>1646</v>
      </c>
      <c r="L56" s="1755" t="str">
        <f ca="1">IF(L48&lt;J51,"——",L48-J53)</f>
        <v>——</v>
      </c>
      <c r="O56" s="1751" t="s">
        <v>1605</v>
      </c>
      <c r="P56" s="1752" t="s">
        <v>1606</v>
      </c>
      <c r="Q56" s="1792">
        <f ca="1">C40+J29</f>
        <v>320276</v>
      </c>
      <c r="R56" s="1792" t="s">
        <v>1607</v>
      </c>
    </row>
    <row r="57" s="645" customFormat="1" ht="24.75" spans="1:18">
      <c r="A57" s="1692"/>
      <c r="B57" s="1693" t="s">
        <v>1586</v>
      </c>
      <c r="C57" s="193">
        <f ca="1">C29</f>
        <v>34018</v>
      </c>
      <c r="D57" s="1694"/>
      <c r="E57" s="1695"/>
      <c r="F57" s="1696"/>
      <c r="I57" s="1781" t="s">
        <v>1647</v>
      </c>
      <c r="J57" s="1782" t="str">
        <f ca="1">IF(OR(M47="住宅",J51&lt;L48,J56="是"),"——",J51-L48)</f>
        <v>——</v>
      </c>
      <c r="K57" s="707" t="s">
        <v>1648</v>
      </c>
      <c r="L57" s="1755" t="str">
        <f ca="1">IF(L48&lt;J51,"——",IF(L55="比较法",L49,IF(L55="基准地价",L50,L51)))</f>
        <v>——</v>
      </c>
      <c r="O57" s="1751" t="s">
        <v>1612</v>
      </c>
      <c r="P57" s="1752" t="s">
        <v>1649</v>
      </c>
      <c r="Q57" s="1792">
        <f ca="1">L60</f>
        <v>0</v>
      </c>
      <c r="R57" s="1792" t="s">
        <v>1650</v>
      </c>
    </row>
    <row r="58" s="645" customFormat="1" ht="24.75" spans="1:18">
      <c r="A58" s="1697" t="s">
        <v>532</v>
      </c>
      <c r="B58" s="1689" t="s">
        <v>1530</v>
      </c>
      <c r="C58" s="1573">
        <f ca="1">ROUND(C59+C64+C65+C66,0)</f>
        <v>3427</v>
      </c>
      <c r="D58" s="1698" t="s">
        <v>1531</v>
      </c>
      <c r="E58" s="1699"/>
      <c r="F58" s="1666"/>
      <c r="I58" s="1781" t="s">
        <v>1651</v>
      </c>
      <c r="J58" s="1783" t="e">
        <f ca="1">IF(J55&lt;0.4,0.4,J55)</f>
        <v>#VALUE!</v>
      </c>
      <c r="K58" s="1763" t="s">
        <v>1652</v>
      </c>
      <c r="L58" s="1755" t="e">
        <f ca="1">ROUND(POWER(1+L52,L47-L48)*(POWER(1+L52,L48)-1)/(POWER(1+L52,L47)-1),4)</f>
        <v>#DIV/0!</v>
      </c>
      <c r="O58" s="1758" t="s">
        <v>1620</v>
      </c>
      <c r="P58" s="1752" t="s">
        <v>1653</v>
      </c>
      <c r="Q58" s="1792">
        <f>IF(L55="比较法",L49,IF(L55="基准地价",L50,0))</f>
        <v>0</v>
      </c>
      <c r="R58" s="1792" t="s">
        <v>1607</v>
      </c>
    </row>
    <row r="59" s="645" customFormat="1" ht="24.75" spans="1:18">
      <c r="A59" s="1593" t="s">
        <v>1218</v>
      </c>
      <c r="B59" s="1693" t="s">
        <v>1536</v>
      </c>
      <c r="C59" s="1619">
        <f ca="1">ROUND(IF(AND(项目基本情况!B11="自然人",项目基本情况!B10="北京市"),C49*F59/(1+'数据-取费表'!C42),C60+C61+C62),0)</f>
        <v>2873</v>
      </c>
      <c r="D59" s="1700" t="s">
        <v>1537</v>
      </c>
      <c r="E59" s="1701" t="s">
        <v>1538</v>
      </c>
      <c r="F59" s="1621" t="str">
        <f ca="1">IF(项目基本情况!B11="企业","——",IF('数据-取费表'!B10="住宅",IF(F49*F50*F51/12/(1+'数据-取费表'!F30)&gt;100000,4%,2.5%),IF(F49*F50*F51/12/(1+'数据-取费表'!F30)&gt;100000,12%,7%)))</f>
        <v>——</v>
      </c>
      <c r="I59" s="1781" t="s">
        <v>1654</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1624</v>
      </c>
      <c r="P59" s="1752" t="s">
        <v>1655</v>
      </c>
      <c r="Q59" s="1793">
        <f>L52</f>
        <v>0</v>
      </c>
      <c r="R59" s="1792"/>
    </row>
    <row r="60" s="645" customFormat="1" ht="17.25" spans="1:18">
      <c r="A60" s="1593" t="s">
        <v>1241</v>
      </c>
      <c r="B60" s="1693" t="s">
        <v>1541</v>
      </c>
      <c r="C60" s="1598">
        <f ca="1">IF(项目基本情况!B11="自然人","——",ROUND(C48*F60/(1+'数据-取费表'!C42),2))</f>
        <v>0</v>
      </c>
      <c r="D60" s="1701" t="s">
        <v>1542</v>
      </c>
      <c r="E60" s="1693" t="s">
        <v>1528</v>
      </c>
      <c r="F60" s="1611">
        <f t="shared" ref="F60:F66" si="0">F32</f>
        <v>0.056</v>
      </c>
      <c r="I60" s="1784" t="s">
        <v>1656</v>
      </c>
      <c r="J60" s="1785" t="str">
        <f ca="1">IF(OR(M47="住宅",J51&lt;L48,J56="是"),"0",ROUND(J59/(1+J52)^J53,0))</f>
        <v>0</v>
      </c>
      <c r="K60" s="1786" t="s">
        <v>1657</v>
      </c>
      <c r="L60" s="1785">
        <f ca="1">IF(OR(M47="住宅",L48&lt;J51),0,ROUND(L57*(L58/L59-1),0))</f>
        <v>0</v>
      </c>
      <c r="O60" s="1758" t="s">
        <v>1628</v>
      </c>
      <c r="P60" s="1752" t="s">
        <v>1658</v>
      </c>
      <c r="Q60" s="1792" t="e">
        <f ca="1">L58</f>
        <v>#DIV/0!</v>
      </c>
      <c r="R60" s="1792" t="s">
        <v>1659</v>
      </c>
    </row>
    <row r="61" s="645" customFormat="1" ht="13.5" spans="1:18">
      <c r="A61" s="1593" t="s">
        <v>1245</v>
      </c>
      <c r="B61" s="1693" t="s">
        <v>1545</v>
      </c>
      <c r="C61" s="1598">
        <f ca="1">IF(项目基本情况!B11="自然人","——",IF(D61="按租金收入计税",ROUND(C48*F61,2),IF(D61="按房产原值计税",ROUND(C57*F61*0.7,2),INDIRECT("'数据-取费表'!Aj"&amp;$G$1))))</f>
        <v>2857.51</v>
      </c>
      <c r="D61" s="1623" t="s">
        <v>1660</v>
      </c>
      <c r="E61" s="1693" t="s">
        <v>1528</v>
      </c>
      <c r="F61" s="1603">
        <f t="shared" si="0"/>
        <v>0.12</v>
      </c>
      <c r="I61" s="1639"/>
      <c r="J61" s="1639"/>
      <c r="K61" s="1639"/>
      <c r="L61" s="1639"/>
      <c r="O61" s="1758" t="s">
        <v>1632</v>
      </c>
      <c r="P61" s="1752" t="str">
        <f>K59</f>
        <v>建设期及建筑物耐用年限下的土地年期修正系数Kn</v>
      </c>
      <c r="Q61" s="1792" t="e">
        <f ca="1">L59</f>
        <v>#DIV/0!</v>
      </c>
      <c r="R61" s="1792" t="s">
        <v>1661</v>
      </c>
    </row>
    <row r="62" s="645" customFormat="1" ht="13.5" spans="1:18">
      <c r="A62" s="1593" t="s">
        <v>1248</v>
      </c>
      <c r="B62" s="1702" t="s">
        <v>1549</v>
      </c>
      <c r="C62" s="1625">
        <f ca="1">IF(项目基本情况!B11="自然人","——",ROUND(F62*F63/10000,2))</f>
        <v>15.58</v>
      </c>
      <c r="D62" s="1703" t="s">
        <v>1550</v>
      </c>
      <c r="E62" s="1693" t="s">
        <v>1551</v>
      </c>
      <c r="F62" s="1610">
        <f t="shared" si="0"/>
        <v>18</v>
      </c>
      <c r="I62" s="1787" t="s">
        <v>1662</v>
      </c>
      <c r="J62" s="1788" t="s">
        <v>1663</v>
      </c>
      <c r="K62" s="1788" t="s">
        <v>1664</v>
      </c>
      <c r="L62" s="1788" t="s">
        <v>1665</v>
      </c>
      <c r="M62" s="1789" t="s">
        <v>1666</v>
      </c>
      <c r="O62" s="1751" t="s">
        <v>1638</v>
      </c>
      <c r="P62" s="1752" t="s">
        <v>1639</v>
      </c>
      <c r="Q62" s="1792">
        <f ca="1">Q56+Q57</f>
        <v>320276</v>
      </c>
      <c r="R62" s="1792" t="s">
        <v>1640</v>
      </c>
    </row>
    <row r="63" s="645" customFormat="1" ht="13.5" spans="1:18">
      <c r="A63" s="1608"/>
      <c r="B63" s="1704"/>
      <c r="C63" s="1629"/>
      <c r="D63" s="1705"/>
      <c r="E63" s="1693" t="s">
        <v>1555</v>
      </c>
      <c r="F63" s="1562">
        <f ca="1" t="shared" si="0"/>
        <v>8652.93</v>
      </c>
      <c r="I63" s="1787" t="s">
        <v>1667</v>
      </c>
      <c r="J63" s="1788">
        <v>70</v>
      </c>
      <c r="K63" s="1788">
        <v>50</v>
      </c>
      <c r="L63" s="1788">
        <v>80</v>
      </c>
      <c r="M63" s="1790">
        <v>0.02</v>
      </c>
      <c r="O63" s="1739" t="s">
        <v>1668</v>
      </c>
      <c r="P63" s="1774"/>
      <c r="Q63" s="1774"/>
      <c r="R63" s="1774"/>
    </row>
    <row r="64" s="645" customFormat="1" ht="13.5" spans="1:18">
      <c r="A64" s="1593" t="s">
        <v>1222</v>
      </c>
      <c r="B64" s="1693" t="s">
        <v>1557</v>
      </c>
      <c r="C64" s="1598">
        <f ca="1">ROUND(C57*F64,1)</f>
        <v>510.3</v>
      </c>
      <c r="D64" s="1701" t="s">
        <v>1591</v>
      </c>
      <c r="E64" s="1693" t="s">
        <v>1528</v>
      </c>
      <c r="F64" s="1632">
        <f ca="1" t="shared" si="0"/>
        <v>0.015</v>
      </c>
      <c r="I64" s="1787" t="s">
        <v>1669</v>
      </c>
      <c r="J64" s="1788">
        <v>50</v>
      </c>
      <c r="K64" s="1788">
        <v>35</v>
      </c>
      <c r="L64" s="1788">
        <v>60</v>
      </c>
      <c r="M64" s="1789">
        <v>0</v>
      </c>
      <c r="O64" s="1744" t="s">
        <v>1599</v>
      </c>
      <c r="P64" s="1745" t="s">
        <v>1600</v>
      </c>
      <c r="Q64" s="1791" t="s">
        <v>1601</v>
      </c>
      <c r="R64" s="1791" t="s">
        <v>1602</v>
      </c>
    </row>
    <row r="65" s="645" customFormat="1" ht="13.5" spans="1:18">
      <c r="A65" s="1593" t="s">
        <v>1267</v>
      </c>
      <c r="B65" s="1693" t="s">
        <v>1561</v>
      </c>
      <c r="C65" s="1598">
        <f ca="1">ROUND(C56*F65,1)</f>
        <v>43.4</v>
      </c>
      <c r="D65" s="1701" t="s">
        <v>1562</v>
      </c>
      <c r="E65" s="1693" t="s">
        <v>1528</v>
      </c>
      <c r="F65" s="1633">
        <f ca="1" t="shared" si="0"/>
        <v>0.0015</v>
      </c>
      <c r="I65" s="1787" t="s">
        <v>1670</v>
      </c>
      <c r="J65" s="1788">
        <v>40</v>
      </c>
      <c r="K65" s="1788">
        <v>30</v>
      </c>
      <c r="L65" s="1788">
        <v>50</v>
      </c>
      <c r="M65" s="1790">
        <v>0.02</v>
      </c>
      <c r="O65" s="1751" t="s">
        <v>1605</v>
      </c>
      <c r="P65" s="1752" t="s">
        <v>1606</v>
      </c>
      <c r="Q65" s="1792">
        <f ca="1">C40+J29</f>
        <v>320276</v>
      </c>
      <c r="R65" s="1792" t="s">
        <v>1607</v>
      </c>
    </row>
    <row r="66" s="645" customFormat="1" ht="17.25" spans="1:18">
      <c r="A66" s="1593" t="s">
        <v>1270</v>
      </c>
      <c r="B66" s="1693" t="s">
        <v>1547</v>
      </c>
      <c r="C66" s="1598">
        <f ca="1">ROUND(C48*F66,1)</f>
        <v>0</v>
      </c>
      <c r="D66" s="1701" t="s">
        <v>1565</v>
      </c>
      <c r="E66" s="1693" t="s">
        <v>1528</v>
      </c>
      <c r="F66" s="1571">
        <f ca="1" t="shared" si="0"/>
        <v>0.02</v>
      </c>
      <c r="O66" s="1751" t="s">
        <v>1612</v>
      </c>
      <c r="P66" s="1752" t="s">
        <v>1649</v>
      </c>
      <c r="Q66" s="1792">
        <f ca="1">L60</f>
        <v>0</v>
      </c>
      <c r="R66" s="1792" t="s">
        <v>1650</v>
      </c>
    </row>
    <row r="67" s="645" customFormat="1" ht="17.25" spans="1:18">
      <c r="A67" s="1688" t="s">
        <v>1568</v>
      </c>
      <c r="B67" s="1794" t="s">
        <v>1569</v>
      </c>
      <c r="C67" s="1573">
        <f ca="1">C48-C58</f>
        <v>-3427</v>
      </c>
      <c r="D67" s="1700" t="s">
        <v>1570</v>
      </c>
      <c r="E67" s="1795"/>
      <c r="F67" s="1796"/>
      <c r="O67" s="1758" t="s">
        <v>1620</v>
      </c>
      <c r="P67" s="1752" t="s">
        <v>1653</v>
      </c>
      <c r="Q67" s="1817">
        <f ca="1">L51</f>
        <v>220545</v>
      </c>
      <c r="R67" s="1792" t="s">
        <v>1671</v>
      </c>
    </row>
    <row r="68" s="645" customFormat="1" ht="17.25" spans="1:18">
      <c r="A68" s="1797" t="s">
        <v>1574</v>
      </c>
      <c r="B68" s="1798" t="s">
        <v>1592</v>
      </c>
      <c r="C68" s="1638">
        <f ca="1">ROUND(C67*(1-((1+F70)/(1+F68))^F69)/(F68-F70),0)</f>
        <v>-51634</v>
      </c>
      <c r="D68" s="1703" t="s">
        <v>1576</v>
      </c>
      <c r="E68" s="1693" t="s">
        <v>1577</v>
      </c>
      <c r="F68" s="1571">
        <f ca="1" t="shared" ref="F68:F71" si="1">F40</f>
        <v>0.055</v>
      </c>
      <c r="O68" s="1758" t="s">
        <v>1624</v>
      </c>
      <c r="P68" s="1816" t="s">
        <v>1672</v>
      </c>
      <c r="Q68" s="1792">
        <f ca="1">ROUND(Q69-Q70*Q71,0)</f>
        <v>12200</v>
      </c>
      <c r="R68" s="1792" t="s">
        <v>1673</v>
      </c>
    </row>
    <row r="69" s="645" customFormat="1" ht="13.5" spans="1:18">
      <c r="A69" s="1799"/>
      <c r="B69" s="1800"/>
      <c r="C69" s="1569"/>
      <c r="D69" s="1801" t="s">
        <v>1580</v>
      </c>
      <c r="E69" s="1693" t="s">
        <v>1581</v>
      </c>
      <c r="F69" s="1642">
        <f ca="1" t="shared" si="1"/>
        <v>32.95</v>
      </c>
      <c r="O69" s="1758" t="s">
        <v>1674</v>
      </c>
      <c r="P69" s="1816" t="s">
        <v>1675</v>
      </c>
      <c r="Q69" s="1792">
        <f ca="1">C39</f>
        <v>14658</v>
      </c>
      <c r="R69" s="1792" t="s">
        <v>1607</v>
      </c>
    </row>
    <row r="70" s="645" customFormat="1" ht="13.5" spans="1:18">
      <c r="A70" s="1802"/>
      <c r="B70" s="1803"/>
      <c r="C70" s="1590"/>
      <c r="D70" s="1705"/>
      <c r="E70" s="1693" t="s">
        <v>1584</v>
      </c>
      <c r="F70" s="1683"/>
      <c r="O70" s="1758" t="s">
        <v>1676</v>
      </c>
      <c r="P70" s="1816" t="s">
        <v>1677</v>
      </c>
      <c r="Q70" s="1792">
        <f ca="1">C13</f>
        <v>28915</v>
      </c>
      <c r="R70" s="1792" t="s">
        <v>1607</v>
      </c>
    </row>
    <row r="71" s="645" customFormat="1" ht="13.5" spans="1:18">
      <c r="A71" s="1804" t="s">
        <v>1587</v>
      </c>
      <c r="B71" s="1805" t="s">
        <v>1593</v>
      </c>
      <c r="C71" s="1646">
        <f ca="1">ROUND(C68*10000/F71,0)</f>
        <v>-8156</v>
      </c>
      <c r="D71" s="1806" t="s">
        <v>1594</v>
      </c>
      <c r="E71" s="1807" t="s">
        <v>1595</v>
      </c>
      <c r="F71" s="1649">
        <f ca="1" t="shared" si="1"/>
        <v>63306.74</v>
      </c>
      <c r="O71" s="1758" t="s">
        <v>1678</v>
      </c>
      <c r="P71" s="1816" t="s">
        <v>1679</v>
      </c>
      <c r="Q71" s="1793">
        <f ca="1">C76</f>
        <v>0.085</v>
      </c>
      <c r="R71" s="1792"/>
    </row>
    <row r="72" s="645" customFormat="1" ht="13.5" spans="2:18">
      <c r="B72" s="1808"/>
      <c r="C72" s="1808"/>
      <c r="O72" s="1758" t="s">
        <v>1628</v>
      </c>
      <c r="P72" s="1752" t="s">
        <v>1655</v>
      </c>
      <c r="Q72" s="1793">
        <f>L52</f>
        <v>0</v>
      </c>
      <c r="R72" s="1792"/>
    </row>
    <row r="73" ht="17.25" spans="1:18">
      <c r="A73" s="645"/>
      <c r="B73" s="1808"/>
      <c r="C73" s="1808"/>
      <c r="D73" s="645"/>
      <c r="E73" s="645"/>
      <c r="F73" s="645"/>
      <c r="O73" s="1758" t="s">
        <v>1632</v>
      </c>
      <c r="P73" s="1752" t="s">
        <v>1658</v>
      </c>
      <c r="Q73" s="1792" t="e">
        <f ca="1">L58</f>
        <v>#DIV/0!</v>
      </c>
      <c r="R73" s="1792" t="s">
        <v>1659</v>
      </c>
    </row>
    <row r="74" ht="13.5" spans="1:18">
      <c r="A74" s="645"/>
      <c r="B74" s="228" t="s">
        <v>1680</v>
      </c>
      <c r="C74" s="1809"/>
      <c r="D74" s="645"/>
      <c r="E74" s="645"/>
      <c r="F74" s="645"/>
      <c r="O74" s="1758" t="s">
        <v>1681</v>
      </c>
      <c r="P74" s="1752" t="str">
        <f>K59</f>
        <v>建设期及建筑物耐用年限下的土地年期修正系数Kn</v>
      </c>
      <c r="Q74" s="1792" t="e">
        <f ca="1">L59</f>
        <v>#DIV/0!</v>
      </c>
      <c r="R74" s="1792" t="s">
        <v>1661</v>
      </c>
    </row>
    <row r="75" ht="13.5" spans="1:18">
      <c r="A75" s="645"/>
      <c r="B75" s="1810" t="s">
        <v>1682</v>
      </c>
      <c r="C75" s="1811">
        <f ca="1">ROUND(C13*C76,0)</f>
        <v>2458</v>
      </c>
      <c r="D75" s="645"/>
      <c r="E75" s="645"/>
      <c r="F75" s="645"/>
      <c r="K75" s="1738"/>
      <c r="L75" s="645"/>
      <c r="O75" s="1751" t="s">
        <v>1638</v>
      </c>
      <c r="P75" s="1752" t="s">
        <v>1639</v>
      </c>
      <c r="Q75" s="1792">
        <f ca="1">Q65+Q66</f>
        <v>320276</v>
      </c>
      <c r="R75" s="1792" t="s">
        <v>1640</v>
      </c>
    </row>
    <row r="76" spans="2:12">
      <c r="B76" s="450" t="s">
        <v>1683</v>
      </c>
      <c r="C76" s="1812">
        <f ca="1">INDIRECT("'数据-取费表'!j"&amp;$G$1)</f>
        <v>0.085</v>
      </c>
      <c r="I76" s="645"/>
      <c r="J76" s="645"/>
      <c r="K76" s="1738"/>
      <c r="L76" s="645"/>
    </row>
    <row r="77" spans="2:12">
      <c r="B77" s="1813" t="s">
        <v>1684</v>
      </c>
      <c r="C77" s="1814"/>
      <c r="I77" s="645"/>
      <c r="J77" s="645"/>
      <c r="K77" s="1738"/>
      <c r="L77" s="645"/>
    </row>
    <row r="78" spans="2:3">
      <c r="B78" s="226" t="s">
        <v>1685</v>
      </c>
      <c r="C78" s="1815"/>
    </row>
    <row r="79" spans="2:3">
      <c r="B79" s="1810" t="s">
        <v>1686</v>
      </c>
      <c r="C79" s="229">
        <f ca="1">1-C80</f>
        <v>0.832</v>
      </c>
    </row>
    <row r="80" spans="2:3">
      <c r="B80" s="1810" t="s">
        <v>1687</v>
      </c>
      <c r="C80" s="229">
        <f ca="1">ROUND(C75/C39,3)</f>
        <v>0.168</v>
      </c>
    </row>
    <row r="81" spans="2:3">
      <c r="B81" s="226" t="s">
        <v>1688</v>
      </c>
      <c r="C81" s="193"/>
    </row>
    <row r="82" spans="2:3">
      <c r="B82" s="228" t="s">
        <v>1689</v>
      </c>
      <c r="C82" s="230">
        <f ca="1">1-C83</f>
        <v>0.91</v>
      </c>
    </row>
    <row r="83" spans="2:3">
      <c r="B83" s="228" t="s">
        <v>1690</v>
      </c>
      <c r="C83" s="229">
        <f ca="1">ROUND(C13/C40,3)</f>
        <v>0.09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1492</v>
      </c>
      <c r="B1" s="1039"/>
      <c r="C1" s="1530" t="s">
        <v>462</v>
      </c>
      <c r="D1" s="1531" t="s">
        <v>124</v>
      </c>
      <c r="E1" s="1532" t="s">
        <v>1493</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1494</v>
      </c>
      <c r="B2" s="1537">
        <f ca="1">C40+J29+L46</f>
        <v>320276</v>
      </c>
      <c r="C2" s="1538" t="s">
        <v>1495</v>
      </c>
      <c r="D2" s="1538"/>
      <c r="E2" s="1540"/>
      <c r="F2" s="1541"/>
      <c r="G2" s="1542"/>
      <c r="H2" s="1543"/>
      <c r="I2" s="1543"/>
      <c r="J2" s="1543"/>
      <c r="K2" s="1709"/>
      <c r="L2" s="1543"/>
      <c r="M2" s="1543"/>
    </row>
    <row r="3" ht="18" customHeight="1" spans="1:13">
      <c r="A3" s="1544" t="s">
        <v>1496</v>
      </c>
      <c r="B3" s="1545">
        <f ca="1">IF(ISERROR(B2*10000/F43),0,ROUND(B2*10000/F43,0))</f>
        <v>50591</v>
      </c>
      <c r="C3" s="1538" t="s">
        <v>1497</v>
      </c>
      <c r="D3" s="1538"/>
      <c r="E3" s="1540"/>
      <c r="F3" s="1541"/>
      <c r="G3" s="1542"/>
      <c r="H3" s="1546" t="s">
        <v>1498</v>
      </c>
      <c r="I3" s="1710"/>
      <c r="J3" s="1710"/>
      <c r="K3" s="1711"/>
      <c r="L3" s="1710"/>
      <c r="M3" s="1710"/>
    </row>
    <row r="4" ht="18" customHeight="1" spans="1:13">
      <c r="A4" s="1547" t="s">
        <v>1499</v>
      </c>
      <c r="B4" s="1548" t="s">
        <v>1500</v>
      </c>
      <c r="C4" s="1548" t="s">
        <v>1501</v>
      </c>
      <c r="D4" s="1548" t="s">
        <v>1502</v>
      </c>
      <c r="E4" s="1549" t="s">
        <v>1503</v>
      </c>
      <c r="F4" s="1550"/>
      <c r="G4" s="645"/>
      <c r="H4" s="1547" t="s">
        <v>1499</v>
      </c>
      <c r="I4" s="1548" t="s">
        <v>1500</v>
      </c>
      <c r="J4" s="1548" t="s">
        <v>1501</v>
      </c>
      <c r="K4" s="1548" t="s">
        <v>1502</v>
      </c>
      <c r="L4" s="1549" t="s">
        <v>1503</v>
      </c>
      <c r="M4" s="1550"/>
    </row>
    <row r="5" ht="18" customHeight="1" spans="1:13">
      <c r="A5" s="1551">
        <v>1</v>
      </c>
      <c r="B5" s="1552" t="s">
        <v>1504</v>
      </c>
      <c r="C5" s="1553">
        <f ca="1">C6+C10+C12</f>
        <v>18740</v>
      </c>
      <c r="D5" s="1554" t="s">
        <v>1505</v>
      </c>
      <c r="E5" s="1555"/>
      <c r="F5" s="1556"/>
      <c r="G5" s="645"/>
      <c r="H5" s="1551">
        <v>1</v>
      </c>
      <c r="I5" s="1552" t="s">
        <v>1504</v>
      </c>
      <c r="J5" s="1553">
        <f ca="1">J6+J10+J12</f>
        <v>0</v>
      </c>
      <c r="K5" s="1554" t="s">
        <v>1505</v>
      </c>
      <c r="L5" s="1555"/>
      <c r="M5" s="1556"/>
    </row>
    <row r="6" ht="18" customHeight="1" spans="1:13">
      <c r="A6" s="1557" t="s">
        <v>1218</v>
      </c>
      <c r="B6" s="1558" t="s">
        <v>1506</v>
      </c>
      <c r="C6" s="1559">
        <f ca="1">ROUND(F6*F8*F7*(1-F9)/10000,0)</f>
        <v>18717</v>
      </c>
      <c r="D6" s="1560" t="s">
        <v>1507</v>
      </c>
      <c r="E6" s="1561" t="s">
        <v>1508</v>
      </c>
      <c r="F6" s="1562">
        <f ca="1">INDIRECT("'数据-取费表'!u"&amp;$G$1)</f>
        <v>9</v>
      </c>
      <c r="G6" s="645"/>
      <c r="H6" s="1557" t="s">
        <v>1218</v>
      </c>
      <c r="I6" s="1558" t="s">
        <v>1506</v>
      </c>
      <c r="J6" s="1638">
        <f ca="1">ROUND(M6*M8*M7*(1-M9)/10000,0)</f>
        <v>0</v>
      </c>
      <c r="K6" s="1560" t="s">
        <v>1509</v>
      </c>
      <c r="L6" s="1561" t="s">
        <v>1508</v>
      </c>
      <c r="M6" s="1562">
        <f ca="1">INDIRECT("'数据-取费表'!z"&amp;$G$1)</f>
        <v>0</v>
      </c>
    </row>
    <row r="7" ht="18" customHeight="1" spans="1:13">
      <c r="A7" s="1563"/>
      <c r="B7" s="1564"/>
      <c r="C7" s="1565"/>
      <c r="D7" s="1566"/>
      <c r="E7" s="1567" t="s">
        <v>1510</v>
      </c>
      <c r="F7" s="1562">
        <f ca="1">IF(INDIRECT("'数据-取费表'!ah"&amp;$G$1)="",INDIRECT("'数据-取费表'!k"&amp;$G$1),INDIRECT("'数据-取费表'!ah"&amp;$G$1))</f>
        <v>63306.74</v>
      </c>
      <c r="G7" s="645"/>
      <c r="H7" s="1568"/>
      <c r="I7" s="1564"/>
      <c r="J7" s="1569"/>
      <c r="K7" s="1566"/>
      <c r="L7" s="1561" t="s">
        <v>1510</v>
      </c>
      <c r="M7" s="1562">
        <f ca="1">F7</f>
        <v>63306.74</v>
      </c>
    </row>
    <row r="8" ht="18" customHeight="1" spans="1:13">
      <c r="A8" s="1568"/>
      <c r="B8" s="1564"/>
      <c r="C8" s="1569"/>
      <c r="D8" s="1566"/>
      <c r="E8" s="1561" t="s">
        <v>1511</v>
      </c>
      <c r="F8" s="1562">
        <f ca="1">INDIRECT("'数据-取费表'!ai"&amp;$G$1)</f>
        <v>365</v>
      </c>
      <c r="G8" s="645"/>
      <c r="H8" s="1568"/>
      <c r="I8" s="1564"/>
      <c r="J8" s="1569"/>
      <c r="K8" s="1566"/>
      <c r="L8" s="1561" t="s">
        <v>1511</v>
      </c>
      <c r="M8" s="1562">
        <f ca="1">INDIRECT("'数据-取费表'!ai"&amp;$G$1)</f>
        <v>365</v>
      </c>
    </row>
    <row r="9" ht="18" customHeight="1" spans="1:13">
      <c r="A9" s="1568"/>
      <c r="B9" s="1570"/>
      <c r="C9" s="1569"/>
      <c r="D9" s="1566"/>
      <c r="E9" s="1561" t="s">
        <v>1512</v>
      </c>
      <c r="F9" s="1571">
        <f ca="1">INDIRECT("'数据-取费表'!w"&amp;$G$1)</f>
        <v>0.1</v>
      </c>
      <c r="G9" s="645"/>
      <c r="H9" s="1568"/>
      <c r="I9" s="1570"/>
      <c r="J9" s="1569"/>
      <c r="K9" s="1566"/>
      <c r="L9" s="1575" t="s">
        <v>1512</v>
      </c>
      <c r="M9" s="1580">
        <f ca="1">INDIRECT("'数据-取费表'!ab"&amp;$G$1)</f>
        <v>0</v>
      </c>
    </row>
    <row r="10" ht="18" customHeight="1" spans="1:13">
      <c r="A10" s="1557" t="s">
        <v>1222</v>
      </c>
      <c r="B10" s="1572" t="s">
        <v>1513</v>
      </c>
      <c r="C10" s="1573">
        <f ca="1">ROUND(IF(F10="押一",C6/12*F11,IF(F10="押二",C6/12*2*F11,IF(F10="押三",C6/12*3*F11,C11*F11))),0)</f>
        <v>23</v>
      </c>
      <c r="D10" s="1574" t="s">
        <v>1514</v>
      </c>
      <c r="E10" s="1575" t="s">
        <v>1515</v>
      </c>
      <c r="F10" s="1576" t="s">
        <v>1516</v>
      </c>
      <c r="G10" s="645"/>
      <c r="H10" s="1557" t="s">
        <v>1222</v>
      </c>
      <c r="I10" s="1572" t="s">
        <v>1513</v>
      </c>
      <c r="J10" s="1638">
        <f ca="1">ROUND(IF(M10="押一",J6/12*M11,IF(M10="押二",J6/12*2*M11,IF(M10="押三",J6/12*3*M11,J11*M11))),0)</f>
        <v>0</v>
      </c>
      <c r="K10" s="1574" t="s">
        <v>1514</v>
      </c>
      <c r="L10" s="1575" t="s">
        <v>1515</v>
      </c>
      <c r="M10" s="1576" t="s">
        <v>1516</v>
      </c>
    </row>
    <row r="11" ht="18" customHeight="1" spans="1:13">
      <c r="A11" s="1577"/>
      <c r="B11" s="1578" t="s">
        <v>1517</v>
      </c>
      <c r="C11" s="1579"/>
      <c r="D11" s="1932"/>
      <c r="E11" s="1575" t="s">
        <v>1518</v>
      </c>
      <c r="F11" s="1580">
        <f ca="1">'数据-取费表'!B39</f>
        <v>0.015</v>
      </c>
      <c r="G11" s="645"/>
      <c r="H11" s="1581"/>
      <c r="I11" s="1578" t="s">
        <v>1517</v>
      </c>
      <c r="J11" s="1579"/>
      <c r="K11" s="1714"/>
      <c r="L11" s="1575" t="s">
        <v>1518</v>
      </c>
      <c r="M11" s="1715">
        <f ca="1">'数据-取费表'!B39</f>
        <v>0.015</v>
      </c>
    </row>
    <row r="12" ht="18" customHeight="1" spans="1:13">
      <c r="A12" s="1582" t="s">
        <v>1267</v>
      </c>
      <c r="B12" s="1583" t="s">
        <v>1519</v>
      </c>
      <c r="C12" s="1584"/>
      <c r="D12" s="1585"/>
      <c r="E12" s="1586"/>
      <c r="F12" s="1587"/>
      <c r="G12" s="645"/>
      <c r="H12" s="1582" t="s">
        <v>1267</v>
      </c>
      <c r="I12" s="1583" t="s">
        <v>1519</v>
      </c>
      <c r="J12" s="1584"/>
      <c r="K12" s="1716"/>
      <c r="L12" s="1586"/>
      <c r="M12" s="1717"/>
    </row>
    <row r="13" ht="18" customHeight="1" spans="1:13">
      <c r="A13" s="1588">
        <v>2</v>
      </c>
      <c r="B13" s="1589" t="s">
        <v>1520</v>
      </c>
      <c r="C13" s="1590">
        <f ca="1">ROUND(C29*F13,0)</f>
        <v>28915</v>
      </c>
      <c r="D13" s="1591" t="s">
        <v>1521</v>
      </c>
      <c r="E13" s="1591" t="s">
        <v>1522</v>
      </c>
      <c r="F13" s="1592">
        <f ca="1">INDIRECT("'数据-取费表'!y"&amp;$G$1)</f>
        <v>0.85</v>
      </c>
      <c r="G13" s="645"/>
      <c r="H13" s="1588">
        <v>2</v>
      </c>
      <c r="I13" s="1589" t="s">
        <v>1520</v>
      </c>
      <c r="J13" s="1718">
        <f ca="1">ROUND(J14*J15,0)</f>
        <v>0</v>
      </c>
      <c r="K13" s="1616" t="s">
        <v>1521</v>
      </c>
      <c r="L13" s="1719"/>
      <c r="M13" s="1720"/>
    </row>
    <row r="14" ht="18" customHeight="1" spans="1:13">
      <c r="A14" s="1593" t="s">
        <v>1241</v>
      </c>
      <c r="B14" s="1561" t="s">
        <v>1523</v>
      </c>
      <c r="C14" s="1594">
        <f ca="1">INDIRECT("'数据-取费表'!m"&amp;$G$1)+INDIRECT("'数据-取费表'!t"&amp;$G$1)</f>
        <v>22157</v>
      </c>
      <c r="D14" s="1595" t="s">
        <v>1524</v>
      </c>
      <c r="E14" s="1596"/>
      <c r="F14" s="1597"/>
      <c r="G14" s="645"/>
      <c r="H14" s="1593" t="s">
        <v>1218</v>
      </c>
      <c r="I14" s="1561" t="s">
        <v>1525</v>
      </c>
      <c r="J14" s="1598">
        <f ca="1">C29</f>
        <v>34018</v>
      </c>
      <c r="K14" s="1721"/>
      <c r="L14" s="1722"/>
      <c r="M14" s="1723"/>
    </row>
    <row r="15" s="1526" customFormat="1" ht="18" customHeight="1" spans="1:37">
      <c r="A15" s="1593" t="s">
        <v>1245</v>
      </c>
      <c r="B15" s="1561" t="s">
        <v>1526</v>
      </c>
      <c r="C15" s="1598">
        <f ca="1">ROUND(C14*F15,0)</f>
        <v>886</v>
      </c>
      <c r="D15" s="1599" t="s">
        <v>1527</v>
      </c>
      <c r="E15" s="1599" t="s">
        <v>1528</v>
      </c>
      <c r="F15" s="1600">
        <f>'数据-取费表'!B33</f>
        <v>0.04</v>
      </c>
      <c r="G15" s="1601"/>
      <c r="H15" s="1602" t="s">
        <v>1222</v>
      </c>
      <c r="I15" s="1586" t="s">
        <v>1522</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1248</v>
      </c>
      <c r="B16" s="1561" t="s">
        <v>1529</v>
      </c>
      <c r="C16" s="1598">
        <f ca="1">ROUND(INDIRECT("'数据-取费表'!m"&amp;$G$1)*F16,0)</f>
        <v>0</v>
      </c>
      <c r="D16" s="1561" t="s">
        <v>1527</v>
      </c>
      <c r="E16" s="1561" t="s">
        <v>1528</v>
      </c>
      <c r="F16" s="1603">
        <f ca="1">IF(INDIRECT("'数据-取费表'!c"&amp;$G$1)="住宅",'数据-取费表'!B34,0)</f>
        <v>0</v>
      </c>
      <c r="G16" s="645"/>
      <c r="H16" s="1588" t="s">
        <v>532</v>
      </c>
      <c r="I16" s="1589" t="s">
        <v>1530</v>
      </c>
      <c r="J16" s="1590">
        <f ca="1">ROUND(J17+J22+J23+J24,0)</f>
        <v>526</v>
      </c>
      <c r="K16" s="1616" t="s">
        <v>1531</v>
      </c>
      <c r="L16" s="1617"/>
      <c r="M16" s="1556"/>
    </row>
    <row r="17" s="1526" customFormat="1" ht="18" customHeight="1" spans="1:37">
      <c r="A17" s="1593" t="s">
        <v>1532</v>
      </c>
      <c r="B17" s="1561" t="s">
        <v>1533</v>
      </c>
      <c r="C17" s="1598">
        <f ca="1">ROUND(F17*(F43+INDIRECT("'数据-取费表'!S"&amp;$G$1))/10000,0)</f>
        <v>1266</v>
      </c>
      <c r="D17" s="1561" t="s">
        <v>1534</v>
      </c>
      <c r="E17" s="1561" t="s">
        <v>1535</v>
      </c>
      <c r="F17" s="1604">
        <f>'数据-取费表'!B35</f>
        <v>200</v>
      </c>
      <c r="G17" s="1601"/>
      <c r="H17" s="1593" t="s">
        <v>1218</v>
      </c>
      <c r="I17" s="1561" t="s">
        <v>1536</v>
      </c>
      <c r="J17" s="1619">
        <f ca="1">ROUND(IF(AND(项目基本情况!B11="自然人",项目基本情况!B10="北京市"),J6*M17/(1+'数据-取费表'!C42),J18+J19+J20),0)</f>
        <v>16</v>
      </c>
      <c r="K17" s="1595" t="s">
        <v>1537</v>
      </c>
      <c r="L17" s="1620" t="s">
        <v>1538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1539</v>
      </c>
      <c r="B18" s="1561" t="s">
        <v>1540</v>
      </c>
      <c r="C18" s="1598">
        <f ca="1">ROUND(C14*F18,0)</f>
        <v>332</v>
      </c>
      <c r="D18" s="1561" t="s">
        <v>1527</v>
      </c>
      <c r="E18" s="1561" t="s">
        <v>1528</v>
      </c>
      <c r="F18" s="1603">
        <f>'数据-取费表'!B36</f>
        <v>0.015</v>
      </c>
      <c r="G18" s="1601"/>
      <c r="H18" s="1593" t="s">
        <v>1241</v>
      </c>
      <c r="I18" s="1561" t="s">
        <v>1541</v>
      </c>
      <c r="J18" s="1598">
        <f ca="1">ROUND(J6*M18/(1+'数据-取费表'!C42),2)</f>
        <v>0</v>
      </c>
      <c r="K18" s="1620" t="s">
        <v>1542</v>
      </c>
      <c r="L18" s="1561" t="s">
        <v>1528</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1218</v>
      </c>
      <c r="B19" s="1561" t="s">
        <v>1543</v>
      </c>
      <c r="C19" s="1598">
        <f ca="1">SUM(C14:C18)</f>
        <v>24641</v>
      </c>
      <c r="D19" s="1605" t="s">
        <v>1544</v>
      </c>
      <c r="E19" s="1606"/>
      <c r="F19" s="1604"/>
      <c r="G19" s="645"/>
      <c r="H19" s="1593" t="s">
        <v>1245</v>
      </c>
      <c r="I19" s="1561" t="s">
        <v>1545</v>
      </c>
      <c r="J19" s="1598">
        <f ca="1">IF(K19="按租金收入计税",ROUND(J6*M19/(1+'数据-取费表'!C42),2),ROUND(C29*M19*0.7,2))</f>
        <v>0</v>
      </c>
      <c r="K19" s="1623" t="s">
        <v>1546</v>
      </c>
      <c r="L19" s="1561" t="s">
        <v>1528</v>
      </c>
      <c r="M19" s="1603">
        <f>IF(K19="按租金收入计税",'数据-取费表'!B51,'数据-取费表'!B50)</f>
        <v>0.12</v>
      </c>
    </row>
    <row r="20" s="1526" customFormat="1" ht="18" customHeight="1" spans="1:37">
      <c r="A20" s="1593" t="s">
        <v>1222</v>
      </c>
      <c r="B20" s="1561" t="s">
        <v>1547</v>
      </c>
      <c r="C20" s="1598">
        <f ca="1">ROUND(C19*F20,0)</f>
        <v>493</v>
      </c>
      <c r="D20" s="1607" t="s">
        <v>1548</v>
      </c>
      <c r="E20" s="1561" t="s">
        <v>1528</v>
      </c>
      <c r="F20" s="1603">
        <f>'数据-取费表'!B37</f>
        <v>0.02</v>
      </c>
      <c r="G20" s="1601"/>
      <c r="H20" s="1593" t="s">
        <v>1248</v>
      </c>
      <c r="I20" s="1560" t="s">
        <v>1549</v>
      </c>
      <c r="J20" s="1625">
        <f ca="1">ROUND(M20*M21/10000,2)</f>
        <v>15.58</v>
      </c>
      <c r="K20" s="1626" t="s">
        <v>1550</v>
      </c>
      <c r="L20" s="1561" t="s">
        <v>1551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1267</v>
      </c>
      <c r="B21" s="1561" t="s">
        <v>1552</v>
      </c>
      <c r="C21" s="1598" t="s">
        <v>124</v>
      </c>
      <c r="D21" s="1607" t="s">
        <v>1553</v>
      </c>
      <c r="E21" s="1561" t="s">
        <v>1554</v>
      </c>
      <c r="F21" s="1603">
        <f>'数据-取费表'!B38</f>
        <v>0.02</v>
      </c>
      <c r="G21" s="1601"/>
      <c r="H21" s="1608"/>
      <c r="I21" s="1727"/>
      <c r="J21" s="1629"/>
      <c r="K21" s="1630"/>
      <c r="L21" s="1561" t="s">
        <v>1555</v>
      </c>
      <c r="M21" s="1562">
        <f ca="1">INDIRECT("'数据-取费表'!r"&amp;$G$1)</f>
        <v>8652.93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1270</v>
      </c>
      <c r="B22" s="1561" t="s">
        <v>1556</v>
      </c>
      <c r="C22" s="1598"/>
      <c r="D22" s="1605" t="str">
        <f>IF(F23&lt;=1,"单利计息。","复利计息。")&amp;"建造成本、管理费用、销售费用产生的利息。"</f>
        <v>复利计息。建造成本、管理费用、销售费用产生的利息。</v>
      </c>
      <c r="E22" s="1606"/>
      <c r="F22" s="1604"/>
      <c r="G22" s="645"/>
      <c r="H22" s="1593" t="s">
        <v>1222</v>
      </c>
      <c r="I22" s="1561" t="s">
        <v>1557</v>
      </c>
      <c r="J22" s="1598">
        <f ca="1">ROUND(J14*M22,1)</f>
        <v>510.3</v>
      </c>
      <c r="K22" s="1620" t="s">
        <v>1558</v>
      </c>
      <c r="L22" s="1561" t="s">
        <v>1528</v>
      </c>
      <c r="M22" s="1632">
        <f ca="1">INDIRECT("'数据-取费表'!Ak"&amp;$G$1)</f>
        <v>0.015</v>
      </c>
    </row>
    <row r="23" s="1526" customFormat="1" ht="18" customHeight="1" spans="1:37">
      <c r="A23" s="1593" t="s">
        <v>1241</v>
      </c>
      <c r="B23" s="1561" t="s">
        <v>1559</v>
      </c>
      <c r="C23" s="1598">
        <f ca="1">IF('数据-取费表'!B22&lt;=1,ROUND(C19*F24*F23/2,0)+ROUND(C20*F24*F23/2,0),ROUND(C19*(POWER((1+F24),F23/2)-1),0)+ROUND(C20*(POWER((1+F24),F23/2)-1),0))</f>
        <v>1193</v>
      </c>
      <c r="D23" s="1609" t="str">
        <f>IF(F23&lt;=1,"(建造成本+管理费用)×利率×(建设周期÷2)","(建造成本+管理费用)×((1+利率)^(建设周期÷2)-1)")</f>
        <v>(建造成本+管理费用)×((1+利率)^(建设周期÷2)-1)</v>
      </c>
      <c r="E23" s="1561" t="s">
        <v>1560</v>
      </c>
      <c r="F23" s="1610">
        <f>'数据-取费表'!B20</f>
        <v>2</v>
      </c>
      <c r="G23" s="1601"/>
      <c r="H23" s="1593" t="s">
        <v>1267</v>
      </c>
      <c r="I23" s="1561" t="s">
        <v>1561</v>
      </c>
      <c r="J23" s="1598">
        <f ca="1">ROUND(J13*M23,1)</f>
        <v>0</v>
      </c>
      <c r="K23" s="1620" t="s">
        <v>1562</v>
      </c>
      <c r="L23" s="1561" t="s">
        <v>1528</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1245</v>
      </c>
      <c r="B24" s="1561" t="s">
        <v>1563</v>
      </c>
      <c r="C24" s="1598">
        <f ca="1">ROUND(IF('数据-取费表'!B22&lt;=1,F21*F24*F23/2,F21*(POWER((1+F24),F23/2)-1)),4)</f>
        <v>0.001</v>
      </c>
      <c r="D24" s="1609" t="str">
        <f>IF(F23&lt;=1,"销售费用×利率×(建设周期÷2)","销售费用×((1+利率)^(建设周期÷2)-1)")</f>
        <v>销售费用×((1+利率)^(建设周期÷2)-1)</v>
      </c>
      <c r="E24" s="1561" t="s">
        <v>1564</v>
      </c>
      <c r="F24" s="1611">
        <f ca="1">'数据-取费表'!B40</f>
        <v>0.0475</v>
      </c>
      <c r="G24" s="1601"/>
      <c r="H24" s="1602" t="s">
        <v>1270</v>
      </c>
      <c r="I24" s="1586" t="s">
        <v>1547</v>
      </c>
      <c r="J24" s="1612">
        <f ca="1">ROUND(J5*M24,1)</f>
        <v>0</v>
      </c>
      <c r="K24" s="1613" t="s">
        <v>1565</v>
      </c>
      <c r="L24" s="1586" t="s">
        <v>1528</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1274</v>
      </c>
      <c r="B25" s="1561" t="s">
        <v>1566</v>
      </c>
      <c r="C25" s="1598"/>
      <c r="D25" s="1605" t="s">
        <v>1567</v>
      </c>
      <c r="E25" s="1606"/>
      <c r="F25" s="1604"/>
      <c r="G25" s="645"/>
      <c r="H25" s="1588" t="s">
        <v>1568</v>
      </c>
      <c r="I25" s="1634" t="s">
        <v>1569</v>
      </c>
      <c r="J25" s="1590">
        <f ca="1">J5-J16</f>
        <v>-526</v>
      </c>
      <c r="K25" s="1635" t="s">
        <v>1570</v>
      </c>
      <c r="L25" s="1636"/>
      <c r="M25" s="1637"/>
    </row>
    <row r="26" spans="1:13">
      <c r="A26" s="1593" t="s">
        <v>1241</v>
      </c>
      <c r="B26" s="1561" t="s">
        <v>1571</v>
      </c>
      <c r="C26" s="1598">
        <f ca="1">ROUND((C19+C20)*F26,0)</f>
        <v>5027</v>
      </c>
      <c r="D26" s="1607" t="s">
        <v>1572</v>
      </c>
      <c r="E26" s="1575" t="s">
        <v>1573</v>
      </c>
      <c r="F26" s="1571">
        <f ca="1">INDIRECT("'数据-取费表'!q"&amp;$G$1)</f>
        <v>0.2</v>
      </c>
      <c r="G26" s="645"/>
      <c r="H26" s="1551" t="s">
        <v>1574</v>
      </c>
      <c r="I26" s="1552" t="s">
        <v>1575</v>
      </c>
      <c r="J26" s="1638">
        <f ca="1">IF(J5&lt;&gt;0,ROUND(J25*(1-((1+M28)/(1+M26))^M27)/(M26-M28),0),0)</f>
        <v>0</v>
      </c>
      <c r="K26" s="1626" t="s">
        <v>1576</v>
      </c>
      <c r="L26" s="1561" t="s">
        <v>1577</v>
      </c>
      <c r="M26" s="1571">
        <f ca="1">INDIRECT("'数据-取费表'!I"&amp;$G$1)</f>
        <v>0.055</v>
      </c>
    </row>
    <row r="27" ht="18" customHeight="1" spans="1:13">
      <c r="A27" s="1593" t="s">
        <v>1245</v>
      </c>
      <c r="B27" s="1561" t="s">
        <v>1578</v>
      </c>
      <c r="C27" s="1598">
        <f ca="1">ROUND(F21*F26,4)</f>
        <v>0.004</v>
      </c>
      <c r="D27" s="1607" t="s">
        <v>1579</v>
      </c>
      <c r="E27" s="1599"/>
      <c r="F27" s="1600"/>
      <c r="G27" s="645"/>
      <c r="H27" s="1568"/>
      <c r="I27" s="1640"/>
      <c r="J27" s="1569"/>
      <c r="K27" s="1641" t="s">
        <v>1580</v>
      </c>
      <c r="L27" s="1561" t="s">
        <v>1581</v>
      </c>
      <c r="M27" s="1642">
        <f ca="1">INDIRECT("'数据-取费表'!ag"&amp;$G$1)</f>
        <v>0</v>
      </c>
    </row>
    <row r="28" s="1526" customFormat="1" ht="18" customHeight="1" spans="1:37">
      <c r="A28" s="1593" t="s">
        <v>1275</v>
      </c>
      <c r="B28" s="1561" t="s">
        <v>1582</v>
      </c>
      <c r="C28" s="1598">
        <f>ROUND(F28/(1+'数据-取费表'!C42),4)</f>
        <v>0.0533</v>
      </c>
      <c r="D28" s="1607" t="s">
        <v>1583</v>
      </c>
      <c r="E28" s="1561" t="s">
        <v>1528</v>
      </c>
      <c r="F28" s="1603">
        <f>'数据-取费表'!B41</f>
        <v>0.056</v>
      </c>
      <c r="G28" s="1601"/>
      <c r="H28" s="1577"/>
      <c r="I28" s="1644"/>
      <c r="J28" s="1590"/>
      <c r="K28" s="1630"/>
      <c r="L28" s="1561" t="s">
        <v>1584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1585</v>
      </c>
      <c r="B29" s="1586" t="s">
        <v>1586</v>
      </c>
      <c r="C29" s="1612">
        <f ca="1">ROUND((C19+C20+C23+C26)/(1-F21-C24-C27-C28),0)</f>
        <v>34018</v>
      </c>
      <c r="D29" s="1613"/>
      <c r="E29" s="1586"/>
      <c r="F29" s="1614"/>
      <c r="G29" s="1601"/>
      <c r="H29" s="1615" t="s">
        <v>1587</v>
      </c>
      <c r="I29" s="1645" t="s">
        <v>1588</v>
      </c>
      <c r="J29" s="1646">
        <f ca="1">ROUND(J26/(1+F40)^F41,0)</f>
        <v>0</v>
      </c>
      <c r="K29" s="1647" t="s">
        <v>1589</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1530</v>
      </c>
      <c r="C30" s="1590">
        <f ca="1">ROUND(C31+C36+C37+C38,0)</f>
        <v>4082</v>
      </c>
      <c r="D30" s="1616" t="s">
        <v>1531</v>
      </c>
      <c r="E30" s="1617"/>
      <c r="F30" s="1556"/>
      <c r="G30" s="645"/>
      <c r="H30" s="1618"/>
      <c r="I30" s="1728"/>
      <c r="J30" s="1729"/>
      <c r="K30" s="1730"/>
      <c r="L30" s="1731"/>
      <c r="M30" s="1732"/>
    </row>
    <row r="31" ht="18" customHeight="1" spans="1:13">
      <c r="A31" s="1593" t="s">
        <v>1218</v>
      </c>
      <c r="B31" s="1561" t="s">
        <v>1536</v>
      </c>
      <c r="C31" s="1619">
        <f ca="1">ROUND(IF(AND(项目基本情况!B11="自然人",项目基本情况!B10="北京市"),C6*F31/(1+'数据-取费表'!C42),C32+C33+C34),0)</f>
        <v>3153</v>
      </c>
      <c r="D31" s="1595" t="s">
        <v>1537</v>
      </c>
      <c r="E31" s="1620" t="s">
        <v>1538</v>
      </c>
      <c r="F31" s="1621" t="str">
        <f ca="1">IF(项目基本情况!B11="企业","——",IF('数据-取费表'!B10="住宅",IF(F6*F7*F8/12/(1+'数据-取费表'!F30)&gt;100000,4%,2.5%),IF(F6*F7*F8/12/(1+'数据-取费表'!F30)&gt;100000,12%,7%)))</f>
        <v>——</v>
      </c>
      <c r="G31" s="645"/>
      <c r="H31" s="1622" t="s">
        <v>1590</v>
      </c>
      <c r="I31" s="1728"/>
      <c r="J31" s="1729"/>
      <c r="K31" s="1730"/>
      <c r="L31" s="1731"/>
      <c r="M31" s="1732"/>
    </row>
    <row r="32" ht="18" customHeight="1" spans="1:13">
      <c r="A32" s="1593" t="s">
        <v>1241</v>
      </c>
      <c r="B32" s="1561" t="s">
        <v>1541</v>
      </c>
      <c r="C32" s="1598">
        <f ca="1">IF(项目基本情况!B11="自然人","——",ROUND(C6*F32/(1+'数据-取费表'!C42),2))</f>
        <v>998.24</v>
      </c>
      <c r="D32" s="1620" t="s">
        <v>1542</v>
      </c>
      <c r="E32" s="1561" t="s">
        <v>1528</v>
      </c>
      <c r="F32" s="1611">
        <f>'数据-取费表'!B41</f>
        <v>0.056</v>
      </c>
      <c r="G32" s="645"/>
      <c r="H32" s="1618"/>
      <c r="I32" s="1728"/>
      <c r="J32" s="1729"/>
      <c r="K32" s="1730"/>
      <c r="L32" s="1731"/>
      <c r="M32" s="1732"/>
    </row>
    <row r="33" ht="18" customHeight="1" spans="1:13">
      <c r="A33" s="1593" t="s">
        <v>1245</v>
      </c>
      <c r="B33" s="1561" t="s">
        <v>1545</v>
      </c>
      <c r="C33" s="1598">
        <f ca="1">IF(项目基本情况!B11="自然人","——",IF(D33="按租金收入计税",ROUND(C6*F33/(1+'数据-取费表'!C42),2),IF(D33="按房产原值计税",ROUND(C29*F33*0.7,2),INDIRECT("'数据-取费表'!Aj"&amp;$G$1))))</f>
        <v>2139.09</v>
      </c>
      <c r="D33" s="1623" t="s">
        <v>1546</v>
      </c>
      <c r="E33" s="1561" t="s">
        <v>1528</v>
      </c>
      <c r="F33" s="1603">
        <f>IF(D33="按票据","——",IF(D33="按租金收入计税",'数据-取费表'!B51,'数据-取费表'!B50))</f>
        <v>0.12</v>
      </c>
      <c r="G33" s="645"/>
      <c r="H33" s="1624"/>
      <c r="I33" s="1728"/>
      <c r="J33" s="1729"/>
      <c r="K33" s="1733"/>
      <c r="L33" s="1624"/>
      <c r="M33" s="1624"/>
    </row>
    <row r="34" ht="18" customHeight="1" spans="1:13">
      <c r="A34" s="1557" t="s">
        <v>1248</v>
      </c>
      <c r="B34" s="1560" t="s">
        <v>1549</v>
      </c>
      <c r="C34" s="1625">
        <f ca="1">IF(项目基本情况!B11="自然人","——",ROUND(F34*F35/10000,2))</f>
        <v>15.58</v>
      </c>
      <c r="D34" s="1626" t="s">
        <v>1550</v>
      </c>
      <c r="E34" s="1561" t="s">
        <v>1551</v>
      </c>
      <c r="F34" s="1610">
        <f>'数据-取费表'!B52</f>
        <v>18</v>
      </c>
      <c r="G34" s="645"/>
      <c r="H34" s="1618"/>
      <c r="I34" s="1728"/>
      <c r="J34" s="1729"/>
      <c r="K34" s="1734"/>
      <c r="L34" s="1735"/>
      <c r="M34" s="1735"/>
    </row>
    <row r="35" ht="18" customHeight="1" spans="1:13">
      <c r="A35" s="1627"/>
      <c r="B35" s="1628"/>
      <c r="C35" s="1629"/>
      <c r="D35" s="1630"/>
      <c r="E35" s="1561" t="s">
        <v>1555</v>
      </c>
      <c r="F35" s="1562">
        <f ca="1">INDIRECT("'数据-取费表'!r"&amp;$G$1)</f>
        <v>8652.93</v>
      </c>
      <c r="G35" s="645"/>
      <c r="H35" s="1618"/>
      <c r="I35" s="1728"/>
      <c r="J35" s="1729"/>
      <c r="K35" s="1733"/>
      <c r="L35" s="1624"/>
      <c r="M35" s="1624"/>
    </row>
    <row r="36" ht="18" customHeight="1" spans="1:13">
      <c r="A36" s="1631" t="s">
        <v>1222</v>
      </c>
      <c r="B36" s="1561" t="s">
        <v>1557</v>
      </c>
      <c r="C36" s="1598">
        <f ca="1">ROUND(C29*F36,1)</f>
        <v>510.3</v>
      </c>
      <c r="D36" s="1620" t="s">
        <v>1591</v>
      </c>
      <c r="E36" s="1561" t="s">
        <v>1528</v>
      </c>
      <c r="F36" s="1632">
        <f ca="1">INDIRECT("'数据-取费表'!Ak"&amp;$G$1)</f>
        <v>0.015</v>
      </c>
      <c r="G36" s="645"/>
      <c r="H36" s="1624"/>
      <c r="I36" s="1728"/>
      <c r="J36" s="1729"/>
      <c r="K36" s="1736"/>
      <c r="L36" s="1624"/>
      <c r="M36" s="1624"/>
    </row>
    <row r="37" ht="18" customHeight="1" spans="1:13">
      <c r="A37" s="1593" t="s">
        <v>1267</v>
      </c>
      <c r="B37" s="1561" t="s">
        <v>1561</v>
      </c>
      <c r="C37" s="1598">
        <f ca="1">ROUND(C13*F37,1)</f>
        <v>43.4</v>
      </c>
      <c r="D37" s="1620" t="s">
        <v>1562</v>
      </c>
      <c r="E37" s="1561" t="s">
        <v>1528</v>
      </c>
      <c r="F37" s="1633">
        <f ca="1">INDIRECT("'数据-取费表'!Al"&amp;$G$1)</f>
        <v>0.0015</v>
      </c>
      <c r="G37" s="645"/>
      <c r="H37" s="1624"/>
      <c r="I37" s="1728"/>
      <c r="J37" s="1729"/>
      <c r="K37" s="1736"/>
      <c r="L37" s="1624"/>
      <c r="M37" s="1624"/>
    </row>
    <row r="38" ht="18" customHeight="1" spans="1:13">
      <c r="A38" s="1602" t="s">
        <v>1270</v>
      </c>
      <c r="B38" s="1586" t="s">
        <v>1547</v>
      </c>
      <c r="C38" s="1612">
        <f ca="1">ROUND(C5*F38,1)</f>
        <v>374.8</v>
      </c>
      <c r="D38" s="1613" t="s">
        <v>1565</v>
      </c>
      <c r="E38" s="1586" t="s">
        <v>1528</v>
      </c>
      <c r="F38" s="1587">
        <f ca="1">INDIRECT("'数据-取费表'!Am"&amp;$G$1)</f>
        <v>0.02</v>
      </c>
      <c r="G38" s="645"/>
      <c r="H38" s="1624"/>
      <c r="I38" s="1728"/>
      <c r="J38" s="1729"/>
      <c r="K38" s="1737"/>
      <c r="L38" s="1624"/>
      <c r="M38" s="1624"/>
    </row>
    <row r="39" ht="24.6" customHeight="1" spans="1:13">
      <c r="A39" s="1588" t="s">
        <v>1568</v>
      </c>
      <c r="B39" s="1634" t="s">
        <v>1569</v>
      </c>
      <c r="C39" s="1590">
        <f ca="1">C5-C30</f>
        <v>14658</v>
      </c>
      <c r="D39" s="1635" t="s">
        <v>1570</v>
      </c>
      <c r="E39" s="1636"/>
      <c r="F39" s="1637"/>
      <c r="G39" s="645"/>
      <c r="H39" s="1624"/>
      <c r="I39" s="1728"/>
      <c r="J39" s="1729"/>
      <c r="K39" s="1737"/>
      <c r="L39" s="1624"/>
      <c r="M39" s="1624"/>
    </row>
    <row r="40" ht="18" customHeight="1" spans="1:13">
      <c r="A40" s="1551" t="s">
        <v>1574</v>
      </c>
      <c r="B40" s="1552" t="s">
        <v>1592</v>
      </c>
      <c r="C40" s="1638">
        <f ca="1">ROUND(C39*(1-((1+F42)/(1+F40))^F41)/(F40-F42),0)</f>
        <v>320276</v>
      </c>
      <c r="D40" s="1626" t="s">
        <v>1576</v>
      </c>
      <c r="E40" s="1561" t="s">
        <v>1577</v>
      </c>
      <c r="F40" s="1571">
        <f ca="1">INDIRECT("'数据-取费表'!I"&amp;$G$1)</f>
        <v>0.055</v>
      </c>
      <c r="G40" s="645"/>
      <c r="H40" s="1639"/>
      <c r="I40" s="1728"/>
      <c r="J40" s="1729"/>
      <c r="K40" s="1737"/>
      <c r="L40" s="1639"/>
      <c r="M40" s="1639"/>
    </row>
    <row r="41" ht="18" customHeight="1" spans="1:13">
      <c r="A41" s="1568"/>
      <c r="B41" s="1640"/>
      <c r="C41" s="1569"/>
      <c r="D41" s="1641" t="s">
        <v>1580</v>
      </c>
      <c r="E41" s="1561" t="s">
        <v>1581</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1584</v>
      </c>
      <c r="F42" s="1571">
        <f ca="1">INDIRECT("'数据-取费表'!v"&amp;$G$1)</f>
        <v>0.03</v>
      </c>
      <c r="G42" s="645"/>
      <c r="H42" s="1643"/>
      <c r="I42" s="1728"/>
      <c r="J42" s="1729"/>
      <c r="K42" s="1736"/>
      <c r="L42" s="1643"/>
      <c r="M42" s="1643"/>
    </row>
    <row r="43" ht="18" customHeight="1" spans="1:13">
      <c r="A43" s="1615" t="s">
        <v>1587</v>
      </c>
      <c r="B43" s="1645" t="s">
        <v>1593</v>
      </c>
      <c r="C43" s="1646">
        <f ca="1">ROUND(C40*10000/F43,0)</f>
        <v>50591</v>
      </c>
      <c r="D43" s="1647" t="s">
        <v>1594</v>
      </c>
      <c r="E43" s="1648" t="s">
        <v>1595</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1596</v>
      </c>
      <c r="P45" s="1639"/>
      <c r="Q45" s="1639"/>
      <c r="R45" s="1639"/>
    </row>
    <row r="46" s="645" customFormat="1" ht="13.5" spans="1:18">
      <c r="A46" s="1654" t="s">
        <v>1597</v>
      </c>
      <c r="C46" s="1655">
        <f ca="1">C68-C40</f>
        <v>-371910</v>
      </c>
      <c r="D46" s="1656" t="str">
        <f>C2</f>
        <v>万元</v>
      </c>
      <c r="E46" s="1650"/>
      <c r="F46" s="1650"/>
      <c r="I46" s="1740" t="s">
        <v>1598</v>
      </c>
      <c r="J46" s="1741"/>
      <c r="K46" s="1742"/>
      <c r="L46" s="1743" t="str">
        <f ca="1">IF(M47="住宅",0,IF(L48&gt;J51,L60,J60))</f>
        <v>0</v>
      </c>
      <c r="O46" s="1744" t="s">
        <v>1599</v>
      </c>
      <c r="P46" s="1745" t="s">
        <v>1600</v>
      </c>
      <c r="Q46" s="1791" t="s">
        <v>1601</v>
      </c>
      <c r="R46" s="1791" t="s">
        <v>1602</v>
      </c>
    </row>
    <row r="47" s="645" customFormat="1" ht="13.5" spans="1:18">
      <c r="A47" s="1657" t="s">
        <v>1499</v>
      </c>
      <c r="B47" s="1658" t="s">
        <v>1500</v>
      </c>
      <c r="C47" s="1933" t="s">
        <v>1501</v>
      </c>
      <c r="D47" s="1658" t="s">
        <v>1502</v>
      </c>
      <c r="E47" s="1659" t="s">
        <v>1503</v>
      </c>
      <c r="F47" s="1660"/>
      <c r="G47" s="1661"/>
      <c r="I47" s="1746" t="s">
        <v>1603</v>
      </c>
      <c r="J47" s="1747" t="s">
        <v>1367</v>
      </c>
      <c r="K47" s="1748" t="s">
        <v>1604</v>
      </c>
      <c r="L47" s="1749">
        <f ca="1">INDIRECT("'数据-取费表'!d"&amp;$G$1)</f>
        <v>50</v>
      </c>
      <c r="M47" s="1750" t="str">
        <f>IF(ISNUMBER(FIND("住宅",C1)),"住宅","非住宅")</f>
        <v>非住宅</v>
      </c>
      <c r="O47" s="1751" t="s">
        <v>1605</v>
      </c>
      <c r="P47" s="1752" t="s">
        <v>1606</v>
      </c>
      <c r="Q47" s="1792">
        <f ca="1">C40+J29</f>
        <v>320276</v>
      </c>
      <c r="R47" s="1792" t="s">
        <v>1607</v>
      </c>
    </row>
    <row r="48" s="645" customFormat="1" ht="26.25" spans="1:18">
      <c r="A48" s="1662" t="s">
        <v>1608</v>
      </c>
      <c r="B48" s="1552" t="s">
        <v>1504</v>
      </c>
      <c r="C48" s="1663">
        <f ca="1">C49+C53+C55</f>
        <v>0</v>
      </c>
      <c r="D48" s="1664"/>
      <c r="E48" s="1665"/>
      <c r="F48" s="1666"/>
      <c r="G48" s="1661"/>
      <c r="H48" s="1667"/>
      <c r="I48" s="707" t="s">
        <v>1609</v>
      </c>
      <c r="J48" s="1753" t="s">
        <v>1610</v>
      </c>
      <c r="K48" s="1754" t="s">
        <v>1611</v>
      </c>
      <c r="L48" s="1755">
        <f ca="1">INDIRECT("'数据-取费表'!f"&amp;$G$1)</f>
        <v>32.95</v>
      </c>
      <c r="O48" s="1751" t="s">
        <v>1612</v>
      </c>
      <c r="P48" s="1752" t="s">
        <v>1613</v>
      </c>
      <c r="Q48" s="1792" t="str">
        <f ca="1">J60</f>
        <v>0</v>
      </c>
      <c r="R48" s="1792" t="s">
        <v>1614</v>
      </c>
    </row>
    <row r="49" s="645" customFormat="1" ht="13.5" spans="1:18">
      <c r="A49" s="1668" t="s">
        <v>1615</v>
      </c>
      <c r="B49" s="1669" t="s">
        <v>1616</v>
      </c>
      <c r="C49" s="1670">
        <f ca="1">ROUND(F49*F51*F50*(1-F52)/10000,0)</f>
        <v>0</v>
      </c>
      <c r="D49" s="1671" t="s">
        <v>1509</v>
      </c>
      <c r="E49" s="1672" t="s">
        <v>1617</v>
      </c>
      <c r="F49" s="1673"/>
      <c r="G49" s="1674"/>
      <c r="H49" s="1667"/>
      <c r="I49" s="707" t="s">
        <v>1618</v>
      </c>
      <c r="J49" s="1756">
        <v>2008</v>
      </c>
      <c r="K49" s="1754" t="s">
        <v>1619</v>
      </c>
      <c r="L49" s="1757"/>
      <c r="O49" s="1758" t="s">
        <v>1620</v>
      </c>
      <c r="P49" s="1752" t="s">
        <v>1621</v>
      </c>
      <c r="Q49" s="1792">
        <f ca="1">C29</f>
        <v>34018</v>
      </c>
      <c r="R49" s="1792" t="s">
        <v>1607</v>
      </c>
    </row>
    <row r="50" s="645" customFormat="1" ht="13.5" spans="1:18">
      <c r="A50" s="1675"/>
      <c r="B50" s="1676"/>
      <c r="C50" s="1934"/>
      <c r="D50" s="1678"/>
      <c r="E50" s="1679" t="s">
        <v>1510</v>
      </c>
      <c r="F50" s="1680">
        <f ca="1">F7</f>
        <v>63306.74</v>
      </c>
      <c r="H50" s="1667"/>
      <c r="I50" s="707" t="s">
        <v>1622</v>
      </c>
      <c r="J50" s="1759">
        <f>SUMPRODUCT((I63:I65=J47)*(J62:L62=J48)*(J63:L65))</f>
        <v>60</v>
      </c>
      <c r="K50" s="1754" t="s">
        <v>1623</v>
      </c>
      <c r="L50" s="1757"/>
      <c r="M50" s="1760"/>
      <c r="O50" s="1758" t="s">
        <v>1624</v>
      </c>
      <c r="P50" s="1752" t="s">
        <v>1625</v>
      </c>
      <c r="Q50" s="1793" t="e">
        <f ca="1">J58</f>
        <v>#VALUE!</v>
      </c>
      <c r="R50" s="1792"/>
    </row>
    <row r="51" s="645" customFormat="1" ht="13.5" spans="1:18">
      <c r="A51" s="1681"/>
      <c r="B51" s="1676"/>
      <c r="C51" s="1677"/>
      <c r="D51" s="1678"/>
      <c r="E51" s="1682" t="s">
        <v>1511</v>
      </c>
      <c r="F51" s="1562">
        <f ca="1">F8</f>
        <v>365</v>
      </c>
      <c r="I51" s="1761" t="s">
        <v>1626</v>
      </c>
      <c r="J51" s="1762">
        <f>IF(J49="",J50,J49+J50-YEAR('数据-取费表'!B2))</f>
        <v>48</v>
      </c>
      <c r="K51" s="1763" t="s">
        <v>1627</v>
      </c>
      <c r="L51" s="1764">
        <f ca="1">ROUND(-PV(INDIRECT("'数据-取费表'!h"&amp;$G$1),J51,(C39-C13*C76),0),0)</f>
        <v>220545</v>
      </c>
      <c r="M51" s="1765"/>
      <c r="O51" s="1758" t="s">
        <v>1628</v>
      </c>
      <c r="P51" s="1752" t="s">
        <v>1629</v>
      </c>
      <c r="Q51" s="1793">
        <f>J52</f>
        <v>0</v>
      </c>
      <c r="R51" s="1792"/>
    </row>
    <row r="52" s="645" customFormat="1" ht="13.5" spans="1:18">
      <c r="A52" s="1681"/>
      <c r="B52" s="1676"/>
      <c r="C52" s="1677"/>
      <c r="D52" s="1678"/>
      <c r="E52" s="1682" t="s">
        <v>1512</v>
      </c>
      <c r="F52" s="1683"/>
      <c r="I52" s="1766" t="s">
        <v>1630</v>
      </c>
      <c r="J52" s="1767"/>
      <c r="K52" s="1766" t="s">
        <v>1631</v>
      </c>
      <c r="L52" s="1767"/>
      <c r="O52" s="1758" t="s">
        <v>1632</v>
      </c>
      <c r="P52" s="1752" t="s">
        <v>1633</v>
      </c>
      <c r="Q52" s="1792">
        <f ca="1">J53</f>
        <v>32.95</v>
      </c>
      <c r="R52" s="1792" t="s">
        <v>1634</v>
      </c>
    </row>
    <row r="53" s="645" customFormat="1" ht="24.75" spans="1:18">
      <c r="A53" s="1935" t="s">
        <v>1635</v>
      </c>
      <c r="B53" s="1936" t="s">
        <v>1513</v>
      </c>
      <c r="C53" s="1573">
        <f ca="1">ROUND(IF(F53="押一",C49/12*F11,IF(F53="押二",C49/12*2*F11,IF(F53="押三",C49/12*3*F11,C54*F11))),0)</f>
        <v>0</v>
      </c>
      <c r="D53" s="1574" t="s">
        <v>1514</v>
      </c>
      <c r="E53" s="1575" t="s">
        <v>1515</v>
      </c>
      <c r="F53" s="1576"/>
      <c r="I53" s="1768" t="s">
        <v>1636</v>
      </c>
      <c r="J53" s="1769">
        <f ca="1">IF(M47="住宅",IF(D1="——",MAX(J51,L48),MAX(J51,L48-'数据-取费表'!B24)),IF(D1="——",MIN(J51,L48),MIN(J51,L48-'数据-取费表'!B24)))</f>
        <v>32.95</v>
      </c>
      <c r="K53" s="1770" t="s">
        <v>1637</v>
      </c>
      <c r="L53" s="1771"/>
      <c r="O53" s="1751" t="s">
        <v>1638</v>
      </c>
      <c r="P53" s="1752" t="s">
        <v>1639</v>
      </c>
      <c r="Q53" s="1792">
        <f ca="1">Q47+Q48</f>
        <v>320276</v>
      </c>
      <c r="R53" s="1792" t="s">
        <v>1640</v>
      </c>
    </row>
    <row r="54" s="645" customFormat="1" ht="13.5" spans="1:18">
      <c r="A54" s="1937"/>
      <c r="B54" s="1578" t="s">
        <v>1517</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1641</v>
      </c>
      <c r="P54" s="1774"/>
      <c r="Q54" s="1774"/>
      <c r="R54" s="1774"/>
    </row>
    <row r="55" s="645" customFormat="1" ht="13.5" spans="1:18">
      <c r="A55" s="1582" t="s">
        <v>1267</v>
      </c>
      <c r="B55" s="1583" t="s">
        <v>1519</v>
      </c>
      <c r="C55" s="1584"/>
      <c r="D55" s="1574"/>
      <c r="E55" s="1686"/>
      <c r="F55" s="1687"/>
      <c r="I55" s="1775" t="s">
        <v>1642</v>
      </c>
      <c r="J55" s="1776" t="e">
        <f ca="1">ROUND(IF(J47="钢混",J57/J50,1-(1-2%)*(J50-J57)/J50),3)</f>
        <v>#VALUE!</v>
      </c>
      <c r="K55" s="1777" t="s">
        <v>1643</v>
      </c>
      <c r="L55" s="1778" t="s">
        <v>1644</v>
      </c>
      <c r="O55" s="1744" t="s">
        <v>1599</v>
      </c>
      <c r="P55" s="1745" t="s">
        <v>1600</v>
      </c>
      <c r="Q55" s="1791" t="s">
        <v>1601</v>
      </c>
      <c r="R55" s="1791" t="s">
        <v>1602</v>
      </c>
    </row>
    <row r="56" s="645" customFormat="1" ht="25.5" spans="1:18">
      <c r="A56" s="1688">
        <v>2</v>
      </c>
      <c r="B56" s="1689" t="s">
        <v>1520</v>
      </c>
      <c r="C56" s="183">
        <f ca="1">C13</f>
        <v>28915</v>
      </c>
      <c r="D56" s="1690"/>
      <c r="E56" s="1691"/>
      <c r="F56" s="1687"/>
      <c r="I56" s="1779" t="s">
        <v>1645</v>
      </c>
      <c r="J56" s="1780" t="s">
        <v>473</v>
      </c>
      <c r="K56" s="707" t="s">
        <v>1646</v>
      </c>
      <c r="L56" s="1755" t="str">
        <f ca="1">IF(L48&lt;J51,"——",L48-J53)</f>
        <v>——</v>
      </c>
      <c r="O56" s="1751" t="s">
        <v>1605</v>
      </c>
      <c r="P56" s="1752" t="s">
        <v>1606</v>
      </c>
      <c r="Q56" s="1792">
        <f ca="1">C40+J29</f>
        <v>320276</v>
      </c>
      <c r="R56" s="1792" t="s">
        <v>1607</v>
      </c>
    </row>
    <row r="57" s="645" customFormat="1" ht="24.75" spans="1:18">
      <c r="A57" s="1692"/>
      <c r="B57" s="1693" t="s">
        <v>1586</v>
      </c>
      <c r="C57" s="193">
        <f ca="1">C29</f>
        <v>34018</v>
      </c>
      <c r="D57" s="1694"/>
      <c r="E57" s="1695"/>
      <c r="F57" s="1696"/>
      <c r="I57" s="1781" t="s">
        <v>1647</v>
      </c>
      <c r="J57" s="1782" t="str">
        <f ca="1">IF(OR(M47="住宅",J51&lt;L48,J56="是"),"——",J51-L48)</f>
        <v>——</v>
      </c>
      <c r="K57" s="707" t="s">
        <v>1648</v>
      </c>
      <c r="L57" s="1755" t="str">
        <f ca="1">IF(L48&lt;J51,"——",IF(L55="比较法",L49,IF(L55="基准地价",L50,L51)))</f>
        <v>——</v>
      </c>
      <c r="O57" s="1751" t="s">
        <v>1612</v>
      </c>
      <c r="P57" s="1752" t="s">
        <v>1649</v>
      </c>
      <c r="Q57" s="1792">
        <f ca="1">L60</f>
        <v>0</v>
      </c>
      <c r="R57" s="1792" t="s">
        <v>1650</v>
      </c>
    </row>
    <row r="58" s="645" customFormat="1" ht="24.75" spans="1:18">
      <c r="A58" s="1697" t="s">
        <v>532</v>
      </c>
      <c r="B58" s="1689" t="s">
        <v>1530</v>
      </c>
      <c r="C58" s="1573">
        <f ca="1">ROUND(C59+C64+C65+C66,0)</f>
        <v>3427</v>
      </c>
      <c r="D58" s="1698" t="s">
        <v>1531</v>
      </c>
      <c r="E58" s="1699"/>
      <c r="F58" s="1666"/>
      <c r="I58" s="1781" t="s">
        <v>1651</v>
      </c>
      <c r="J58" s="1783" t="e">
        <f ca="1">IF(J55&lt;0.4,0.4,J55)</f>
        <v>#VALUE!</v>
      </c>
      <c r="K58" s="1763" t="s">
        <v>1652</v>
      </c>
      <c r="L58" s="1755" t="e">
        <f ca="1">ROUND(POWER(1+L52,L47-L48)*(POWER(1+L52,L48)-1)/(POWER(1+L52,L47)-1),4)</f>
        <v>#DIV/0!</v>
      </c>
      <c r="O58" s="1758" t="s">
        <v>1620</v>
      </c>
      <c r="P58" s="1752" t="s">
        <v>1653</v>
      </c>
      <c r="Q58" s="1792">
        <f>IF(L55="比较法",L49,IF(L55="基准地价",L50,0))</f>
        <v>0</v>
      </c>
      <c r="R58" s="1792" t="s">
        <v>1607</v>
      </c>
    </row>
    <row r="59" s="645" customFormat="1" ht="24.75" spans="1:18">
      <c r="A59" s="1593" t="s">
        <v>1218</v>
      </c>
      <c r="B59" s="1693" t="s">
        <v>1536</v>
      </c>
      <c r="C59" s="1619">
        <f ca="1">ROUND(IF(AND(项目基本情况!B11="自然人",项目基本情况!B10="北京市"),C49*F59/(1+'数据-取费表'!C42),C60+C61+C62),0)</f>
        <v>2873</v>
      </c>
      <c r="D59" s="1700" t="s">
        <v>1537</v>
      </c>
      <c r="E59" s="1701" t="s">
        <v>1538</v>
      </c>
      <c r="F59" s="1621" t="str">
        <f ca="1">IF(项目基本情况!B11="企业","——",IF('数据-取费表'!B10="住宅",IF(F49*F50*F51/12/(1+'数据-取费表'!F30)&gt;100000,4%,2.5%),IF(F49*F50*F51/12/(1+'数据-取费表'!F30)&gt;100000,12%,7%)))</f>
        <v>——</v>
      </c>
      <c r="I59" s="1781" t="s">
        <v>1654</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1624</v>
      </c>
      <c r="P59" s="1752" t="s">
        <v>1655</v>
      </c>
      <c r="Q59" s="1793">
        <f>L52</f>
        <v>0</v>
      </c>
      <c r="R59" s="1792"/>
    </row>
    <row r="60" s="645" customFormat="1" ht="17.25" spans="1:18">
      <c r="A60" s="1593" t="s">
        <v>1241</v>
      </c>
      <c r="B60" s="1693" t="s">
        <v>1541</v>
      </c>
      <c r="C60" s="1598">
        <f ca="1">IF(项目基本情况!B11="自然人","——",ROUND(C48*F60/(1+'数据-取费表'!C42),2))</f>
        <v>0</v>
      </c>
      <c r="D60" s="1701" t="s">
        <v>1542</v>
      </c>
      <c r="E60" s="1693" t="s">
        <v>1528</v>
      </c>
      <c r="F60" s="1611">
        <f t="shared" ref="F60:F66" si="0">F32</f>
        <v>0.056</v>
      </c>
      <c r="I60" s="1784" t="s">
        <v>1656</v>
      </c>
      <c r="J60" s="1785" t="str">
        <f ca="1">IF(OR(M47="住宅",J51&lt;L48,J56="是"),"0",ROUND(J59/(1+J52)^J53,0))</f>
        <v>0</v>
      </c>
      <c r="K60" s="1786" t="s">
        <v>1657</v>
      </c>
      <c r="L60" s="1785">
        <f ca="1">IF(OR(M47="住宅",L48&lt;J51),0,ROUND(L57*(L58/L59-1),0))</f>
        <v>0</v>
      </c>
      <c r="O60" s="1758" t="s">
        <v>1628</v>
      </c>
      <c r="P60" s="1752" t="s">
        <v>1658</v>
      </c>
      <c r="Q60" s="1792" t="e">
        <f ca="1">L58</f>
        <v>#DIV/0!</v>
      </c>
      <c r="R60" s="1792" t="s">
        <v>1659</v>
      </c>
    </row>
    <row r="61" s="645" customFormat="1" ht="13.5" spans="1:18">
      <c r="A61" s="1593" t="s">
        <v>1245</v>
      </c>
      <c r="B61" s="1693" t="s">
        <v>1545</v>
      </c>
      <c r="C61" s="1598">
        <f ca="1">IF(项目基本情况!B11="自然人","——",IF(D61="按租金收入计税",ROUND(C48*F61,2),IF(D61="按房产原值计税",ROUND(C57*F61*0.7,2),INDIRECT("'数据-取费表'!Aj"&amp;$G$1))))</f>
        <v>2857.51</v>
      </c>
      <c r="D61" s="1623" t="s">
        <v>1660</v>
      </c>
      <c r="E61" s="1693" t="s">
        <v>1528</v>
      </c>
      <c r="F61" s="1603">
        <f t="shared" si="0"/>
        <v>0.12</v>
      </c>
      <c r="I61" s="1639"/>
      <c r="J61" s="1639"/>
      <c r="K61" s="1639"/>
      <c r="L61" s="1639"/>
      <c r="O61" s="1758" t="s">
        <v>1632</v>
      </c>
      <c r="P61" s="1752" t="str">
        <f>K59</f>
        <v>建筑物剩余耐用年限下的土地年期修正系数Kn</v>
      </c>
      <c r="Q61" s="1792" t="e">
        <f ca="1">L59</f>
        <v>#DIV/0!</v>
      </c>
      <c r="R61" s="1792" t="s">
        <v>1661</v>
      </c>
    </row>
    <row r="62" s="645" customFormat="1" ht="13.5" spans="1:18">
      <c r="A62" s="1593" t="s">
        <v>1248</v>
      </c>
      <c r="B62" s="1702" t="s">
        <v>1549</v>
      </c>
      <c r="C62" s="1625">
        <f ca="1">IF(项目基本情况!B11="自然人","——",ROUND(F62*F63/10000,2))</f>
        <v>15.58</v>
      </c>
      <c r="D62" s="1703" t="s">
        <v>1550</v>
      </c>
      <c r="E62" s="1693" t="s">
        <v>1551</v>
      </c>
      <c r="F62" s="1610">
        <f t="shared" si="0"/>
        <v>18</v>
      </c>
      <c r="I62" s="1787" t="s">
        <v>1662</v>
      </c>
      <c r="J62" s="1788" t="s">
        <v>1663</v>
      </c>
      <c r="K62" s="1788" t="s">
        <v>1664</v>
      </c>
      <c r="L62" s="1788" t="s">
        <v>1665</v>
      </c>
      <c r="M62" s="1789" t="s">
        <v>1666</v>
      </c>
      <c r="O62" s="1751" t="s">
        <v>1638</v>
      </c>
      <c r="P62" s="1752" t="s">
        <v>1639</v>
      </c>
      <c r="Q62" s="1792">
        <f ca="1">Q56+Q57</f>
        <v>320276</v>
      </c>
      <c r="R62" s="1792" t="s">
        <v>1640</v>
      </c>
    </row>
    <row r="63" s="645" customFormat="1" ht="13.5" spans="1:18">
      <c r="A63" s="1608"/>
      <c r="B63" s="1704"/>
      <c r="C63" s="1629"/>
      <c r="D63" s="1705"/>
      <c r="E63" s="1693" t="s">
        <v>1555</v>
      </c>
      <c r="F63" s="1562">
        <f ca="1" t="shared" si="0"/>
        <v>8652.93</v>
      </c>
      <c r="I63" s="1787" t="s">
        <v>1667</v>
      </c>
      <c r="J63" s="1788">
        <v>70</v>
      </c>
      <c r="K63" s="1788">
        <v>50</v>
      </c>
      <c r="L63" s="1788">
        <v>80</v>
      </c>
      <c r="M63" s="1790">
        <v>0.02</v>
      </c>
      <c r="O63" s="1739" t="s">
        <v>1668</v>
      </c>
      <c r="P63" s="1774"/>
      <c r="Q63" s="1774"/>
      <c r="R63" s="1774"/>
    </row>
    <row r="64" s="645" customFormat="1" ht="13.5" spans="1:18">
      <c r="A64" s="1593" t="s">
        <v>1222</v>
      </c>
      <c r="B64" s="1693" t="s">
        <v>1557</v>
      </c>
      <c r="C64" s="1598">
        <f ca="1">ROUND(C57*F64,1)</f>
        <v>510.3</v>
      </c>
      <c r="D64" s="1701" t="s">
        <v>1591</v>
      </c>
      <c r="E64" s="1693" t="s">
        <v>1528</v>
      </c>
      <c r="F64" s="1632">
        <f ca="1" t="shared" si="0"/>
        <v>0.015</v>
      </c>
      <c r="I64" s="1787" t="s">
        <v>1669</v>
      </c>
      <c r="J64" s="1788">
        <v>50</v>
      </c>
      <c r="K64" s="1788">
        <v>35</v>
      </c>
      <c r="L64" s="1788">
        <v>60</v>
      </c>
      <c r="M64" s="1789">
        <v>0</v>
      </c>
      <c r="O64" s="1744" t="s">
        <v>1599</v>
      </c>
      <c r="P64" s="1745" t="s">
        <v>1600</v>
      </c>
      <c r="Q64" s="1791" t="s">
        <v>1601</v>
      </c>
      <c r="R64" s="1791" t="s">
        <v>1602</v>
      </c>
    </row>
    <row r="65" s="645" customFormat="1" ht="13.5" spans="1:18">
      <c r="A65" s="1593" t="s">
        <v>1267</v>
      </c>
      <c r="B65" s="1693" t="s">
        <v>1561</v>
      </c>
      <c r="C65" s="1598">
        <f ca="1">ROUND(C56*F65,1)</f>
        <v>43.4</v>
      </c>
      <c r="D65" s="1701" t="s">
        <v>1562</v>
      </c>
      <c r="E65" s="1693" t="s">
        <v>1528</v>
      </c>
      <c r="F65" s="1633">
        <f ca="1" t="shared" si="0"/>
        <v>0.0015</v>
      </c>
      <c r="I65" s="1787" t="s">
        <v>1670</v>
      </c>
      <c r="J65" s="1788">
        <v>40</v>
      </c>
      <c r="K65" s="1788">
        <v>30</v>
      </c>
      <c r="L65" s="1788">
        <v>50</v>
      </c>
      <c r="M65" s="1790">
        <v>0.02</v>
      </c>
      <c r="O65" s="1751" t="s">
        <v>1605</v>
      </c>
      <c r="P65" s="1752" t="s">
        <v>1606</v>
      </c>
      <c r="Q65" s="1792">
        <f ca="1">C40+J29</f>
        <v>320276</v>
      </c>
      <c r="R65" s="1792" t="s">
        <v>1607</v>
      </c>
    </row>
    <row r="66" s="645" customFormat="1" ht="17.25" spans="1:18">
      <c r="A66" s="1593" t="s">
        <v>1270</v>
      </c>
      <c r="B66" s="1693" t="s">
        <v>1547</v>
      </c>
      <c r="C66" s="1598">
        <f ca="1">ROUND(C48*F66,1)</f>
        <v>0</v>
      </c>
      <c r="D66" s="1701" t="s">
        <v>1565</v>
      </c>
      <c r="E66" s="1693" t="s">
        <v>1528</v>
      </c>
      <c r="F66" s="1571">
        <f ca="1" t="shared" si="0"/>
        <v>0.02</v>
      </c>
      <c r="O66" s="1751" t="s">
        <v>1612</v>
      </c>
      <c r="P66" s="1752" t="s">
        <v>1649</v>
      </c>
      <c r="Q66" s="1792">
        <f ca="1">L60</f>
        <v>0</v>
      </c>
      <c r="R66" s="1792" t="s">
        <v>1650</v>
      </c>
    </row>
    <row r="67" s="645" customFormat="1" ht="17.25" spans="1:18">
      <c r="A67" s="1688" t="s">
        <v>1568</v>
      </c>
      <c r="B67" s="1794" t="s">
        <v>1569</v>
      </c>
      <c r="C67" s="1573">
        <f ca="1">C48-C58</f>
        <v>-3427</v>
      </c>
      <c r="D67" s="1700" t="s">
        <v>1570</v>
      </c>
      <c r="E67" s="1795"/>
      <c r="F67" s="1796"/>
      <c r="O67" s="1758" t="s">
        <v>1620</v>
      </c>
      <c r="P67" s="1752" t="s">
        <v>1653</v>
      </c>
      <c r="Q67" s="1817">
        <f ca="1">L51</f>
        <v>220545</v>
      </c>
      <c r="R67" s="1792" t="s">
        <v>1671</v>
      </c>
    </row>
    <row r="68" s="645" customFormat="1" ht="17.25" spans="1:18">
      <c r="A68" s="1797" t="s">
        <v>1574</v>
      </c>
      <c r="B68" s="1798" t="s">
        <v>1592</v>
      </c>
      <c r="C68" s="1638">
        <f ca="1">ROUND(C67*(1-((1+F70)/(1+F68))^F69)/(F68-F70),0)</f>
        <v>-51634</v>
      </c>
      <c r="D68" s="1703" t="s">
        <v>1576</v>
      </c>
      <c r="E68" s="1693" t="s">
        <v>1577</v>
      </c>
      <c r="F68" s="1571">
        <f ca="1" t="shared" ref="F68:F71" si="1">F40</f>
        <v>0.055</v>
      </c>
      <c r="O68" s="1758" t="s">
        <v>1624</v>
      </c>
      <c r="P68" s="1816" t="s">
        <v>1672</v>
      </c>
      <c r="Q68" s="1792">
        <f ca="1">ROUND(Q69-Q70*Q71,0)</f>
        <v>12200</v>
      </c>
      <c r="R68" s="1792" t="s">
        <v>1673</v>
      </c>
    </row>
    <row r="69" s="645" customFormat="1" ht="13.5" spans="1:18">
      <c r="A69" s="1799"/>
      <c r="B69" s="1800"/>
      <c r="C69" s="1569"/>
      <c r="D69" s="1801" t="s">
        <v>1580</v>
      </c>
      <c r="E69" s="1693" t="s">
        <v>1581</v>
      </c>
      <c r="F69" s="1642">
        <f ca="1" t="shared" si="1"/>
        <v>32.95</v>
      </c>
      <c r="O69" s="1758" t="s">
        <v>1674</v>
      </c>
      <c r="P69" s="1816" t="s">
        <v>1675</v>
      </c>
      <c r="Q69" s="1792">
        <f ca="1">C39</f>
        <v>14658</v>
      </c>
      <c r="R69" s="1792" t="s">
        <v>1607</v>
      </c>
    </row>
    <row r="70" s="645" customFormat="1" ht="13.5" spans="1:18">
      <c r="A70" s="1802"/>
      <c r="B70" s="1803"/>
      <c r="C70" s="1590"/>
      <c r="D70" s="1705"/>
      <c r="E70" s="1693" t="s">
        <v>1584</v>
      </c>
      <c r="F70" s="1683"/>
      <c r="O70" s="1758" t="s">
        <v>1676</v>
      </c>
      <c r="P70" s="1816" t="s">
        <v>1677</v>
      </c>
      <c r="Q70" s="1792">
        <f ca="1">C13</f>
        <v>28915</v>
      </c>
      <c r="R70" s="1792" t="s">
        <v>1607</v>
      </c>
    </row>
    <row r="71" s="645" customFormat="1" ht="13.5" spans="1:18">
      <c r="A71" s="1804" t="s">
        <v>1587</v>
      </c>
      <c r="B71" s="1805" t="s">
        <v>1593</v>
      </c>
      <c r="C71" s="1646">
        <f ca="1">ROUND(C68*10000/F71,0)</f>
        <v>-8156</v>
      </c>
      <c r="D71" s="1806" t="s">
        <v>1594</v>
      </c>
      <c r="E71" s="1807" t="s">
        <v>1595</v>
      </c>
      <c r="F71" s="1649">
        <f ca="1" t="shared" si="1"/>
        <v>63306.74</v>
      </c>
      <c r="O71" s="1758" t="s">
        <v>1678</v>
      </c>
      <c r="P71" s="1816" t="s">
        <v>1679</v>
      </c>
      <c r="Q71" s="1793">
        <f ca="1">C76</f>
        <v>0.085</v>
      </c>
      <c r="R71" s="1792"/>
    </row>
    <row r="72" s="645" customFormat="1" ht="13.5" spans="2:18">
      <c r="B72" s="1808"/>
      <c r="C72" s="1808"/>
      <c r="O72" s="1758" t="s">
        <v>1628</v>
      </c>
      <c r="P72" s="1752" t="s">
        <v>1655</v>
      </c>
      <c r="Q72" s="1793">
        <f>L52</f>
        <v>0</v>
      </c>
      <c r="R72" s="1792"/>
    </row>
    <row r="73" ht="17.25" spans="1:18">
      <c r="A73" s="645"/>
      <c r="B73" s="1808"/>
      <c r="C73" s="1808"/>
      <c r="D73" s="645"/>
      <c r="E73" s="645"/>
      <c r="F73" s="645"/>
      <c r="O73" s="1758" t="s">
        <v>1632</v>
      </c>
      <c r="P73" s="1752" t="s">
        <v>1658</v>
      </c>
      <c r="Q73" s="1792" t="e">
        <f ca="1">L58</f>
        <v>#DIV/0!</v>
      </c>
      <c r="R73" s="1792" t="s">
        <v>1659</v>
      </c>
    </row>
    <row r="74" ht="13.5" spans="1:18">
      <c r="A74" s="645"/>
      <c r="B74" s="228" t="s">
        <v>1680</v>
      </c>
      <c r="C74" s="1809"/>
      <c r="D74" s="645"/>
      <c r="E74" s="645"/>
      <c r="F74" s="645"/>
      <c r="O74" s="1758" t="s">
        <v>1681</v>
      </c>
      <c r="P74" s="1752" t="str">
        <f>K59</f>
        <v>建筑物剩余耐用年限下的土地年期修正系数Kn</v>
      </c>
      <c r="Q74" s="1792" t="e">
        <f ca="1">L59</f>
        <v>#DIV/0!</v>
      </c>
      <c r="R74" s="1792" t="s">
        <v>1661</v>
      </c>
    </row>
    <row r="75" ht="13.5" spans="1:18">
      <c r="A75" s="645"/>
      <c r="B75" s="1810" t="s">
        <v>1682</v>
      </c>
      <c r="C75" s="1811">
        <f ca="1">ROUND(C13*C76,0)</f>
        <v>2458</v>
      </c>
      <c r="D75" s="645"/>
      <c r="E75" s="645"/>
      <c r="F75" s="645"/>
      <c r="K75" s="1738"/>
      <c r="L75" s="645"/>
      <c r="O75" s="1751" t="s">
        <v>1638</v>
      </c>
      <c r="P75" s="1752" t="s">
        <v>1639</v>
      </c>
      <c r="Q75" s="1792">
        <f ca="1">Q65+Q66</f>
        <v>320276</v>
      </c>
      <c r="R75" s="1792" t="s">
        <v>1640</v>
      </c>
    </row>
    <row r="76" spans="2:12">
      <c r="B76" s="450" t="s">
        <v>1683</v>
      </c>
      <c r="C76" s="1812">
        <f ca="1">INDIRECT("'数据-取费表'!j"&amp;$G$1)</f>
        <v>0.085</v>
      </c>
      <c r="I76" s="645"/>
      <c r="J76" s="645"/>
      <c r="K76" s="1738"/>
      <c r="L76" s="645"/>
    </row>
    <row r="77" spans="2:12">
      <c r="B77" s="1813" t="s">
        <v>1684</v>
      </c>
      <c r="C77" s="1814"/>
      <c r="I77" s="645"/>
      <c r="J77" s="645"/>
      <c r="K77" s="1738"/>
      <c r="L77" s="645"/>
    </row>
    <row r="78" spans="2:3">
      <c r="B78" s="226" t="s">
        <v>1685</v>
      </c>
      <c r="C78" s="1815"/>
    </row>
    <row r="79" spans="2:3">
      <c r="B79" s="1810" t="s">
        <v>1686</v>
      </c>
      <c r="C79" s="229">
        <f ca="1">1-C80</f>
        <v>0.832</v>
      </c>
    </row>
    <row r="80" spans="2:3">
      <c r="B80" s="1810" t="s">
        <v>1687</v>
      </c>
      <c r="C80" s="229">
        <f ca="1">ROUND(C75/C39,3)</f>
        <v>0.168</v>
      </c>
    </row>
    <row r="81" spans="2:3">
      <c r="B81" s="226" t="s">
        <v>1688</v>
      </c>
      <c r="C81" s="193"/>
    </row>
    <row r="82" spans="2:3">
      <c r="B82" s="228" t="s">
        <v>1689</v>
      </c>
      <c r="C82" s="230">
        <f ca="1">1-C83</f>
        <v>0.91</v>
      </c>
    </row>
    <row r="83" spans="2:3">
      <c r="B83" s="228" t="s">
        <v>1690</v>
      </c>
      <c r="C83" s="229">
        <f ca="1">ROUND(C13/C40,3)</f>
        <v>0.09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1691</v>
      </c>
      <c r="B1" s="2501"/>
      <c r="C1" s="2501"/>
      <c r="D1" s="2501"/>
      <c r="E1" s="2502"/>
      <c r="F1" s="2503"/>
      <c r="G1" s="2504"/>
      <c r="H1" s="2504"/>
      <c r="I1" s="2504"/>
      <c r="J1" s="2504"/>
      <c r="K1" s="2504"/>
      <c r="L1" s="2504"/>
      <c r="M1" s="2504"/>
      <c r="N1" s="2504"/>
      <c r="O1" s="2504"/>
      <c r="P1" s="2504"/>
      <c r="Q1" s="2504"/>
      <c r="R1" s="2504"/>
      <c r="S1" s="2504"/>
    </row>
    <row r="2" spans="1:19">
      <c r="A2" s="2505" t="s">
        <v>1312</v>
      </c>
      <c r="B2" s="2506">
        <f ca="1">SUMIF(B6:B13,"&lt;&gt;#ref!",B6:B13)</f>
        <v>331983</v>
      </c>
      <c r="C2" s="2507" t="s">
        <v>1692</v>
      </c>
      <c r="D2" s="2508" t="s">
        <v>1693</v>
      </c>
      <c r="E2" s="2509">
        <f>SUM(E6:E13)</f>
        <v>66448.33</v>
      </c>
      <c r="F2" s="2503"/>
      <c r="G2" s="2504"/>
      <c r="H2" s="2504"/>
      <c r="I2" s="2504"/>
      <c r="J2" s="2504"/>
      <c r="K2" s="2504"/>
      <c r="L2" s="2504"/>
      <c r="M2" s="2504"/>
      <c r="N2" s="2504"/>
      <c r="O2" s="2504"/>
      <c r="P2" s="2504"/>
      <c r="Q2" s="2504"/>
      <c r="R2" s="2504"/>
      <c r="S2" s="2504"/>
    </row>
    <row r="3" spans="1:19">
      <c r="A3" s="2505" t="s">
        <v>1314</v>
      </c>
      <c r="B3" s="2510">
        <f ca="1">ROUND(B2*10000/E2,0)</f>
        <v>49961</v>
      </c>
      <c r="C3" s="2507" t="s">
        <v>1694</v>
      </c>
      <c r="D3" s="2511"/>
      <c r="E3" s="2512"/>
      <c r="F3" s="2503"/>
      <c r="G3" s="2504"/>
      <c r="H3" s="2504"/>
      <c r="I3" s="2504"/>
      <c r="J3" s="2504"/>
      <c r="K3" s="2504"/>
      <c r="L3" s="2504"/>
      <c r="M3" s="2504"/>
      <c r="N3" s="2504"/>
      <c r="O3" s="2504"/>
      <c r="P3" s="2504"/>
      <c r="Q3" s="2504"/>
      <c r="R3" s="2504"/>
      <c r="S3" s="2504"/>
    </row>
    <row r="4" ht="15.75" spans="1:19">
      <c r="A4" s="2513"/>
      <c r="B4" s="2511"/>
      <c r="C4" s="2511"/>
      <c r="D4" s="2511"/>
      <c r="E4" s="2512"/>
      <c r="F4" s="2503"/>
      <c r="G4" s="2504"/>
      <c r="H4" s="2504"/>
      <c r="I4" s="2504"/>
      <c r="J4" s="2504"/>
      <c r="K4" s="2504"/>
      <c r="L4" s="2504"/>
      <c r="M4" s="2504"/>
      <c r="N4" s="2504"/>
      <c r="O4" s="2504"/>
      <c r="P4" s="2504"/>
      <c r="Q4" s="2504"/>
      <c r="R4" s="2504"/>
      <c r="S4" s="2504"/>
    </row>
    <row r="5" ht="15" spans="1:19">
      <c r="A5" s="2514" t="s">
        <v>1695</v>
      </c>
      <c r="B5" s="2515" t="s">
        <v>1696</v>
      </c>
      <c r="C5" s="2516"/>
      <c r="D5" s="2517"/>
      <c r="E5" s="2518" t="s">
        <v>1697</v>
      </c>
      <c r="F5" s="2519" t="s">
        <v>1698</v>
      </c>
      <c r="G5" s="2504"/>
      <c r="H5" s="2504"/>
      <c r="I5" s="2504"/>
      <c r="J5" s="2504"/>
      <c r="K5" s="2504"/>
      <c r="L5" s="2504"/>
      <c r="M5" s="2504"/>
      <c r="N5" s="2504"/>
      <c r="O5" s="2504"/>
      <c r="P5" s="2504"/>
      <c r="Q5" s="2504"/>
      <c r="R5" s="2504"/>
      <c r="S5" s="2504"/>
    </row>
    <row r="6" spans="1:19">
      <c r="A6" s="2520" t="str">
        <f>'数据-取费表'!AN6</f>
        <v>办公收益法-无租约</v>
      </c>
      <c r="B6" s="379">
        <f ca="1">IF(F6="是",'数据-取费表'!AO6,0)</f>
        <v>320276</v>
      </c>
      <c r="C6" s="2507" t="s">
        <v>1692</v>
      </c>
      <c r="D6" s="2511"/>
      <c r="E6" s="2521">
        <f>IF(OR(A6=0,F6="否"),0,'数据-取费表'!K6+'数据-取费表'!S6)</f>
        <v>63306.74</v>
      </c>
      <c r="F6" s="2522" t="s">
        <v>1699</v>
      </c>
      <c r="G6" s="2504"/>
      <c r="H6" s="2504"/>
      <c r="I6" s="2504"/>
      <c r="J6" s="2504"/>
      <c r="K6" s="2504"/>
      <c r="L6" s="2504"/>
      <c r="M6" s="2504"/>
      <c r="N6" s="2504"/>
      <c r="O6" s="2504"/>
      <c r="P6" s="2504"/>
      <c r="Q6" s="2504"/>
      <c r="R6" s="2504"/>
      <c r="S6" s="2504"/>
    </row>
    <row r="7" spans="1:19">
      <c r="A7" s="2520" t="str">
        <f>'数据-取费表'!AN7</f>
        <v>商业收益法-无租约</v>
      </c>
      <c r="B7" s="379">
        <f ca="1">IF(F7="是",'数据-取费表'!AO7,0)</f>
        <v>11707</v>
      </c>
      <c r="C7" s="2507" t="s">
        <v>1692</v>
      </c>
      <c r="D7" s="2511"/>
      <c r="E7" s="2521">
        <f>IF(OR(A7=0,F7="否"),0,'数据-取费表'!K7+'数据-取费表'!S7)</f>
        <v>3141.59</v>
      </c>
      <c r="F7" s="2522" t="s">
        <v>1699</v>
      </c>
      <c r="G7" s="2504"/>
      <c r="H7" s="2504"/>
      <c r="I7" s="2504"/>
      <c r="J7" s="2504"/>
      <c r="K7" s="2504"/>
      <c r="L7" s="2504"/>
      <c r="M7" s="2504"/>
      <c r="N7" s="2504"/>
      <c r="O7" s="2504"/>
      <c r="P7" s="2504"/>
      <c r="Q7" s="2504"/>
      <c r="R7" s="2504"/>
      <c r="S7" s="2504"/>
    </row>
    <row r="8" spans="1:19">
      <c r="A8" s="2520">
        <f>'数据-取费表'!AN8</f>
        <v>0</v>
      </c>
      <c r="B8" s="379">
        <f ca="1">IF(F8="是",'数据-取费表'!AO8,0)</f>
        <v>0</v>
      </c>
      <c r="C8" s="2507" t="s">
        <v>1692</v>
      </c>
      <c r="D8" s="2511"/>
      <c r="E8" s="2521">
        <f>IF(OR(A8=0,F8="否"),0,'数据-取费表'!K8+'数据-取费表'!S8)</f>
        <v>0</v>
      </c>
      <c r="F8" s="2522" t="s">
        <v>474</v>
      </c>
      <c r="G8" s="2504"/>
      <c r="H8" s="2504"/>
      <c r="I8" s="2504"/>
      <c r="J8" s="2504"/>
      <c r="K8" s="2504"/>
      <c r="L8" s="2504"/>
      <c r="M8" s="2504"/>
      <c r="N8" s="2504"/>
      <c r="O8" s="2504"/>
      <c r="P8" s="2504"/>
      <c r="Q8" s="2504"/>
      <c r="R8" s="2504"/>
      <c r="S8" s="2504"/>
    </row>
    <row r="9" spans="1:19">
      <c r="A9" s="2520">
        <f>'数据-取费表'!AN9</f>
        <v>0</v>
      </c>
      <c r="B9" s="379">
        <f ca="1">IF(F9="是",'数据-取费表'!AO9,0)</f>
        <v>0</v>
      </c>
      <c r="C9" s="2507" t="s">
        <v>1692</v>
      </c>
      <c r="D9" s="2511"/>
      <c r="E9" s="2521">
        <f>IF(OR(A9=0,F9="否"),0,'数据-取费表'!K9+'数据-取费表'!S9)</f>
        <v>0</v>
      </c>
      <c r="F9" s="2522" t="s">
        <v>474</v>
      </c>
      <c r="G9" s="2504"/>
      <c r="H9" s="2504"/>
      <c r="I9" s="2504"/>
      <c r="J9" s="2504"/>
      <c r="K9" s="2504"/>
      <c r="L9" s="2504"/>
      <c r="M9" s="2504"/>
      <c r="N9" s="2504"/>
      <c r="O9" s="2504"/>
      <c r="P9" s="2504"/>
      <c r="Q9" s="2504"/>
      <c r="R9" s="2504"/>
      <c r="S9" s="2504"/>
    </row>
    <row r="10" spans="1:19">
      <c r="A10" s="2520">
        <f>'数据-取费表'!AN10</f>
        <v>0</v>
      </c>
      <c r="B10" s="379" t="e">
        <f ca="1">IF(F10="是",'数据-取费表'!AO10,0)</f>
        <v>#REF!</v>
      </c>
      <c r="C10" s="2507" t="s">
        <v>1692</v>
      </c>
      <c r="D10" s="2511"/>
      <c r="E10" s="2521">
        <f>IF(OR(A10=0,F10="否"),0,'数据-取费表'!K10+'数据-取费表'!S10)</f>
        <v>0</v>
      </c>
      <c r="F10" s="2522" t="s">
        <v>1699</v>
      </c>
      <c r="G10" s="2504"/>
      <c r="H10" s="2504"/>
      <c r="I10" s="2504"/>
      <c r="J10" s="2504"/>
      <c r="K10" s="2504"/>
      <c r="L10" s="2504"/>
      <c r="M10" s="2504"/>
      <c r="N10" s="2504"/>
      <c r="O10" s="2504"/>
      <c r="P10" s="2504"/>
      <c r="Q10" s="2504"/>
      <c r="R10" s="2504"/>
      <c r="S10" s="2504"/>
    </row>
    <row r="11" spans="1:19">
      <c r="A11" s="2520">
        <f>'数据-取费表'!AN11</f>
        <v>0</v>
      </c>
      <c r="B11" s="379" t="e">
        <f ca="1">IF(F11="是",'数据-取费表'!AO11,0)</f>
        <v>#REF!</v>
      </c>
      <c r="C11" s="2507" t="s">
        <v>1692</v>
      </c>
      <c r="D11" s="2511"/>
      <c r="E11" s="2521">
        <f>IF(OR(A11=0,F11="否"),0,'数据-取费表'!K11+'数据-取费表'!S11)</f>
        <v>0</v>
      </c>
      <c r="F11" s="2522" t="s">
        <v>1699</v>
      </c>
      <c r="G11" s="2504"/>
      <c r="H11" s="2504"/>
      <c r="I11" s="2504"/>
      <c r="J11" s="2504"/>
      <c r="K11" s="2504"/>
      <c r="L11" s="2504"/>
      <c r="M11" s="2504"/>
      <c r="N11" s="2504"/>
      <c r="O11" s="2504"/>
      <c r="P11" s="2504"/>
      <c r="Q11" s="2504"/>
      <c r="R11" s="2504"/>
      <c r="S11" s="2504"/>
    </row>
    <row r="12" spans="1:19">
      <c r="A12" s="2520">
        <f>'数据-取费表'!AN12</f>
        <v>0</v>
      </c>
      <c r="B12" s="379" t="e">
        <f ca="1">IF(F12="是",'数据-取费表'!AO12,0)</f>
        <v>#REF!</v>
      </c>
      <c r="C12" s="2507" t="s">
        <v>1692</v>
      </c>
      <c r="D12" s="2511"/>
      <c r="E12" s="2521">
        <f>IF(OR(A12=0,F12="否"),0,'数据-取费表'!K12+'数据-取费表'!S12)</f>
        <v>0</v>
      </c>
      <c r="F12" s="2522" t="s">
        <v>1699</v>
      </c>
      <c r="G12" s="2504"/>
      <c r="H12" s="2504"/>
      <c r="I12" s="2504"/>
      <c r="J12" s="2504"/>
      <c r="K12" s="2504"/>
      <c r="L12" s="2504"/>
      <c r="M12" s="2504"/>
      <c r="N12" s="2504"/>
      <c r="O12" s="2504"/>
      <c r="P12" s="2504"/>
      <c r="Q12" s="2504"/>
      <c r="R12" s="2504"/>
      <c r="S12" s="2504"/>
    </row>
    <row r="13" ht="15" spans="1:19">
      <c r="A13" s="2523">
        <f>'数据-取费表'!AN13</f>
        <v>0</v>
      </c>
      <c r="B13" s="379" t="e">
        <f ca="1">IF(F13="是",'数据-取费表'!AO13,0)</f>
        <v>#REF!</v>
      </c>
      <c r="C13" s="2524" t="s">
        <v>1692</v>
      </c>
      <c r="D13" s="2525"/>
      <c r="E13" s="2521">
        <f>IF(OR(A13=0,F13="否"),0,'数据-取费表'!K13+'数据-取费表'!S13)</f>
        <v>0</v>
      </c>
      <c r="F13" s="2522" t="s">
        <v>1699</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61" workbookViewId="0">
      <selection activeCell="G19" sqref="G19"/>
    </sheetView>
  </sheetViews>
  <sheetFormatPr defaultColWidth="12.625" defaultRowHeight="21.75" customHeight="1"/>
  <cols>
    <col min="1" max="2" width="12.625" style="2146"/>
    <col min="3" max="4" width="12.625" style="2146" customWidth="1"/>
    <col min="5" max="9" width="12.625" style="2146"/>
    <col min="10" max="11" width="12.625" style="1985" customWidth="1"/>
    <col min="12" max="12" width="12.625" style="1985"/>
    <col min="13" max="13" width="14.125" style="1985" customWidth="1"/>
    <col min="14" max="26" width="12.625" style="1985"/>
    <col min="27" max="35" width="12.625" style="2141"/>
    <col min="36" max="16384" width="12.625" style="2146"/>
  </cols>
  <sheetData>
    <row r="1" customHeight="1" spans="1:9">
      <c r="A1" s="2147" t="s">
        <v>1093</v>
      </c>
      <c r="B1" s="2148"/>
      <c r="C1" s="2149" t="s">
        <v>461</v>
      </c>
      <c r="D1" s="2148"/>
      <c r="E1" s="2148"/>
      <c r="F1" s="2150" t="s">
        <v>1094</v>
      </c>
      <c r="G1" s="2151"/>
      <c r="H1" s="2152" t="str">
        <f>IF(G1="现房","——","估价对象范围")</f>
        <v>估价对象范围</v>
      </c>
      <c r="I1" s="2312"/>
    </row>
    <row r="2" customHeight="1" spans="1:9">
      <c r="A2" s="2153" t="str">
        <f>项目基本情况!S2</f>
        <v>北京市房地产</v>
      </c>
      <c r="B2" s="2154"/>
      <c r="C2" s="2154"/>
      <c r="D2" s="2154"/>
      <c r="E2" s="2154"/>
      <c r="F2" s="2154"/>
      <c r="G2" s="2154"/>
      <c r="H2" s="2154"/>
      <c r="I2" s="2313"/>
    </row>
    <row r="3" ht="13.5" spans="1:9">
      <c r="A3" s="2155" t="s">
        <v>1095</v>
      </c>
      <c r="B3" s="1617"/>
      <c r="C3" s="1617"/>
      <c r="D3" s="1617"/>
      <c r="E3" s="1617"/>
      <c r="F3" s="1617"/>
      <c r="G3" s="1617"/>
      <c r="H3" s="1617"/>
      <c r="I3" s="1617"/>
    </row>
    <row r="4" ht="14.25" spans="1:12">
      <c r="A4" s="2156" t="s">
        <v>1096</v>
      </c>
      <c r="B4" s="2157" t="s">
        <v>1097</v>
      </c>
      <c r="C4" s="2158" t="s">
        <v>317</v>
      </c>
      <c r="D4" s="2158" t="s">
        <v>311</v>
      </c>
      <c r="E4" s="2159" t="s">
        <v>1098</v>
      </c>
      <c r="F4" s="2160"/>
      <c r="G4" s="2160"/>
      <c r="H4" s="2160"/>
      <c r="I4" s="2314"/>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1" t="s">
        <v>1099</v>
      </c>
      <c r="B5" s="1027">
        <v>25</v>
      </c>
      <c r="C5" s="2162">
        <v>22</v>
      </c>
      <c r="D5" s="2163">
        <v>16</v>
      </c>
      <c r="E5" s="1605" t="s">
        <v>1100</v>
      </c>
      <c r="F5" s="2164"/>
      <c r="G5" s="2164"/>
      <c r="H5" s="2164"/>
      <c r="I5" s="1936"/>
    </row>
    <row r="6" ht="13.5" spans="1:9">
      <c r="A6" s="2161"/>
      <c r="B6" s="1027"/>
      <c r="C6" s="2165"/>
      <c r="D6" s="2163"/>
      <c r="E6" s="1605" t="s">
        <v>1101</v>
      </c>
      <c r="F6" s="2164"/>
      <c r="G6" s="2164"/>
      <c r="H6" s="2164"/>
      <c r="I6" s="1936"/>
    </row>
    <row r="7" ht="13.5" spans="1:9">
      <c r="A7" s="2161"/>
      <c r="B7" s="1027"/>
      <c r="C7" s="2166"/>
      <c r="D7" s="2163"/>
      <c r="E7" s="1605" t="s">
        <v>1102</v>
      </c>
      <c r="F7" s="2164"/>
      <c r="G7" s="2164"/>
      <c r="H7" s="2164"/>
      <c r="I7" s="1936"/>
    </row>
    <row r="8" ht="13.5" spans="1:9">
      <c r="A8" s="2161" t="s">
        <v>1103</v>
      </c>
      <c r="B8" s="1027">
        <v>15</v>
      </c>
      <c r="C8" s="2162">
        <v>13</v>
      </c>
      <c r="D8" s="2163">
        <v>8</v>
      </c>
      <c r="E8" s="1605" t="s">
        <v>1104</v>
      </c>
      <c r="F8" s="2164"/>
      <c r="G8" s="2164"/>
      <c r="H8" s="2164"/>
      <c r="I8" s="1936"/>
    </row>
    <row r="9" ht="13.5" spans="1:9">
      <c r="A9" s="2161"/>
      <c r="B9" s="1027"/>
      <c r="C9" s="2166"/>
      <c r="D9" s="2163"/>
      <c r="E9" s="1605" t="s">
        <v>1105</v>
      </c>
      <c r="F9" s="2164"/>
      <c r="G9" s="2164"/>
      <c r="H9" s="2164"/>
      <c r="I9" s="1936"/>
    </row>
    <row r="10" ht="13.5" spans="1:9">
      <c r="A10" s="2161" t="s">
        <v>1106</v>
      </c>
      <c r="B10" s="1027">
        <v>15</v>
      </c>
      <c r="C10" s="2162">
        <v>12</v>
      </c>
      <c r="D10" s="2163">
        <v>9</v>
      </c>
      <c r="E10" s="1605" t="s">
        <v>1107</v>
      </c>
      <c r="F10" s="2164"/>
      <c r="G10" s="2164"/>
      <c r="H10" s="2164"/>
      <c r="I10" s="1936"/>
    </row>
    <row r="11" ht="13.5" spans="1:9">
      <c r="A11" s="2161"/>
      <c r="B11" s="1027"/>
      <c r="C11" s="2166"/>
      <c r="D11" s="2163"/>
      <c r="E11" s="1605" t="s">
        <v>1108</v>
      </c>
      <c r="F11" s="2164"/>
      <c r="G11" s="2164"/>
      <c r="H11" s="2164"/>
      <c r="I11" s="1936"/>
    </row>
    <row r="12" ht="13.5" spans="1:9">
      <c r="A12" s="2161" t="s">
        <v>1109</v>
      </c>
      <c r="B12" s="1027">
        <v>15</v>
      </c>
      <c r="C12" s="2162">
        <v>13</v>
      </c>
      <c r="D12" s="2163">
        <v>7</v>
      </c>
      <c r="E12" s="1605" t="s">
        <v>1110</v>
      </c>
      <c r="F12" s="2164"/>
      <c r="G12" s="2164"/>
      <c r="H12" s="2164"/>
      <c r="I12" s="1936"/>
    </row>
    <row r="13" ht="13.5" spans="1:9">
      <c r="A13" s="2161"/>
      <c r="B13" s="1027"/>
      <c r="C13" s="2166"/>
      <c r="D13" s="2163"/>
      <c r="E13" s="1605" t="s">
        <v>1111</v>
      </c>
      <c r="F13" s="2164"/>
      <c r="G13" s="2164"/>
      <c r="H13" s="2164"/>
      <c r="I13" s="1936"/>
    </row>
    <row r="14" ht="13.5" spans="1:9">
      <c r="A14" s="2161" t="s">
        <v>1112</v>
      </c>
      <c r="B14" s="1027">
        <v>30</v>
      </c>
      <c r="C14" s="2162">
        <v>20</v>
      </c>
      <c r="D14" s="2163">
        <v>14</v>
      </c>
      <c r="E14" s="1605" t="s">
        <v>1113</v>
      </c>
      <c r="F14" s="2164"/>
      <c r="G14" s="2164"/>
      <c r="H14" s="2164"/>
      <c r="I14" s="1936"/>
    </row>
    <row r="15" ht="13.5" spans="1:9">
      <c r="A15" s="2161"/>
      <c r="B15" s="1027"/>
      <c r="C15" s="2165"/>
      <c r="D15" s="2163"/>
      <c r="E15" s="1605" t="s">
        <v>1114</v>
      </c>
      <c r="F15" s="2164"/>
      <c r="G15" s="2164"/>
      <c r="H15" s="2164"/>
      <c r="I15" s="1936"/>
    </row>
    <row r="16" ht="13.5" spans="1:9">
      <c r="A16" s="2161"/>
      <c r="B16" s="1027"/>
      <c r="C16" s="2166"/>
      <c r="D16" s="2163"/>
      <c r="E16" s="1605" t="s">
        <v>1115</v>
      </c>
      <c r="F16" s="2164"/>
      <c r="G16" s="2164"/>
      <c r="H16" s="2164"/>
      <c r="I16" s="1936"/>
    </row>
    <row r="17" ht="14.25" spans="1:13">
      <c r="A17" s="2167" t="s">
        <v>1116</v>
      </c>
      <c r="B17" s="2168"/>
      <c r="C17" s="2169">
        <f>SUM(C5:C16)</f>
        <v>80</v>
      </c>
      <c r="D17" s="2169">
        <f>SUM(D5:D16)</f>
        <v>54</v>
      </c>
      <c r="E17" s="2027"/>
      <c r="F17" s="2027"/>
      <c r="G17" s="2027"/>
      <c r="H17" s="2027"/>
      <c r="I17" s="2027"/>
      <c r="K17" s="1561"/>
      <c r="L17" s="1561" t="s">
        <v>1117</v>
      </c>
      <c r="M17" s="1561" t="s">
        <v>1118</v>
      </c>
    </row>
    <row r="18" ht="31.9" customHeight="1" spans="1:13">
      <c r="A18" s="2170" t="s">
        <v>1119</v>
      </c>
      <c r="B18" s="2171"/>
      <c r="C18" s="2172">
        <f>ROUND(C17/SUM(C17:D17),2)</f>
        <v>0.6</v>
      </c>
      <c r="D18" s="2172">
        <f>1-C18</f>
        <v>0.4</v>
      </c>
      <c r="E18" s="2173" t="s">
        <v>1120</v>
      </c>
      <c r="F18" s="2174"/>
      <c r="G18" s="2174"/>
      <c r="H18" s="2174"/>
      <c r="I18" s="2174"/>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5" t="s">
        <v>1121</v>
      </c>
      <c r="B19" s="2176" t="s">
        <v>1122</v>
      </c>
      <c r="C19" s="2177">
        <f ca="1">SUMIF(INDIRECT("'"&amp;C4&amp;"'"&amp;"!A:A"),结果表—商业!B19,INDIRECT("'"&amp;C4&amp;"'"&amp;"!B:B"))</f>
        <v>19615</v>
      </c>
      <c r="D19" s="1184">
        <f ca="1">SUMIF(INDIRECT("'"&amp;D4&amp;"'"&amp;"!A:A"),结果表—商业!B19,INDIRECT("'"&amp;D4&amp;"'"&amp;"!B:B"))</f>
        <v>11707</v>
      </c>
      <c r="E19" s="2175" t="s">
        <v>1123</v>
      </c>
      <c r="F19" s="2176" t="s">
        <v>1122</v>
      </c>
      <c r="G19" s="2178">
        <f ca="1">ROUND(C19*$C$18+D19*$D$18,0)</f>
        <v>16452</v>
      </c>
      <c r="H19" s="2179" t="s">
        <v>1124</v>
      </c>
      <c r="I19" s="2027"/>
      <c r="K19" s="1561" t="s">
        <v>372</v>
      </c>
      <c r="L19" s="1561">
        <f>IF(C1="",'数据-汇总表'!D3,SUMIF(项目类型,C1,'数据-汇总表'!D17:D26)+SUMIF(项目类型,C1,'数据-汇总表'!H17:H27))</f>
        <v>429.4</v>
      </c>
      <c r="M19" s="1561">
        <f>IF(C1="",'数据-汇总表'!D3,SUMIF(项目类型,C1,'数据-汇总表'!D17:D26))</f>
        <v>429.4</v>
      </c>
    </row>
    <row r="20" ht="15" spans="1:9">
      <c r="A20" s="2180"/>
      <c r="B20" s="2181" t="s">
        <v>1125</v>
      </c>
      <c r="C20" s="1442">
        <f ca="1">SUMIF(INDIRECT("'"&amp;C4&amp;"'"&amp;"!A:A"),结果表—商业!B20,INDIRECT("'"&amp;C4&amp;"'"&amp;"!B:B"))</f>
        <v>62437</v>
      </c>
      <c r="D20" s="1445">
        <f ca="1">SUMIF(INDIRECT("'"&amp;D4&amp;"'"&amp;"!A:A"),结果表—商业!B20,INDIRECT("'"&amp;D4&amp;"'"&amp;"!B:B"))</f>
        <v>37265</v>
      </c>
      <c r="E20" s="2180"/>
      <c r="F20" s="2181" t="s">
        <v>1125</v>
      </c>
      <c r="G20" s="2182">
        <f ca="1">ROUND(C20*$C$18+D20*$D$18,0)</f>
        <v>52368</v>
      </c>
      <c r="H20" s="1723" t="s">
        <v>1126</v>
      </c>
      <c r="I20" s="2027"/>
    </row>
    <row r="21" ht="15" customHeight="1" spans="1:9">
      <c r="A21" s="1898"/>
      <c r="B21" s="2183" t="s">
        <v>1127</v>
      </c>
      <c r="C21" s="2184">
        <f ca="1">ROUND(C19*10000/L19,0)</f>
        <v>456800</v>
      </c>
      <c r="D21" s="2185">
        <f ca="1">ROUND(D19*10000/L19,0)</f>
        <v>272636</v>
      </c>
      <c r="E21" s="1898"/>
      <c r="F21" s="2183" t="s">
        <v>1127</v>
      </c>
      <c r="G21" s="2186">
        <f ca="1">ROUND(G19*10000/L19,0)</f>
        <v>383139</v>
      </c>
      <c r="H21" s="2187" t="s">
        <v>1126</v>
      </c>
      <c r="I21" s="2027"/>
    </row>
    <row r="22" ht="15" spans="1:9">
      <c r="A22" s="2188" t="s">
        <v>1128</v>
      </c>
      <c r="B22" s="2189"/>
      <c r="C22" s="2190"/>
      <c r="D22" s="2191">
        <f ca="1">IF(C19&lt;D19,D19/C19-1,C19/D19-1)</f>
        <v>0.675493294610062</v>
      </c>
      <c r="E22" s="2027"/>
      <c r="F22" s="2027"/>
      <c r="G22" s="2027"/>
      <c r="H22" s="2027"/>
      <c r="I22" s="2027"/>
    </row>
    <row r="23" ht="14.25" spans="1:9">
      <c r="A23" s="2148"/>
      <c r="B23" s="2148"/>
      <c r="C23" s="2148"/>
      <c r="D23" s="2148"/>
      <c r="E23" s="2027"/>
      <c r="F23" s="2027"/>
      <c r="G23" s="2027"/>
      <c r="H23" s="2027"/>
      <c r="I23" s="2027"/>
    </row>
    <row r="24" ht="14.25" spans="1:9">
      <c r="A24" s="2192" t="s">
        <v>1129</v>
      </c>
      <c r="B24" s="2176" t="s">
        <v>1122</v>
      </c>
      <c r="C24" s="2178">
        <f>IF(B30=0,0,D30)</f>
        <v>0</v>
      </c>
      <c r="D24" s="2193"/>
      <c r="E24" s="2027"/>
      <c r="F24" s="2027"/>
      <c r="G24" s="2027"/>
      <c r="H24" s="2027"/>
      <c r="I24" s="2027"/>
    </row>
    <row r="25" ht="14.25" spans="1:9">
      <c r="A25" s="2194"/>
      <c r="B25" s="2181" t="s">
        <v>1125</v>
      </c>
      <c r="C25" s="2195">
        <f>IF(B30=0,0,C30)</f>
        <v>0</v>
      </c>
      <c r="D25" s="2196"/>
      <c r="E25" s="2027"/>
      <c r="F25" s="2027"/>
      <c r="G25" s="2027"/>
      <c r="H25" s="2027"/>
      <c r="I25" s="2027"/>
    </row>
    <row r="26" ht="13.5" customHeight="1" spans="1:9">
      <c r="A26" s="2197" t="s">
        <v>1130</v>
      </c>
      <c r="B26" s="2198" t="s">
        <v>1131</v>
      </c>
      <c r="C26" s="2198" t="s">
        <v>1132</v>
      </c>
      <c r="D26" s="2199" t="s">
        <v>1133</v>
      </c>
      <c r="E26" s="2027"/>
      <c r="F26" s="2027"/>
      <c r="G26" s="2027"/>
      <c r="H26" s="2027"/>
      <c r="I26" s="2027"/>
    </row>
    <row r="27" ht="14.25" spans="1:9">
      <c r="A27" s="2197"/>
      <c r="B27" s="2198">
        <v>0</v>
      </c>
      <c r="C27" s="2198">
        <v>0</v>
      </c>
      <c r="D27" s="2199">
        <f>ROUND(C27*B27/10000,0)</f>
        <v>0</v>
      </c>
      <c r="E27" s="2027"/>
      <c r="F27" s="2027"/>
      <c r="G27" s="2027"/>
      <c r="H27" s="2027"/>
      <c r="I27" s="2027"/>
    </row>
    <row r="28" ht="14.25" spans="1:9">
      <c r="A28" s="2197"/>
      <c r="B28" s="2198"/>
      <c r="C28" s="2198"/>
      <c r="D28" s="2199"/>
      <c r="E28" s="2027"/>
      <c r="F28" s="2027"/>
      <c r="G28" s="2027"/>
      <c r="H28" s="2027"/>
      <c r="I28" s="2027"/>
    </row>
    <row r="29" ht="14.25" spans="1:9">
      <c r="A29" s="2197"/>
      <c r="B29" s="2198"/>
      <c r="C29" s="2198"/>
      <c r="D29" s="2199"/>
      <c r="E29" s="2027"/>
      <c r="F29" s="2027"/>
      <c r="G29" s="2027"/>
      <c r="H29" s="2027"/>
      <c r="I29" s="2027"/>
    </row>
    <row r="30" ht="15" spans="1:9">
      <c r="A30" s="2198" t="s">
        <v>1134</v>
      </c>
      <c r="B30" s="2198"/>
      <c r="C30" s="2198"/>
      <c r="D30" s="2198"/>
      <c r="E30" s="2200" t="s">
        <v>1135</v>
      </c>
      <c r="F30" s="2027"/>
      <c r="G30" s="2027"/>
      <c r="H30" s="2027"/>
      <c r="I30" s="2027"/>
    </row>
    <row r="31" s="2143" customFormat="1" ht="26.45" customHeight="1" spans="1:36">
      <c r="A31" s="2201"/>
      <c r="B31" s="2202"/>
      <c r="C31" s="2202"/>
      <c r="D31" s="2202"/>
      <c r="E31" s="2202"/>
      <c r="F31" s="2202"/>
      <c r="G31" s="2202"/>
      <c r="H31" s="2202"/>
      <c r="I31" s="2315" t="s">
        <v>1136</v>
      </c>
      <c r="J31" s="2316"/>
      <c r="K31" s="2317"/>
      <c r="L31" s="2317"/>
      <c r="M31" s="2317"/>
      <c r="N31" s="2317"/>
      <c r="O31" s="2317"/>
      <c r="P31" s="2317"/>
      <c r="Q31" s="2317"/>
      <c r="R31" s="2317"/>
      <c r="S31" s="2317"/>
      <c r="T31" s="2317"/>
      <c r="U31" s="2317"/>
      <c r="V31" s="2317"/>
      <c r="W31" s="2317"/>
      <c r="X31" s="2317"/>
      <c r="Y31" s="2317"/>
      <c r="Z31" s="2317"/>
      <c r="AA31" s="2317"/>
      <c r="AB31" s="2352"/>
      <c r="AC31" s="2352"/>
      <c r="AD31" s="2352"/>
      <c r="AE31" s="2352"/>
      <c r="AF31" s="2352"/>
      <c r="AG31" s="2352"/>
      <c r="AH31" s="2352"/>
      <c r="AI31" s="2352"/>
      <c r="AJ31" s="2352"/>
    </row>
    <row r="32" ht="16.5" spans="1:9">
      <c r="A32" s="2203" t="s">
        <v>1137</v>
      </c>
      <c r="B32" s="2204"/>
      <c r="C32" s="2205">
        <f ca="1">IF(D32="总价",G19-C24,G20-C25)</f>
        <v>16452</v>
      </c>
      <c r="D32" s="2206" t="s">
        <v>1138</v>
      </c>
      <c r="E32" s="2027"/>
      <c r="F32" s="2027"/>
      <c r="G32" s="2027"/>
      <c r="H32" s="2027"/>
      <c r="I32" s="2027"/>
    </row>
    <row r="33" ht="15" spans="1:9">
      <c r="A33" s="1838" t="s">
        <v>1139</v>
      </c>
      <c r="B33" s="2207"/>
      <c r="C33" s="2208" t="s">
        <v>1140</v>
      </c>
      <c r="D33" s="2209" t="s">
        <v>311</v>
      </c>
      <c r="E33" s="2210" t="s">
        <v>1141</v>
      </c>
      <c r="F33" s="2211" t="str">
        <f>IF(D32="楼面单价","取值（单价）","取值（总价）")</f>
        <v>取值（总价）</v>
      </c>
      <c r="G33" s="2027"/>
      <c r="H33" s="2027"/>
      <c r="I33" s="2027"/>
    </row>
    <row r="34" ht="15" spans="1:9">
      <c r="A34" s="2212"/>
      <c r="B34" s="2213" t="s">
        <v>1142</v>
      </c>
      <c r="C34" s="2214">
        <f ca="1">IF(C33="自定义",F34,C32-C35)</f>
        <v>13688</v>
      </c>
      <c r="D34" s="2215">
        <f ca="1">IF(C33="自定义",ROUND(C34/C32,3),IF(C33="收益比率",SUMIF(INDIRECT("'"&amp;D33&amp;"'"&amp;"!b:b"),"土地收益比率",INDIRECT("'"&amp;D33&amp;"'"&amp;"!c:c")),SUMIF(INDIRECT("'"&amp;D33&amp;"'"&amp;"!b:b"),"土地成本比率",INDIRECT("'"&amp;D33&amp;"'"&amp;"!c:c"))))</f>
        <v>0.832</v>
      </c>
      <c r="E34" s="2216" t="s">
        <v>1143</v>
      </c>
      <c r="F34" s="2217"/>
      <c r="G34" s="2027"/>
      <c r="H34" s="2027"/>
      <c r="I34" s="2027"/>
    </row>
    <row r="35" ht="15.75" spans="1:9">
      <c r="A35" s="2218"/>
      <c r="B35" s="2219" t="s">
        <v>1144</v>
      </c>
      <c r="C35" s="2220">
        <f ca="1">IF(C33="自定义",F35,ROUND(C32*D35,0))</f>
        <v>2764</v>
      </c>
      <c r="D35" s="2221">
        <f ca="1">IF(C33="自定义",ROUND(C35/C32,3),IF(C33="收益比率",SUMIF(INDIRECT("'"&amp;D33&amp;"'"&amp;"!b:b"),"建筑物收益比率",INDIRECT("'"&amp;D33&amp;"'"&amp;"!c:c")),SUMIF(INDIRECT("'"&amp;D33&amp;"'"&amp;"!b:b"),"建筑物成本比率",INDIRECT("'"&amp;D33&amp;"'"&amp;"!c:c"))))</f>
        <v>0.168</v>
      </c>
      <c r="E35" s="2222" t="s">
        <v>1145</v>
      </c>
      <c r="F35" s="2223"/>
      <c r="G35" s="2027"/>
      <c r="H35" s="2027"/>
      <c r="I35" s="2027"/>
    </row>
    <row r="36" ht="15.75" spans="1:9">
      <c r="A36" s="2224" t="s">
        <v>1146</v>
      </c>
      <c r="B36" s="2225" t="s">
        <v>1147</v>
      </c>
      <c r="C36" s="2226"/>
      <c r="D36" s="2227"/>
      <c r="E36" s="2228"/>
      <c r="F36" s="2229"/>
      <c r="G36" s="2027"/>
      <c r="H36" s="2027"/>
      <c r="I36" s="2027"/>
    </row>
    <row r="37" ht="15.75" spans="1:9">
      <c r="A37" s="2230"/>
      <c r="B37" s="2231" t="s">
        <v>1148</v>
      </c>
      <c r="C37" s="2232"/>
      <c r="D37" s="2233"/>
      <c r="E37" s="2233"/>
      <c r="F37" s="2229"/>
      <c r="G37" s="2027"/>
      <c r="H37" s="2027"/>
      <c r="I37" s="2027"/>
    </row>
    <row r="38" ht="15.75" spans="1:9">
      <c r="A38" s="2234"/>
      <c r="B38" s="2235" t="s">
        <v>1149</v>
      </c>
      <c r="C38" s="2236"/>
      <c r="D38" s="2237" t="s">
        <v>1150</v>
      </c>
      <c r="E38" s="2233"/>
      <c r="F38" s="2229"/>
      <c r="G38" s="2027"/>
      <c r="H38" s="2027"/>
      <c r="I38" s="2027"/>
    </row>
    <row r="39" ht="14.25" spans="1:9">
      <c r="A39" s="2180" t="s">
        <v>1151</v>
      </c>
      <c r="B39" s="2238" t="s">
        <v>1131</v>
      </c>
      <c r="C39" s="2239" t="s">
        <v>1132</v>
      </c>
      <c r="D39" s="2239" t="s">
        <v>1152</v>
      </c>
      <c r="E39" s="2240" t="s">
        <v>1133</v>
      </c>
      <c r="F39" s="2229"/>
      <c r="G39" s="2027"/>
      <c r="H39" s="2027"/>
      <c r="I39" s="2027"/>
    </row>
    <row r="40" ht="14.25" spans="1:9">
      <c r="A40" s="2241" t="s">
        <v>1153</v>
      </c>
      <c r="B40" s="2242"/>
      <c r="C40" s="2044"/>
      <c r="D40" s="2044"/>
      <c r="E40" s="2243"/>
      <c r="F40" s="2229"/>
      <c r="G40" s="2027"/>
      <c r="H40" s="2027"/>
      <c r="I40" s="2027"/>
    </row>
    <row r="41" ht="14.25" spans="1:9">
      <c r="A41" s="2241" t="s">
        <v>1154</v>
      </c>
      <c r="B41" s="2242"/>
      <c r="C41" s="2044"/>
      <c r="D41" s="2044"/>
      <c r="E41" s="2243"/>
      <c r="F41" s="2229"/>
      <c r="G41" s="2027"/>
      <c r="H41" s="2027"/>
      <c r="I41" s="2027"/>
    </row>
    <row r="42" ht="15" spans="1:9">
      <c r="A42" s="2244"/>
      <c r="B42" s="2245"/>
      <c r="C42" s="2246"/>
      <c r="D42" s="2246"/>
      <c r="E42" s="2223"/>
      <c r="F42" s="2229"/>
      <c r="G42" s="2027"/>
      <c r="H42" s="2027"/>
      <c r="I42" s="2027"/>
    </row>
    <row r="43" ht="13.5" spans="1:9">
      <c r="A43" s="2247"/>
      <c r="B43" s="2247"/>
      <c r="C43" s="2247"/>
      <c r="D43" s="2247"/>
      <c r="E43" s="2247"/>
      <c r="F43" s="2248"/>
      <c r="G43" s="2248"/>
      <c r="H43" s="2248"/>
      <c r="I43" s="2318"/>
    </row>
    <row r="44" ht="18.75" spans="1:15">
      <c r="A44" s="2249" t="s">
        <v>1155</v>
      </c>
      <c r="B44" s="2250"/>
      <c r="C44" s="2250"/>
      <c r="D44" s="2251"/>
      <c r="E44" s="2251"/>
      <c r="F44" s="2252"/>
      <c r="G44" s="2252"/>
      <c r="H44" s="2252"/>
      <c r="I44" s="2252"/>
      <c r="J44" s="2319" t="s">
        <v>1156</v>
      </c>
      <c r="K44" s="2320"/>
      <c r="L44" s="2320"/>
      <c r="M44" s="2320"/>
      <c r="N44" s="2320"/>
      <c r="O44" s="2320"/>
    </row>
    <row r="45" ht="14.25" customHeight="1" spans="1:15">
      <c r="A45" s="2253" t="s">
        <v>1157</v>
      </c>
      <c r="B45" s="2254"/>
      <c r="C45" s="2255"/>
      <c r="D45" s="1560">
        <f ca="1">ROUND(H101*F45,0)</f>
        <v>16452</v>
      </c>
      <c r="E45" s="2256" t="s">
        <v>1158</v>
      </c>
      <c r="F45" s="2257">
        <v>1</v>
      </c>
      <c r="G45" s="2258" t="s">
        <v>1159</v>
      </c>
      <c r="H45" s="2027"/>
      <c r="I45" s="2027"/>
      <c r="J45" s="2321" t="s">
        <v>1160</v>
      </c>
      <c r="K45" s="2321"/>
      <c r="L45" s="2321"/>
      <c r="M45" s="2321"/>
      <c r="N45" s="2321"/>
      <c r="O45" s="2321"/>
    </row>
    <row r="46" ht="14.25" customHeight="1" spans="1:15">
      <c r="A46" s="2259" t="s">
        <v>1161</v>
      </c>
      <c r="B46" s="2260"/>
      <c r="C46" s="2260"/>
      <c r="D46" s="2260"/>
      <c r="E46" s="2260"/>
      <c r="F46" s="2260"/>
      <c r="G46" s="2261"/>
      <c r="H46" s="2262"/>
      <c r="I46" s="2028"/>
      <c r="J46" s="2322">
        <v>1</v>
      </c>
      <c r="K46" s="2323" t="s">
        <v>1162</v>
      </c>
      <c r="L46" s="2323"/>
      <c r="M46" s="2324"/>
      <c r="N46" s="2324"/>
      <c r="O46" s="2324"/>
    </row>
    <row r="47" ht="12" customHeight="1" spans="1:15">
      <c r="A47" s="2263" t="s">
        <v>1163</v>
      </c>
      <c r="B47" s="2264"/>
      <c r="C47" s="2265"/>
      <c r="D47" s="1616" t="s">
        <v>1164</v>
      </c>
      <c r="E47" s="1561" t="s">
        <v>1165</v>
      </c>
      <c r="F47" s="2266" t="s">
        <v>1166</v>
      </c>
      <c r="G47" s="2267" t="s">
        <v>1167</v>
      </c>
      <c r="H47" s="2268"/>
      <c r="I47" s="2028"/>
      <c r="J47" s="2322">
        <v>2</v>
      </c>
      <c r="K47" s="2323" t="s">
        <v>1168</v>
      </c>
      <c r="L47" s="2323"/>
      <c r="M47" s="2325">
        <f>'数据-取费表'!B2</f>
        <v>44175</v>
      </c>
      <c r="N47" s="2325"/>
      <c r="O47" s="2325"/>
    </row>
    <row r="48" ht="24.75" spans="1:15">
      <c r="A48" s="2269" t="s">
        <v>1169</v>
      </c>
      <c r="B48" s="1620"/>
      <c r="C48" s="1620"/>
      <c r="D48" s="1721" t="b">
        <f ca="1">IF(H48="情况1",0,IF(H48="情况2",D52,IF(H48="情况3",D53,IF(H48="情况4",D54))))</f>
        <v>0</v>
      </c>
      <c r="E48" s="1620" t="str">
        <f>IF(H48="情况4","(销售额-原购置价)×税（费）率","销售额×税（费）率")</f>
        <v>销售额×税（费）率</v>
      </c>
      <c r="F48" s="2270">
        <f>IF(H48="情况1","免征",'数据-取费表'!B41)</f>
        <v>0.056</v>
      </c>
      <c r="G48" s="2271" t="s">
        <v>1170</v>
      </c>
      <c r="H48" s="2272"/>
      <c r="I48" s="2262"/>
      <c r="J48" s="2322">
        <v>3</v>
      </c>
      <c r="K48" s="2323" t="s">
        <v>1171</v>
      </c>
      <c r="L48" s="2323"/>
      <c r="M48" s="2326">
        <f ca="1">H101</f>
        <v>16452</v>
      </c>
      <c r="N48" s="2326"/>
      <c r="O48" s="2326"/>
    </row>
    <row r="49" ht="25.5" customHeight="1" spans="1:15">
      <c r="A49" s="2269" t="s">
        <v>1172</v>
      </c>
      <c r="B49" s="1596" t="s">
        <v>1173</v>
      </c>
      <c r="C49" s="1596"/>
      <c r="D49" s="2273">
        <v>0</v>
      </c>
      <c r="E49" s="1626" t="s">
        <v>1174</v>
      </c>
      <c r="F49" s="2274" t="s">
        <v>124</v>
      </c>
      <c r="G49" s="2275"/>
      <c r="H49" s="2276" t="s">
        <v>1175</v>
      </c>
      <c r="I49" s="2327"/>
      <c r="J49" s="2322">
        <v>4</v>
      </c>
      <c r="K49" s="2323" t="str">
        <f>IF(项目基本情况!E8="房地产抵押价值","房地产抵押价值","抵押担保权已注销时的房地产抵押价值")</f>
        <v>抵押担保权已注销时的房地产抵押价值</v>
      </c>
      <c r="L49" s="2323"/>
      <c r="M49" s="2326" t="str">
        <f ca="1">IF(项目基本情况!E8="房地产抵押价值",H107,H109)</f>
        <v>——</v>
      </c>
      <c r="N49" s="2326"/>
      <c r="O49" s="2326"/>
    </row>
    <row r="50" ht="25.5" customHeight="1" spans="1:15">
      <c r="A50" s="2277"/>
      <c r="B50" s="1596" t="s">
        <v>1176</v>
      </c>
      <c r="C50" s="1596"/>
      <c r="D50" s="2278"/>
      <c r="E50" s="1641"/>
      <c r="F50" s="2274"/>
      <c r="G50" s="2279"/>
      <c r="H50" s="2280" t="s">
        <v>1177</v>
      </c>
      <c r="I50" s="2327"/>
      <c r="J50" s="2321" t="s">
        <v>1178</v>
      </c>
      <c r="K50" s="2321"/>
      <c r="L50" s="2321"/>
      <c r="M50" s="2321"/>
      <c r="N50" s="2321"/>
      <c r="O50" s="2321"/>
    </row>
    <row r="51" ht="20.45" customHeight="1" spans="1:15">
      <c r="A51" s="2281"/>
      <c r="B51" s="1596" t="s">
        <v>1179</v>
      </c>
      <c r="C51" s="1596"/>
      <c r="D51" s="1616"/>
      <c r="E51" s="1630"/>
      <c r="F51" s="2274"/>
      <c r="G51" s="2282"/>
      <c r="H51" s="2280" t="s">
        <v>1180</v>
      </c>
      <c r="I51" s="2327"/>
      <c r="J51" s="2323" t="s">
        <v>1181</v>
      </c>
      <c r="K51" s="2323" t="s">
        <v>1182</v>
      </c>
      <c r="L51" s="2323"/>
      <c r="M51" s="2323" t="s">
        <v>1183</v>
      </c>
      <c r="N51" s="2323" t="s">
        <v>1184</v>
      </c>
      <c r="O51" s="2323" t="s">
        <v>1185</v>
      </c>
    </row>
    <row r="52" ht="24" customHeight="1" spans="1:15">
      <c r="A52" s="2283" t="s">
        <v>1186</v>
      </c>
      <c r="B52" s="1596" t="s">
        <v>1187</v>
      </c>
      <c r="C52" s="1596"/>
      <c r="D52" s="1616">
        <f ca="1">ROUND(D45*'数据-取费表'!B41/(1+'数据-取费表'!C42),0)</f>
        <v>877</v>
      </c>
      <c r="E52" s="1620" t="s">
        <v>1188</v>
      </c>
      <c r="F52" s="2284">
        <f>'数据-取费表'!B41</f>
        <v>0.056</v>
      </c>
      <c r="G52" s="2285"/>
      <c r="H52" s="1736"/>
      <c r="I52" s="2328"/>
      <c r="J52" s="2322">
        <v>1</v>
      </c>
      <c r="K52" s="2322" t="s">
        <v>1189</v>
      </c>
      <c r="L52" s="2322"/>
      <c r="M52" s="2329" t="b">
        <f ca="1" t="shared" ref="M52:O52" si="0">D48</f>
        <v>0</v>
      </c>
      <c r="N52" s="2322" t="str">
        <f ca="1" t="shared" si="0"/>
        <v>销售额×税（费）率</v>
      </c>
      <c r="O52" s="2330">
        <f ca="1" t="shared" si="0"/>
        <v>0.056</v>
      </c>
    </row>
    <row r="53" ht="12" customHeight="1" spans="1:15">
      <c r="A53" s="2283" t="s">
        <v>1190</v>
      </c>
      <c r="B53" s="1595" t="s">
        <v>1191</v>
      </c>
      <c r="C53" s="2286"/>
      <c r="D53" s="1616">
        <f ca="1">ROUND(D45*'数据-取费表'!B41/(1+'数据-取费表'!C42),0)</f>
        <v>877</v>
      </c>
      <c r="E53" s="1620" t="s">
        <v>1188</v>
      </c>
      <c r="F53" s="2284">
        <f>'数据-取费表'!B41</f>
        <v>0.056</v>
      </c>
      <c r="G53" s="2285"/>
      <c r="H53" s="1736"/>
      <c r="I53" s="2328"/>
      <c r="J53" s="2322">
        <v>2</v>
      </c>
      <c r="K53" s="2322" t="s">
        <v>1192</v>
      </c>
      <c r="L53" s="2322"/>
      <c r="M53" s="2329">
        <f ca="1" t="shared" ref="M53:O53" si="1">D55</f>
        <v>8</v>
      </c>
      <c r="N53" s="2322" t="str">
        <f ca="1" t="shared" si="1"/>
        <v>销售额×税（费）率</v>
      </c>
      <c r="O53" s="2330" t="str">
        <f ca="1" t="shared" si="1"/>
        <v>免征</v>
      </c>
    </row>
    <row r="54" ht="12" customHeight="1" spans="1:15">
      <c r="A54" s="2283" t="s">
        <v>1193</v>
      </c>
      <c r="B54" s="1595" t="s">
        <v>1194</v>
      </c>
      <c r="C54" s="2286"/>
      <c r="D54" s="1616">
        <f ca="1">C68</f>
        <v>877</v>
      </c>
      <c r="E54" s="1630" t="s">
        <v>1195</v>
      </c>
      <c r="F54" s="2284">
        <f>'数据-取费表'!B41</f>
        <v>0.056</v>
      </c>
      <c r="G54" s="2285"/>
      <c r="H54" s="2287"/>
      <c r="I54" s="2328"/>
      <c r="J54" s="2322">
        <v>3</v>
      </c>
      <c r="K54" s="2322" t="s">
        <v>1196</v>
      </c>
      <c r="L54" s="2322"/>
      <c r="M54" s="2329">
        <f ca="1" t="shared" ref="M54:O54" si="2">D56</f>
        <v>9312</v>
      </c>
      <c r="N54" s="2322" t="str">
        <f ca="1" t="shared" si="2"/>
        <v>增值额×税（费）率</v>
      </c>
      <c r="O54" s="2331" t="str">
        <f ca="1" t="shared" si="2"/>
        <v>免征</v>
      </c>
    </row>
    <row r="55" ht="24" customHeight="1" spans="1:15">
      <c r="A55" s="2283" t="s">
        <v>1197</v>
      </c>
      <c r="B55" s="1620"/>
      <c r="C55" s="1620"/>
      <c r="D55" s="1721">
        <f ca="1">IF(H55="个人住宅",0,ROUND(D45*I55,0))</f>
        <v>8</v>
      </c>
      <c r="E55" s="1620" t="s">
        <v>1198</v>
      </c>
      <c r="F55" s="2284" t="str">
        <f>IF(H55="正常",I55,"免征")</f>
        <v>免征</v>
      </c>
      <c r="G55" s="2285"/>
      <c r="H55" s="2272"/>
      <c r="I55" s="2332">
        <f>'数据-取费表'!B49</f>
        <v>0.0005</v>
      </c>
      <c r="J55" s="2322">
        <f>IF(H59="非个人房产","",4)</f>
        <v>4</v>
      </c>
      <c r="K55" s="2322" t="str">
        <f>IF(H59="非个人房产","——","个人所得税")</f>
        <v>个人所得税</v>
      </c>
      <c r="L55" s="2322"/>
      <c r="M55" s="2333">
        <f ca="1" t="shared" ref="M55:O55" si="3">D59</f>
        <v>157</v>
      </c>
      <c r="N55" s="499" t="str">
        <f ca="1" t="shared" si="3"/>
        <v>差额计税</v>
      </c>
      <c r="O55" s="2334">
        <f ca="1" t="shared" si="3"/>
        <v>0.01</v>
      </c>
    </row>
    <row r="56" ht="24.75" spans="1:15">
      <c r="A56" s="2283" t="s">
        <v>1199</v>
      </c>
      <c r="B56" s="1620"/>
      <c r="C56" s="1620"/>
      <c r="D56" s="1721">
        <f ca="1">IF(H56="个人住宅",D57,D58)</f>
        <v>9312</v>
      </c>
      <c r="E56" s="1620" t="s">
        <v>1200</v>
      </c>
      <c r="F56" s="2284" t="str">
        <f>IF(H56="正常",F58,"免征")</f>
        <v>免征</v>
      </c>
      <c r="G56" s="2288" t="s">
        <v>1201</v>
      </c>
      <c r="H56" s="2289"/>
      <c r="I56" s="2300"/>
      <c r="J56" s="2322" t="str">
        <f>IF(项目基本情况!K6="上海银行",IF(J55="",4,J55+1),"")</f>
        <v/>
      </c>
      <c r="K56" s="1721" t="str">
        <f>IF(项目基本情况!K6="上海银行","其他处置费用","")</f>
        <v/>
      </c>
      <c r="L56" s="1866"/>
      <c r="M56" s="2329" t="str">
        <f ca="1">IF(项目基本情况!K6="上海银行",M69,"")</f>
        <v/>
      </c>
      <c r="N56" s="1721" t="str">
        <f>IF(项目基本情况!K6="上海银行","包含处置中涉及的律师、诉讼、拍卖、评估等费用","")</f>
        <v/>
      </c>
      <c r="O56" s="1567"/>
    </row>
    <row r="57" ht="13.5" spans="1:16">
      <c r="A57" s="2283" t="s">
        <v>1172</v>
      </c>
      <c r="B57" s="1595" t="s">
        <v>1202</v>
      </c>
      <c r="C57" s="2286"/>
      <c r="D57" s="2273">
        <v>0</v>
      </c>
      <c r="E57" s="1626" t="s">
        <v>1174</v>
      </c>
      <c r="F57" s="1561"/>
      <c r="G57" s="2285"/>
      <c r="H57" s="2290"/>
      <c r="I57" s="2300"/>
      <c r="J57" s="2322">
        <f>IF(AND(J55="",J56=""),4,IF(项目基本情况!K6="上海银行",结果表—商业!J56+1,结果表—商业!J55+1))</f>
        <v>5</v>
      </c>
      <c r="K57" s="2322" t="s">
        <v>1203</v>
      </c>
      <c r="L57" s="2335" t="s">
        <v>1204</v>
      </c>
      <c r="M57" s="2336"/>
      <c r="N57" s="2337">
        <f ca="1">SUMIF(M52:M56,"&lt;9e307")</f>
        <v>9477</v>
      </c>
      <c r="O57" s="2338"/>
      <c r="P57" s="2339" t="e">
        <f ca="1">N57/M49</f>
        <v>#VALUE!</v>
      </c>
    </row>
    <row r="58" ht="24.75" spans="1:15">
      <c r="A58" s="2283" t="s">
        <v>1186</v>
      </c>
      <c r="B58" s="1595" t="s">
        <v>1205</v>
      </c>
      <c r="C58" s="1596"/>
      <c r="D58" s="1721">
        <f ca="1">IF(H58="转让取得",C81,C97)</f>
        <v>9312</v>
      </c>
      <c r="E58" s="1620" t="s">
        <v>1200</v>
      </c>
      <c r="F58" s="1561" t="s">
        <v>124</v>
      </c>
      <c r="G58" s="2285"/>
      <c r="H58" s="2289"/>
      <c r="I58" s="2300"/>
      <c r="J58" s="2322"/>
      <c r="K58" s="2322"/>
      <c r="L58" s="2335" t="s">
        <v>1206</v>
      </c>
      <c r="M58" s="2340"/>
      <c r="N58" s="2341" t="str">
        <f ca="1">NUMBERSTRING(INT(N57*10000),2)&amp;"元整"</f>
        <v>玖仟肆佰柒拾柒万元整</v>
      </c>
      <c r="O58" s="2342"/>
    </row>
    <row r="59" ht="24.75" spans="1:15">
      <c r="A59" s="2291" t="s">
        <v>1207</v>
      </c>
      <c r="B59" s="2292"/>
      <c r="C59" s="2292"/>
      <c r="D59" s="2293">
        <f ca="1">IF(H59="非个人房产","——",IF(H59="个人住宅（满五唯一有凭证）",0,IF(H59="个人其他（无凭证）",ROUND(D45*F59,0),ROUND(C67*F59,0))))</f>
        <v>157</v>
      </c>
      <c r="E59" s="2294" t="str">
        <f>IF(H59="非个人房产","——",IF(H59="个人其他（无凭证）","销售额×税（费）率",IF(H59="个人住宅（满五唯一有凭证）","免征","差额计税")))</f>
        <v>差额计税</v>
      </c>
      <c r="F59" s="2295">
        <f>IF(OR(H59="非个人房产",H59="个人住宅（满五唯一有凭证）"),"——",IF(H59="个人其他（有凭证）",20%,1%))</f>
        <v>0.01</v>
      </c>
      <c r="G59" s="2296" t="s">
        <v>1201</v>
      </c>
      <c r="H59" s="2297"/>
      <c r="I59" s="2343" t="s">
        <v>1208</v>
      </c>
      <c r="J59" s="499">
        <f>J57+1</f>
        <v>6</v>
      </c>
      <c r="K59" s="2322" t="s">
        <v>1209</v>
      </c>
      <c r="L59" s="2322" t="s">
        <v>1204</v>
      </c>
      <c r="M59" s="2344"/>
      <c r="N59" s="2345" t="e">
        <f ca="1">M49-N57</f>
        <v>#VALUE!</v>
      </c>
      <c r="O59" s="2346"/>
    </row>
    <row r="60" ht="12" customHeight="1" spans="1:15">
      <c r="A60" s="2298"/>
      <c r="B60" s="2148"/>
      <c r="C60" s="2148"/>
      <c r="D60" s="2148"/>
      <c r="E60" s="2299"/>
      <c r="F60" s="2300"/>
      <c r="G60" s="2300"/>
      <c r="H60" s="2301"/>
      <c r="I60" s="2027"/>
      <c r="J60" s="504"/>
      <c r="K60" s="2322"/>
      <c r="L60" s="2335" t="s">
        <v>1206</v>
      </c>
      <c r="M60" s="2340"/>
      <c r="N60" s="2341" t="e">
        <f ca="1">NUMBERSTRING(INT(N59*10000),2)&amp;"元整"</f>
        <v>#VALUE!</v>
      </c>
      <c r="O60" s="2342"/>
    </row>
    <row r="61" ht="14.25" spans="1:15">
      <c r="A61" s="2302" t="s">
        <v>1210</v>
      </c>
      <c r="B61" s="2302"/>
      <c r="C61" s="2302"/>
      <c r="D61" s="2302"/>
      <c r="E61" s="2302"/>
      <c r="F61" s="2300"/>
      <c r="G61" s="2300"/>
      <c r="H61" s="2301"/>
      <c r="I61" s="2027"/>
      <c r="J61" s="2322">
        <f>J59+1</f>
        <v>7</v>
      </c>
      <c r="K61" s="2322" t="s">
        <v>1211</v>
      </c>
      <c r="L61" s="2322"/>
      <c r="M61" s="2347"/>
      <c r="N61" s="2348" t="e">
        <f ca="1">ROUND(N59*10000/'数据-汇总表'!E3,0)</f>
        <v>#VALUE!</v>
      </c>
      <c r="O61" s="2349"/>
    </row>
    <row r="62" ht="13.5" spans="1:9">
      <c r="A62" s="2303" t="s">
        <v>1212</v>
      </c>
      <c r="B62" s="476"/>
      <c r="C62" s="476"/>
      <c r="D62" s="476" t="s">
        <v>1213</v>
      </c>
      <c r="E62" s="2304" t="s">
        <v>1167</v>
      </c>
      <c r="F62" s="2300"/>
      <c r="G62" s="2300"/>
      <c r="H62" s="2301"/>
      <c r="I62" s="2027"/>
    </row>
    <row r="63" ht="13.5" spans="1:35">
      <c r="A63" s="2305" t="s">
        <v>1214</v>
      </c>
      <c r="B63" s="2306" t="s">
        <v>1215</v>
      </c>
      <c r="C63" s="2307">
        <f ca="1">ROUND((C64+C65)/(1+'数据-取费表'!C42),0)</f>
        <v>15669</v>
      </c>
      <c r="D63" s="2306"/>
      <c r="E63" s="2308"/>
      <c r="F63" s="2300"/>
      <c r="G63" s="2300"/>
      <c r="H63" s="2301"/>
      <c r="I63" s="2027"/>
      <c r="J63" s="2350" t="s">
        <v>1216</v>
      </c>
      <c r="K63" s="2350" t="s">
        <v>1217</v>
      </c>
      <c r="L63" s="2350" t="e">
        <f ca="1">IF(M49&gt;10000,M49*0.5%,IF(AND(M49&gt;1000,M49&lt;=10000),M49*1%,IF(AND(M49&gt;100,M49&lt;=1000),M49*3%,IF(AND(M49&gt;10,M49&lt;=100),M49*5%,M49*8%))))</f>
        <v>#VALUE!</v>
      </c>
      <c r="M63" s="1561" t="e">
        <f ca="1" t="shared" ref="M63:M65" si="4">ROUND(L63,1)</f>
        <v>#VALUE!</v>
      </c>
      <c r="N63" s="2351"/>
      <c r="Z63" s="2141"/>
      <c r="AI63" s="2146"/>
    </row>
    <row r="64" ht="14.25" customHeight="1" spans="1:35">
      <c r="A64" s="2309" t="s">
        <v>1218</v>
      </c>
      <c r="B64" s="459" t="s">
        <v>1219</v>
      </c>
      <c r="C64" s="2310">
        <f ca="1">D45</f>
        <v>16452</v>
      </c>
      <c r="D64" s="459" t="s">
        <v>124</v>
      </c>
      <c r="E64" s="2311"/>
      <c r="F64" s="2300"/>
      <c r="G64" s="2300"/>
      <c r="H64" s="2301"/>
      <c r="I64" s="2027"/>
      <c r="J64" s="2350"/>
      <c r="K64" s="2350" t="s">
        <v>1220</v>
      </c>
      <c r="L64" s="2350"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1221</v>
      </c>
      <c r="Z64" s="2141"/>
      <c r="AI64" s="2146"/>
    </row>
    <row r="65" ht="14.25" customHeight="1" spans="1:35">
      <c r="A65" s="2309" t="s">
        <v>1222</v>
      </c>
      <c r="B65" s="459" t="s">
        <v>1223</v>
      </c>
      <c r="C65" s="2353"/>
      <c r="D65" s="459"/>
      <c r="E65" s="2311"/>
      <c r="F65" s="2300"/>
      <c r="G65" s="2300"/>
      <c r="H65" s="2301"/>
      <c r="I65" s="2027"/>
      <c r="J65" s="2350"/>
      <c r="K65" s="2350" t="s">
        <v>1224</v>
      </c>
      <c r="L65" s="2350" t="e">
        <f ca="1">IF(M49&gt;1000,M49*0.1%,IF(AND(M49&gt;500,M49&lt;=1000),M49*0.5%,IF(AND(M49&gt;50,M49&lt;=500),M49*1%,IF(AND(M49&gt;1,M49&lt;=50),M49*1.5%))))</f>
        <v>#VALUE!</v>
      </c>
      <c r="M65" s="1561" t="e">
        <f ca="1" t="shared" si="4"/>
        <v>#VALUE!</v>
      </c>
      <c r="N65" s="1736" t="s">
        <v>1221</v>
      </c>
      <c r="Z65" s="2141"/>
      <c r="AI65" s="2146"/>
    </row>
    <row r="66" ht="14.25" customHeight="1" spans="1:35">
      <c r="A66" s="2305" t="s">
        <v>1225</v>
      </c>
      <c r="B66" s="2354" t="s">
        <v>1226</v>
      </c>
      <c r="C66" s="2355"/>
      <c r="D66" s="2354" t="s">
        <v>124</v>
      </c>
      <c r="E66" s="2356" t="s">
        <v>1227</v>
      </c>
      <c r="F66" s="2300"/>
      <c r="G66" s="2300"/>
      <c r="H66" s="2301"/>
      <c r="I66" s="2027"/>
      <c r="J66" s="2350"/>
      <c r="K66" s="2350" t="s">
        <v>1228</v>
      </c>
      <c r="L66" s="2350" t="e">
        <f ca="1">M49*0.5%</f>
        <v>#VALUE!</v>
      </c>
      <c r="M66" s="1561" t="e">
        <f ca="1">IF(L66&gt;0.5,0.5,ROUND(L66,0))</f>
        <v>#VALUE!</v>
      </c>
      <c r="N66" s="1736" t="s">
        <v>1229</v>
      </c>
      <c r="Z66" s="2141"/>
      <c r="AI66" s="2146"/>
    </row>
    <row r="67" ht="14.25" customHeight="1" spans="1:35">
      <c r="A67" s="2305" t="s">
        <v>1230</v>
      </c>
      <c r="B67" s="2354" t="s">
        <v>1231</v>
      </c>
      <c r="C67" s="2357">
        <f ca="1">C63-C66</f>
        <v>15669</v>
      </c>
      <c r="D67" s="459" t="s">
        <v>124</v>
      </c>
      <c r="E67" s="2311"/>
      <c r="F67" s="2300"/>
      <c r="G67" s="2300"/>
      <c r="H67" s="2301"/>
      <c r="I67" s="2027"/>
      <c r="J67" s="2350"/>
      <c r="K67" s="2350" t="s">
        <v>1232</v>
      </c>
      <c r="L67" s="2350"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1"/>
      <c r="Z67" s="2141"/>
      <c r="AI67" s="2146"/>
    </row>
    <row r="68" ht="14.25" customHeight="1" spans="1:35">
      <c r="A68" s="2358" t="s">
        <v>1233</v>
      </c>
      <c r="B68" s="2359" t="s">
        <v>1234</v>
      </c>
      <c r="C68" s="2360">
        <f ca="1">IF(C67&lt;=0,0,ROUND(C67*D68,0))</f>
        <v>877</v>
      </c>
      <c r="D68" s="2361">
        <f>'数据-取费表'!B41</f>
        <v>0.056</v>
      </c>
      <c r="E68" s="2362"/>
      <c r="F68" s="2300"/>
      <c r="G68" s="2300"/>
      <c r="H68" s="2301"/>
      <c r="I68" s="2027"/>
      <c r="J68" s="2350"/>
      <c r="K68" s="2350" t="s">
        <v>1235</v>
      </c>
      <c r="L68" s="2350" t="e">
        <f ca="1">IF(M49&gt;10000,M49*0.5%,IF(AND(M49&gt;5000,M49&lt;=10000),M49*1%,IF(AND(M49&gt;1000,M49&lt;=5000),M49*2%,IF(AND(M49&gt;200,M49&lt;=1000),M49*3%,M49*5%))))</f>
        <v>#VALUE!</v>
      </c>
      <c r="M68" s="1561" t="e">
        <f ca="1">ROUND(L68,1)</f>
        <v>#VALUE!</v>
      </c>
      <c r="N68" s="2351"/>
      <c r="Z68" s="2141"/>
      <c r="AI68" s="2146"/>
    </row>
    <row r="69" s="2144" customFormat="1" ht="16.5" customHeight="1" spans="1:34">
      <c r="A69" s="2363"/>
      <c r="B69" s="2364"/>
      <c r="C69" s="2365"/>
      <c r="D69" s="622"/>
      <c r="E69" s="2366"/>
      <c r="F69" s="2299"/>
      <c r="G69" s="2299"/>
      <c r="H69" s="2247"/>
      <c r="I69" s="2148"/>
      <c r="J69" s="2350"/>
      <c r="K69" s="2350" t="s">
        <v>1236</v>
      </c>
      <c r="L69" s="2350"/>
      <c r="M69" s="1561" t="e">
        <f ca="1">ROUND(SUM(M63:M68),0)</f>
        <v>#VALUE!</v>
      </c>
      <c r="N69" s="2467"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5" customFormat="1" ht="15" spans="1:35">
      <c r="A70" s="2367" t="s">
        <v>1237</v>
      </c>
      <c r="B70" s="2368"/>
      <c r="C70" s="2368"/>
      <c r="D70" s="2368"/>
      <c r="E70" s="2368"/>
      <c r="F70" s="2368"/>
      <c r="G70" s="2368"/>
      <c r="H70" s="2368"/>
      <c r="I70" s="2468"/>
      <c r="J70" s="2469"/>
      <c r="K70" s="2469"/>
      <c r="L70" s="2469"/>
      <c r="M70" s="2469"/>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2145" customFormat="1" ht="14.25" spans="1:35">
      <c r="A71" s="2303" t="s">
        <v>1212</v>
      </c>
      <c r="B71" s="476"/>
      <c r="C71" s="476"/>
      <c r="D71" s="476" t="s">
        <v>1213</v>
      </c>
      <c r="E71" s="2369" t="s">
        <v>1167</v>
      </c>
      <c r="F71" s="2370"/>
      <c r="G71" s="2370"/>
      <c r="H71" s="2371"/>
      <c r="I71" s="2471"/>
      <c r="J71" s="2469"/>
      <c r="K71" s="2469"/>
      <c r="L71" s="2469"/>
      <c r="M71" s="2469"/>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2145" customFormat="1" ht="14.25" spans="1:35">
      <c r="A72" s="2305" t="s">
        <v>1214</v>
      </c>
      <c r="B72" s="2354" t="s">
        <v>1238</v>
      </c>
      <c r="C72" s="2357">
        <f ca="1">ROUND(D45/(1+'数据-取费表'!C42),0)</f>
        <v>15669</v>
      </c>
      <c r="D72" s="459" t="s">
        <v>124</v>
      </c>
      <c r="E72" s="1595"/>
      <c r="F72" s="1596"/>
      <c r="G72" s="1596"/>
      <c r="H72" s="2372"/>
      <c r="I72" s="2471"/>
      <c r="J72" s="2469"/>
      <c r="K72" s="2469"/>
      <c r="L72" s="2469"/>
      <c r="M72" s="2469"/>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2145" customFormat="1" ht="14.25" spans="1:35">
      <c r="A73" s="2305" t="s">
        <v>1225</v>
      </c>
      <c r="B73" s="2266" t="s">
        <v>1239</v>
      </c>
      <c r="C73" s="2357">
        <f ca="1">C74+C78</f>
        <v>94</v>
      </c>
      <c r="D73" s="459" t="s">
        <v>124</v>
      </c>
      <c r="E73" s="1595"/>
      <c r="F73" s="1596"/>
      <c r="G73" s="1596"/>
      <c r="H73" s="2372"/>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2145" customFormat="1" ht="24" spans="1:35">
      <c r="A74" s="2309" t="s">
        <v>1218</v>
      </c>
      <c r="B74" s="459" t="s">
        <v>1240</v>
      </c>
      <c r="C74" s="459">
        <f>ROUND(IF(G77="2016年5月1日后购买",C75/(1+'数据-取费表'!C42)+C76+C77,C75+C76+C77),0)</f>
        <v>0</v>
      </c>
      <c r="D74" s="459" t="s">
        <v>124</v>
      </c>
      <c r="E74" s="1595"/>
      <c r="F74" s="1596"/>
      <c r="G74" s="1596"/>
      <c r="H74" s="2372"/>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2145" customFormat="1" ht="14.25" spans="1:35">
      <c r="A75" s="2309" t="s">
        <v>1241</v>
      </c>
      <c r="B75" s="459" t="s">
        <v>1242</v>
      </c>
      <c r="C75" s="2373"/>
      <c r="D75" s="459" t="s">
        <v>124</v>
      </c>
      <c r="E75" s="2374" t="s">
        <v>1243</v>
      </c>
      <c r="F75" s="2375"/>
      <c r="G75" s="2374" t="s">
        <v>1244</v>
      </c>
      <c r="H75" s="2376"/>
      <c r="I75" s="712"/>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2145" customFormat="1" ht="24.75" customHeight="1" spans="1:35">
      <c r="A76" s="2309" t="s">
        <v>1245</v>
      </c>
      <c r="B76" s="2377" t="s">
        <v>1246</v>
      </c>
      <c r="C76" s="459">
        <f>IF(F75="购房发票",ROUND(C75*H75*D76,0),0)</f>
        <v>0</v>
      </c>
      <c r="D76" s="2378">
        <v>0.05</v>
      </c>
      <c r="E76" s="1595" t="s">
        <v>1247</v>
      </c>
      <c r="F76" s="1596"/>
      <c r="G76" s="1596"/>
      <c r="H76" s="2379"/>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2145" customFormat="1" ht="24.75" customHeight="1" spans="1:35">
      <c r="A77" s="2309" t="s">
        <v>1248</v>
      </c>
      <c r="B77" s="459" t="s">
        <v>1249</v>
      </c>
      <c r="C77" s="459">
        <f>ROUND(IF(G77="个人住宅",0,IF(G77="2016年5月1日前购买",C75*D77,C75*D77/(1+'数据-取费表'!C42))),0)</f>
        <v>0</v>
      </c>
      <c r="D77" s="2380">
        <f>'数据-取费表'!B48+'数据-取费表'!B49</f>
        <v>0.0305</v>
      </c>
      <c r="E77" s="1721" t="s">
        <v>1250</v>
      </c>
      <c r="F77" s="2381"/>
      <c r="G77" s="2382"/>
      <c r="H77" s="2379" t="str">
        <f>IF(G77="个人买卖住房","免征印花税"," ")</f>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2145" customFormat="1" ht="24.75" customHeight="1" spans="1:35">
      <c r="A78" s="2309" t="s">
        <v>1222</v>
      </c>
      <c r="B78" s="459" t="s">
        <v>1251</v>
      </c>
      <c r="C78" s="2383">
        <f ca="1">ROUND(D45*D78/(1+'数据-取费表'!C42),0)</f>
        <v>94</v>
      </c>
      <c r="D78" s="2384">
        <f>'数据-取费表'!B43</f>
        <v>0.006</v>
      </c>
      <c r="E78" s="2385" t="s">
        <v>1252</v>
      </c>
      <c r="F78" s="2386"/>
      <c r="G78" s="2386"/>
      <c r="H78" s="2387"/>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2145" customFormat="1" ht="14.25" spans="1:35">
      <c r="A79" s="2305" t="s">
        <v>1230</v>
      </c>
      <c r="B79" s="2354" t="s">
        <v>1253</v>
      </c>
      <c r="C79" s="2357">
        <f ca="1">C72-C73</f>
        <v>15575</v>
      </c>
      <c r="D79" s="459" t="s">
        <v>124</v>
      </c>
      <c r="E79" s="1595"/>
      <c r="F79" s="1596"/>
      <c r="G79" s="1596"/>
      <c r="H79" s="2372"/>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2145" customFormat="1" ht="24" spans="1:35">
      <c r="A80" s="2305" t="s">
        <v>1233</v>
      </c>
      <c r="B80" s="2354" t="s">
        <v>1254</v>
      </c>
      <c r="C80" s="2388">
        <f ca="1">IF(C79&lt;=0,0,C79/C73)</f>
        <v>165.691489361702</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2"/>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2145" customFormat="1" ht="24.75" spans="1:35">
      <c r="A81" s="2358" t="s">
        <v>1255</v>
      </c>
      <c r="B81" s="2359" t="s">
        <v>1256</v>
      </c>
      <c r="C81" s="2389">
        <f ca="1">ROUND(IF(C79&lt;=0,0,IF(C80&gt;=200%,C79*60%-C73*35%,IF(C80&gt;=100%,C79*50%-C73*15%,IF(C80&gt;=50%,C79*40%-C73*5%,IF(C80&lt;50%,C79*30%,0))))),0)</f>
        <v>9312</v>
      </c>
      <c r="D81" s="2390" t="s">
        <v>124</v>
      </c>
      <c r="E81" s="23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2"/>
      <c r="G81" s="2392"/>
      <c r="H81" s="2393"/>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2145" customFormat="1" ht="7.5" customHeight="1" spans="1:35">
      <c r="A82" s="2394"/>
      <c r="B82" s="2395"/>
      <c r="C82" s="606"/>
      <c r="D82" s="606"/>
      <c r="E82" s="2395"/>
      <c r="F82" s="2395"/>
      <c r="G82" s="2395"/>
      <c r="H82" s="2396"/>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2145" customFormat="1" ht="15" spans="1:35">
      <c r="A83" s="2367" t="s">
        <v>1257</v>
      </c>
      <c r="B83" s="2368"/>
      <c r="C83" s="2368"/>
      <c r="D83" s="2368"/>
      <c r="E83" s="2368"/>
      <c r="F83" s="2368"/>
      <c r="G83" s="2368"/>
      <c r="H83" s="2368"/>
      <c r="I83" s="712"/>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2145" customFormat="1" ht="14.25" spans="1:35">
      <c r="A84" s="2303" t="s">
        <v>1212</v>
      </c>
      <c r="B84" s="476"/>
      <c r="C84" s="476"/>
      <c r="D84" s="476" t="s">
        <v>1213</v>
      </c>
      <c r="E84" s="2369" t="s">
        <v>1167</v>
      </c>
      <c r="F84" s="2370"/>
      <c r="G84" s="2370"/>
      <c r="H84" s="2397"/>
      <c r="I84" s="712"/>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2145" customFormat="1" ht="14.25" spans="1:35">
      <c r="A85" s="2305" t="s">
        <v>1214</v>
      </c>
      <c r="B85" s="2354" t="s">
        <v>1238</v>
      </c>
      <c r="C85" s="2357">
        <f ca="1">ROUND(D45/(1+'数据-取费表'!C42),0)</f>
        <v>15669</v>
      </c>
      <c r="D85" s="459" t="s">
        <v>124</v>
      </c>
      <c r="E85" s="1595"/>
      <c r="F85" s="1596"/>
      <c r="G85" s="1596"/>
      <c r="H85" s="2398"/>
      <c r="I85" s="712"/>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2145" customFormat="1" ht="14.25" spans="1:35">
      <c r="A86" s="2305" t="s">
        <v>1225</v>
      </c>
      <c r="B86" s="2266" t="s">
        <v>1239</v>
      </c>
      <c r="C86" s="2357">
        <f ca="1">IF(H88="仅含出让金",C87+C90+C91+C92+C93+C94,C87+C91+C92+C93+C94)</f>
        <v>94</v>
      </c>
      <c r="D86" s="2399"/>
      <c r="E86" s="1595"/>
      <c r="F86" s="1596"/>
      <c r="G86" s="1596"/>
      <c r="H86" s="2398"/>
      <c r="I86" s="712"/>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2145" customFormat="1" ht="14.25" spans="1:35">
      <c r="A87" s="2309" t="s">
        <v>1218</v>
      </c>
      <c r="B87" s="459" t="s">
        <v>1258</v>
      </c>
      <c r="C87" s="2383">
        <f>C88+C89</f>
        <v>0</v>
      </c>
      <c r="D87" s="2384"/>
      <c r="E87" s="2385"/>
      <c r="F87" s="2386"/>
      <c r="G87" s="2386"/>
      <c r="H87" s="2387"/>
      <c r="I87" s="712"/>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2145" customFormat="1" ht="14.25" spans="1:35">
      <c r="A88" s="2309" t="s">
        <v>1241</v>
      </c>
      <c r="B88" s="459" t="s">
        <v>1259</v>
      </c>
      <c r="C88" s="2400"/>
      <c r="D88" s="2384"/>
      <c r="E88" s="2401" t="s">
        <v>1260</v>
      </c>
      <c r="F88" s="2386"/>
      <c r="G88" s="2402" t="s">
        <v>1261</v>
      </c>
      <c r="H88" s="2403"/>
      <c r="I88" s="712"/>
      <c r="J88" s="2473" t="s">
        <v>1262</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2145" customFormat="1" ht="14.25" spans="1:35">
      <c r="A89" s="2309" t="s">
        <v>1245</v>
      </c>
      <c r="B89" s="459" t="s">
        <v>1249</v>
      </c>
      <c r="C89" s="2383">
        <f>ROUND(C88*D89,0)</f>
        <v>0</v>
      </c>
      <c r="D89" s="2384">
        <f>'数据-取费表'!B48+'数据-取费表'!B49</f>
        <v>0.0305</v>
      </c>
      <c r="E89" s="2401" t="s">
        <v>1263</v>
      </c>
      <c r="F89" s="2386"/>
      <c r="G89" s="2386"/>
      <c r="H89" s="2387"/>
      <c r="I89" s="712"/>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2145" customFormat="1" ht="14.25" spans="1:35">
      <c r="A90" s="2309" t="s">
        <v>1222</v>
      </c>
      <c r="B90" s="459" t="s">
        <v>1264</v>
      </c>
      <c r="C90" s="2400"/>
      <c r="D90" s="2384"/>
      <c r="E90" s="2401" t="str">
        <f>IF(H88="-","土地取得成本中已包含该笔费用"," ")</f>
        <v/>
      </c>
      <c r="F90" s="2386"/>
      <c r="G90" s="2404" t="s">
        <v>1265</v>
      </c>
      <c r="H90" s="2405"/>
      <c r="I90" s="712"/>
      <c r="J90" s="2473" t="s">
        <v>1266</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2145" customFormat="1" ht="27.75" customHeight="1" spans="1:35">
      <c r="A91" s="2309" t="s">
        <v>1267</v>
      </c>
      <c r="B91" s="459" t="s">
        <v>1268</v>
      </c>
      <c r="C91" s="2383">
        <f ca="1">IF(H91="——",成本法!C33,I91)</f>
        <v>0</v>
      </c>
      <c r="D91" s="2384"/>
      <c r="E91" s="2385" t="s">
        <v>1269</v>
      </c>
      <c r="F91" s="2386"/>
      <c r="G91" s="2386"/>
      <c r="H91" s="2406"/>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2145" customFormat="1" ht="25.5" customHeight="1" spans="1:35">
      <c r="A92" s="2309" t="s">
        <v>1270</v>
      </c>
      <c r="B92" s="459" t="s">
        <v>1271</v>
      </c>
      <c r="C92" s="2383">
        <f ca="1">ROUND((C87+C90+C91)*D92,0)</f>
        <v>0</v>
      </c>
      <c r="D92" s="2407"/>
      <c r="E92" s="2385" t="s">
        <v>1272</v>
      </c>
      <c r="F92" s="2386"/>
      <c r="G92" s="2386"/>
      <c r="H92" s="2387"/>
      <c r="I92" s="712"/>
      <c r="J92" s="2475" t="s">
        <v>1273</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2145" customFormat="1" ht="25.5" customHeight="1" spans="1:35">
      <c r="A93" s="2309" t="s">
        <v>1274</v>
      </c>
      <c r="B93" s="459" t="s">
        <v>1251</v>
      </c>
      <c r="C93" s="2383">
        <f ca="1">ROUND(D45*D93/(1+'数据-取费表'!C42),0)</f>
        <v>94</v>
      </c>
      <c r="D93" s="2384">
        <f>'数据-取费表'!B43</f>
        <v>0.006</v>
      </c>
      <c r="E93" s="2385" t="s">
        <v>1252</v>
      </c>
      <c r="F93" s="2386"/>
      <c r="G93" s="2386"/>
      <c r="H93" s="2387"/>
      <c r="I93" s="712"/>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2145" customFormat="1" ht="36.75" customHeight="1" spans="1:35">
      <c r="A94" s="2309" t="s">
        <v>1275</v>
      </c>
      <c r="B94" s="459" t="s">
        <v>1276</v>
      </c>
      <c r="C94" s="2400">
        <f ca="1">ROUND((C87+C90+C91)*D94,0)</f>
        <v>0</v>
      </c>
      <c r="D94" s="2384">
        <v>0.2</v>
      </c>
      <c r="E94" s="2408" t="s">
        <v>1277</v>
      </c>
      <c r="F94" s="2409"/>
      <c r="G94" s="2409"/>
      <c r="H94" s="2410"/>
      <c r="I94" s="712"/>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2145" customFormat="1" ht="14.25" spans="1:35">
      <c r="A95" s="2305" t="s">
        <v>1230</v>
      </c>
      <c r="B95" s="2354" t="s">
        <v>1253</v>
      </c>
      <c r="C95" s="2357">
        <f ca="1">ROUND(C85-C86,0)</f>
        <v>15575</v>
      </c>
      <c r="D95" s="459" t="s">
        <v>124</v>
      </c>
      <c r="E95" s="1595"/>
      <c r="F95" s="1596"/>
      <c r="G95" s="1596"/>
      <c r="H95" s="2398"/>
      <c r="I95" s="712"/>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2145" customFormat="1" ht="24" spans="1:35">
      <c r="A96" s="2305" t="s">
        <v>1233</v>
      </c>
      <c r="B96" s="2354" t="s">
        <v>1254</v>
      </c>
      <c r="C96" s="2388">
        <f ca="1">IF(C95&lt;=0,0,C95/C86)</f>
        <v>165.691489361702</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8"/>
      <c r="I96" s="712"/>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2145" customFormat="1" ht="24.75" spans="1:35">
      <c r="A97" s="2358" t="s">
        <v>1255</v>
      </c>
      <c r="B97" s="2359" t="s">
        <v>1256</v>
      </c>
      <c r="C97" s="2389">
        <f ca="1">ROUND(IF(C95&lt;=0,0,IF(C96&gt;=200%,C95*60%-C86*35%,IF(C96&gt;=100%,C95*50%-C86*15%,IF(C96&gt;=50%,C95*40%-C86*5%,IF(C96&lt;50%,C95*30%,0))))),0)</f>
        <v>9312</v>
      </c>
      <c r="D97" s="2390" t="s">
        <v>124</v>
      </c>
      <c r="E97" s="23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2"/>
      <c r="G97" s="2392"/>
      <c r="H97" s="2411"/>
      <c r="I97" s="712"/>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298"/>
      <c r="B98" s="2148"/>
      <c r="C98" s="2148"/>
      <c r="D98" s="2148"/>
      <c r="E98" s="2299"/>
      <c r="F98" s="2299"/>
      <c r="G98" s="2299"/>
      <c r="H98" s="2247"/>
      <c r="I98" s="2027"/>
    </row>
    <row r="99" customHeight="1" spans="1:9">
      <c r="A99" s="2249" t="s">
        <v>1278</v>
      </c>
      <c r="B99" s="2148"/>
      <c r="C99" s="2148"/>
      <c r="D99" s="2148"/>
      <c r="E99" s="2299"/>
      <c r="F99" s="2299"/>
      <c r="G99" s="2299"/>
      <c r="H99" s="2247"/>
      <c r="I99" s="2027"/>
    </row>
    <row r="100" ht="18.75" customHeight="1" spans="1:9">
      <c r="A100" s="2412" t="s">
        <v>1279</v>
      </c>
      <c r="B100" s="2413"/>
      <c r="C100" s="2413"/>
      <c r="D100" s="2414"/>
      <c r="E100" s="2413" t="s">
        <v>1280</v>
      </c>
      <c r="F100" s="2413"/>
      <c r="G100" s="2413"/>
      <c r="H100" s="2414"/>
      <c r="I100" s="2027"/>
    </row>
    <row r="101" ht="18.75" customHeight="1" spans="1:9">
      <c r="A101" s="2415" t="s">
        <v>1281</v>
      </c>
      <c r="B101" s="2416"/>
      <c r="C101" s="2417" t="str">
        <f>C4</f>
        <v>典型户型修正-商业</v>
      </c>
      <c r="D101" s="2418" t="str">
        <f>D4</f>
        <v>商业收益法-无租约</v>
      </c>
      <c r="E101" s="2419" t="s">
        <v>1282</v>
      </c>
      <c r="F101" s="2420"/>
      <c r="G101" s="2421" t="s">
        <v>1283</v>
      </c>
      <c r="H101" s="2422">
        <f ca="1">H118</f>
        <v>16452</v>
      </c>
      <c r="I101" s="2027"/>
    </row>
    <row r="102" ht="18.75" customHeight="1" spans="1:9">
      <c r="A102" s="2423" t="s">
        <v>1284</v>
      </c>
      <c r="B102" s="2424" t="s">
        <v>1283</v>
      </c>
      <c r="C102" s="2417">
        <f ca="1">C19</f>
        <v>19615</v>
      </c>
      <c r="D102" s="2418">
        <f ca="1">D19</f>
        <v>11707</v>
      </c>
      <c r="E102" s="2419"/>
      <c r="F102" s="2420"/>
      <c r="G102" s="2421" t="s">
        <v>99</v>
      </c>
      <c r="H102" s="2285">
        <f ca="1">I118</f>
        <v>52368</v>
      </c>
      <c r="I102" s="2027"/>
    </row>
    <row r="103" ht="42.75" customHeight="1" spans="1:9">
      <c r="A103" s="2423"/>
      <c r="B103" s="2424" t="s">
        <v>99</v>
      </c>
      <c r="C103" s="2425">
        <f ca="1">C20</f>
        <v>62437</v>
      </c>
      <c r="D103" s="2426">
        <f ca="1">D20</f>
        <v>37265</v>
      </c>
      <c r="E103" s="2427" t="s">
        <v>1285</v>
      </c>
      <c r="F103" s="2428"/>
      <c r="G103" s="2429" t="s">
        <v>102</v>
      </c>
      <c r="H103" s="2422">
        <f>IF(D36="正常操作",H104+H105+H106,H105+H106)</f>
        <v>0</v>
      </c>
      <c r="I103" s="2027"/>
    </row>
    <row r="104" ht="18.75" customHeight="1" spans="1:9">
      <c r="A104" s="2423" t="s">
        <v>1286</v>
      </c>
      <c r="B104" s="2430" t="s">
        <v>1283</v>
      </c>
      <c r="C104" s="2431">
        <f ca="1">H118</f>
        <v>16452</v>
      </c>
      <c r="D104" s="2432"/>
      <c r="E104" s="2231" t="s">
        <v>1287</v>
      </c>
      <c r="F104" s="2433"/>
      <c r="G104" s="2429" t="s">
        <v>102</v>
      </c>
      <c r="H104" s="2434">
        <f>IF(D36="同一抵押权人同一抵押物续贷",C36&amp;"（续贷，未扣减，详见特别提示）",C36)</f>
        <v>0</v>
      </c>
      <c r="I104" s="2027"/>
    </row>
    <row r="105" ht="18.75" customHeight="1" spans="1:9">
      <c r="A105" s="2435"/>
      <c r="B105" s="2436" t="s">
        <v>99</v>
      </c>
      <c r="C105" s="2437">
        <f ca="1">I118</f>
        <v>52368</v>
      </c>
      <c r="D105" s="2438"/>
      <c r="E105" s="2231" t="s">
        <v>1288</v>
      </c>
      <c r="F105" s="2433"/>
      <c r="G105" s="2429" t="s">
        <v>102</v>
      </c>
      <c r="H105" s="2439">
        <f>C37</f>
        <v>0</v>
      </c>
      <c r="I105" s="2027"/>
    </row>
    <row r="106" ht="18.75" customHeight="1" spans="1:9">
      <c r="A106" s="2148" t="s">
        <v>1289</v>
      </c>
      <c r="B106" s="2148"/>
      <c r="C106" s="2148"/>
      <c r="D106" s="2148"/>
      <c r="E106" s="2440" t="s">
        <v>1290</v>
      </c>
      <c r="F106" s="2433"/>
      <c r="G106" s="2429" t="s">
        <v>102</v>
      </c>
      <c r="H106" s="2439">
        <f>C38</f>
        <v>0</v>
      </c>
      <c r="I106" s="2027"/>
    </row>
    <row r="107" ht="18.75" customHeight="1" spans="1:9">
      <c r="A107" s="2027"/>
      <c r="B107" s="2027"/>
      <c r="C107" s="2027"/>
      <c r="D107" s="2027"/>
      <c r="E107" s="2441" t="str">
        <f>IF(项目基本情况!E8="已注销","——","3.房地产抵押价值")</f>
        <v>3.房地产抵押价值</v>
      </c>
      <c r="F107" s="2420"/>
      <c r="G107" s="2421" t="s">
        <v>1283</v>
      </c>
      <c r="H107" s="2422">
        <f ca="1">IF(E107="——","——",H101-H103)</f>
        <v>16452</v>
      </c>
      <c r="I107" s="2027"/>
    </row>
    <row r="108" ht="18.75" customHeight="1" spans="1:9">
      <c r="A108" s="2027"/>
      <c r="B108" s="2027"/>
      <c r="C108" s="2027"/>
      <c r="D108" s="2027"/>
      <c r="E108" s="2441"/>
      <c r="F108" s="2420"/>
      <c r="G108" s="2421" t="s">
        <v>99</v>
      </c>
      <c r="H108" s="2285">
        <f ca="1">ROUND(H107*10000/'数据-汇总表'!E3,0)</f>
        <v>2476</v>
      </c>
      <c r="I108" s="2027"/>
    </row>
    <row r="109" ht="18.75" customHeight="1" spans="1:9">
      <c r="A109" s="2027"/>
      <c r="B109" s="2027"/>
      <c r="C109" s="2027"/>
      <c r="D109" s="2027"/>
      <c r="E109" s="2441" t="str">
        <f>IF(项目基本情况!E8="已注销及未注销","4.抵押担保权已注销时的房地产抵押价值",IF(项目基本情况!E8="已注销","3.抵押担保权已注销时的房地产抵押价值","——"))</f>
        <v>——</v>
      </c>
      <c r="F109" s="2420"/>
      <c r="G109" s="2421" t="s">
        <v>1283</v>
      </c>
      <c r="H109" s="2442" t="str">
        <f ca="1">IF(E109="——","——",H101-H105-H106)</f>
        <v>——</v>
      </c>
      <c r="I109" s="2027"/>
    </row>
    <row r="110" ht="18.75" customHeight="1" spans="1:9">
      <c r="A110" s="2027"/>
      <c r="B110" s="2027"/>
      <c r="C110" s="2027"/>
      <c r="D110" s="2027"/>
      <c r="E110" s="2441"/>
      <c r="F110" s="2420"/>
      <c r="G110" s="2421" t="s">
        <v>99</v>
      </c>
      <c r="H110" s="2285" t="str">
        <f ca="1">IF(H109="——","——",ROUND(H109*10000/'数据-汇总表'!E3,0))</f>
        <v>——</v>
      </c>
      <c r="I110" s="2027"/>
    </row>
    <row r="111" ht="18.75" customHeight="1" spans="1:9">
      <c r="A111" s="2027"/>
      <c r="B111" s="2027"/>
      <c r="C111" s="2027"/>
      <c r="D111" s="2027"/>
      <c r="E111" s="2443" t="str">
        <f>IF(项目基本情况!E9="抵押净值",IF(OR(项目基本情况!E8="已注销",项目基本情况!E8="房地产抵押价值"),"4.抵押净值","5.抵押净值"),"——")</f>
        <v>——</v>
      </c>
      <c r="F111" s="2444"/>
      <c r="G111" s="2421" t="s">
        <v>1283</v>
      </c>
      <c r="H111" s="2422" t="str">
        <f ca="1">IF(E111="——","——",N59)</f>
        <v>——</v>
      </c>
      <c r="I111" s="2027"/>
    </row>
    <row r="112" ht="18.75" customHeight="1" spans="1:9">
      <c r="A112" s="2027"/>
      <c r="B112" s="2027"/>
      <c r="C112" s="2027"/>
      <c r="D112" s="2027"/>
      <c r="E112" s="2445"/>
      <c r="F112" s="2446"/>
      <c r="G112" s="2447" t="s">
        <v>99</v>
      </c>
      <c r="H112" s="2448" t="str">
        <f ca="1">IF(E111="——","——",N61)</f>
        <v>——</v>
      </c>
      <c r="I112" s="2027"/>
    </row>
    <row r="113" ht="18.75" customHeight="1" spans="1:9">
      <c r="A113" s="2027"/>
      <c r="B113" s="2027"/>
      <c r="C113" s="2027"/>
      <c r="D113" s="2027"/>
      <c r="E113" s="2449" t="s">
        <v>1289</v>
      </c>
      <c r="F113" s="2449"/>
      <c r="G113" s="2449"/>
      <c r="H113" s="2449"/>
      <c r="I113" s="2027"/>
    </row>
    <row r="114" ht="3.75" customHeight="1" spans="1:9">
      <c r="A114" s="2148"/>
      <c r="B114" s="2148"/>
      <c r="C114" s="2148"/>
      <c r="D114" s="2148"/>
      <c r="E114" s="2298"/>
      <c r="F114" s="2298"/>
      <c r="G114" s="2298"/>
      <c r="H114" s="2298"/>
      <c r="I114" s="2148"/>
    </row>
    <row r="115" ht="18.75" customHeight="1" spans="1:9">
      <c r="A115" s="2450" t="s">
        <v>1291</v>
      </c>
      <c r="B115" s="2451"/>
      <c r="C115" s="2451"/>
      <c r="D115" s="2451"/>
      <c r="E115" s="2451"/>
      <c r="F115" s="2451"/>
      <c r="G115" s="2451"/>
      <c r="H115" s="2451"/>
      <c r="I115" s="2476"/>
    </row>
    <row r="116" ht="27" customHeight="1" spans="1:9">
      <c r="A116" s="2161" t="s">
        <v>1292</v>
      </c>
      <c r="B116" s="2452" t="s">
        <v>1293</v>
      </c>
      <c r="C116" s="2452" t="s">
        <v>1294</v>
      </c>
      <c r="D116" s="2453" t="s">
        <v>1295</v>
      </c>
      <c r="E116" s="2454"/>
      <c r="F116" s="2455" t="s">
        <v>1296</v>
      </c>
      <c r="G116" s="2455"/>
      <c r="H116" s="2161" t="s">
        <v>1297</v>
      </c>
      <c r="I116" s="2161"/>
    </row>
    <row r="117" ht="18.75" customHeight="1" spans="1:9">
      <c r="A117" s="2161"/>
      <c r="B117" s="2456"/>
      <c r="C117" s="2456"/>
      <c r="D117" s="2161" t="s">
        <v>1298</v>
      </c>
      <c r="E117" s="2161" t="s">
        <v>1125</v>
      </c>
      <c r="F117" s="2161" t="s">
        <v>1298</v>
      </c>
      <c r="G117" s="2161" t="s">
        <v>1125</v>
      </c>
      <c r="H117" s="2161" t="s">
        <v>1298</v>
      </c>
      <c r="I117" s="2161" t="s">
        <v>1125</v>
      </c>
    </row>
    <row r="118" ht="24.75" customHeight="1" spans="1:9">
      <c r="A118" s="2457" t="str">
        <f>项目基本情况!S2</f>
        <v>北京市房地产</v>
      </c>
      <c r="B118" s="2161">
        <f>M18</f>
        <v>3141.59</v>
      </c>
      <c r="C118" s="2161">
        <f>M19</f>
        <v>429.4</v>
      </c>
      <c r="D118" s="2161">
        <f ca="1">ROUND(IF(D32="总价",C34,E118*B118/10000),0)</f>
        <v>13688</v>
      </c>
      <c r="E118" s="2161">
        <f ca="1">ROUND(IF(C33="自定义",IF(D32="楼面单价",C34,D118*10000/B118),I118-G118),0)</f>
        <v>43570</v>
      </c>
      <c r="F118" s="2161">
        <f ca="1">ROUND(IF(D32="总价",C35,G118*B118/10000),0)</f>
        <v>2764</v>
      </c>
      <c r="G118" s="2161">
        <f ca="1">ROUND(IF(D32="楼面单价",C35,F118*10000/B118),0)</f>
        <v>8798</v>
      </c>
      <c r="H118" s="2161">
        <f ca="1">ROUND(IF(D32="总价",C32,I118*B118/10000),0)</f>
        <v>16452</v>
      </c>
      <c r="I118" s="2161">
        <f ca="1">ROUND(IF(D32="楼面单价",C32,H118*10000/B118),0)</f>
        <v>52368</v>
      </c>
    </row>
    <row r="119" ht="18.75" customHeight="1" spans="1:9">
      <c r="A119" s="2161" t="s">
        <v>1299</v>
      </c>
      <c r="B119" s="2161"/>
      <c r="C119" s="2161"/>
      <c r="D119" s="2458" t="str">
        <f ca="1" t="shared" ref="D119:H119" si="5">NUMBERSTRING(INT(D118*10000),2)&amp;"元整"</f>
        <v>壹亿叁仟陆佰捌拾捌万元整</v>
      </c>
      <c r="E119" s="2459"/>
      <c r="F119" s="2458" t="str">
        <f ca="1" t="shared" si="5"/>
        <v>贰仟柒佰陆拾肆万元整</v>
      </c>
      <c r="G119" s="2459"/>
      <c r="H119" s="2458" t="str">
        <f ca="1" t="shared" si="5"/>
        <v>壹亿陆仟肆佰伍拾贰万元整</v>
      </c>
      <c r="I119" s="2459"/>
    </row>
    <row r="120" ht="18.75" customHeight="1" spans="1:19">
      <c r="A120" s="2460" t="str">
        <f>IF(项目基本情况!B9="房地产市场价值","",MID(E103,3,LEN(E103)-2))</f>
        <v>估价师知悉的法定优先受偿款</v>
      </c>
      <c r="B120" s="2461"/>
      <c r="C120" s="2462"/>
      <c r="D120" s="2460">
        <f>H103</f>
        <v>0</v>
      </c>
      <c r="E120" s="2461"/>
      <c r="F120" s="2461"/>
      <c r="G120" s="2461"/>
      <c r="H120" s="2461"/>
      <c r="I120" s="2462"/>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3" t="s">
        <v>1299</v>
      </c>
      <c r="B121" s="2464"/>
      <c r="C121" s="2465"/>
      <c r="D121" s="2458" t="str">
        <f>IF(D120=0,"零元整",NUMBERSTRING(INT(D120*10000),2)&amp;"元整")</f>
        <v>零元整</v>
      </c>
      <c r="E121" s="2466"/>
      <c r="F121" s="2466"/>
      <c r="G121" s="2466"/>
      <c r="H121" s="2466"/>
      <c r="I121" s="2459"/>
      <c r="AA121" s="1985"/>
    </row>
    <row r="122" ht="18.75" customHeight="1" spans="1:27">
      <c r="A122" s="2444" t="str">
        <f>IF(项目基本情况!B9="房地产市场价值","",MID(E107,3,LEN(E107)-2))</f>
        <v>房地产抵押价值</v>
      </c>
      <c r="B122" s="2444"/>
      <c r="C122" s="2444"/>
      <c r="D122" s="2460">
        <f ca="1" t="shared" ref="D122:D126" si="6">H107</f>
        <v>16452</v>
      </c>
      <c r="E122" s="2461"/>
      <c r="F122" s="2461"/>
      <c r="G122" s="2461"/>
      <c r="H122" s="2461"/>
      <c r="I122" s="2462"/>
      <c r="AA122" s="1985"/>
    </row>
    <row r="123" ht="18.75" customHeight="1" spans="1:27">
      <c r="A123" s="2161" t="s">
        <v>1299</v>
      </c>
      <c r="B123" s="2161"/>
      <c r="C123" s="2161"/>
      <c r="D123" s="2458" t="str">
        <f ca="1" t="shared" ref="D123:D127" si="7">NUMBERSTRING(INT(D122*10000),2)&amp;"元整"</f>
        <v>壹亿陆仟肆佰伍拾贰万元整</v>
      </c>
      <c r="E123" s="2466"/>
      <c r="F123" s="2466"/>
      <c r="G123" s="2466"/>
      <c r="H123" s="2466"/>
      <c r="I123" s="2459"/>
      <c r="AA123" s="1985"/>
    </row>
    <row r="124" ht="18.75" customHeight="1" spans="1:27">
      <c r="A124" s="2444" t="str">
        <f>IF(项目基本情况!B9="房地产市场价值","",MID(E109,3,LEN(E109)-2))</f>
        <v/>
      </c>
      <c r="B124" s="2444"/>
      <c r="C124" s="2444"/>
      <c r="D124" s="2460" t="str">
        <f ca="1" t="shared" si="6"/>
        <v>——</v>
      </c>
      <c r="E124" s="2461"/>
      <c r="F124" s="2461"/>
      <c r="G124" s="2461"/>
      <c r="H124" s="2461"/>
      <c r="I124" s="2462"/>
      <c r="AA124" s="1985"/>
    </row>
    <row r="125" ht="18.75" customHeight="1" spans="1:27">
      <c r="A125" s="2161" t="s">
        <v>1299</v>
      </c>
      <c r="B125" s="2161"/>
      <c r="C125" s="2161"/>
      <c r="D125" s="2458" t="e">
        <f ca="1" t="shared" si="7"/>
        <v>#VALUE!</v>
      </c>
      <c r="E125" s="2466"/>
      <c r="F125" s="2466"/>
      <c r="G125" s="2466"/>
      <c r="H125" s="2466"/>
      <c r="I125" s="2459"/>
      <c r="AA125" s="1985"/>
    </row>
    <row r="126" ht="18.75" customHeight="1" spans="1:27">
      <c r="A126" s="2444" t="str">
        <f>IF(项目基本情况!B9="房地产市场价值","",MID(E111,3,LEN(E111)-2))</f>
        <v/>
      </c>
      <c r="B126" s="2444"/>
      <c r="C126" s="2444"/>
      <c r="D126" s="2460" t="str">
        <f ca="1" t="shared" si="6"/>
        <v>——</v>
      </c>
      <c r="E126" s="2461"/>
      <c r="F126" s="2461"/>
      <c r="G126" s="2461"/>
      <c r="H126" s="2461"/>
      <c r="I126" s="2462"/>
      <c r="AA126" s="1985"/>
    </row>
    <row r="127" ht="18.75" customHeight="1" spans="1:27">
      <c r="A127" s="2161" t="s">
        <v>1299</v>
      </c>
      <c r="B127" s="2161"/>
      <c r="C127" s="2161"/>
      <c r="D127" s="2458" t="e">
        <f ca="1" t="shared" si="7"/>
        <v>#VALUE!</v>
      </c>
      <c r="E127" s="2466"/>
      <c r="F127" s="2466"/>
      <c r="G127" s="2466"/>
      <c r="H127" s="2466"/>
      <c r="I127" s="2459"/>
      <c r="AA127" s="1985"/>
    </row>
    <row r="128" customHeight="1" spans="1:27">
      <c r="A128" s="1686" t="s">
        <v>113</v>
      </c>
      <c r="B128" s="1686"/>
      <c r="C128" s="1686"/>
      <c r="D128" s="1686"/>
      <c r="E128" s="1686"/>
      <c r="F128" s="1686"/>
      <c r="G128" s="1686"/>
      <c r="H128" s="1686"/>
      <c r="I128" s="1686"/>
      <c r="AA128" s="1985"/>
    </row>
    <row r="129" customHeight="1" spans="1:27">
      <c r="A129" s="2478" t="s">
        <v>1300</v>
      </c>
      <c r="B129" s="2479"/>
      <c r="C129" s="2480" t="s">
        <v>1301</v>
      </c>
      <c r="D129" s="2481"/>
      <c r="E129" s="2481"/>
      <c r="F129" s="2481"/>
      <c r="G129" s="2481"/>
      <c r="H129" s="2482"/>
      <c r="I129" s="2497"/>
      <c r="AA129" s="1985"/>
    </row>
    <row r="130" customHeight="1" spans="1:27">
      <c r="A130" s="2483">
        <v>1</v>
      </c>
      <c r="B130" s="2484"/>
      <c r="C130" s="2484"/>
      <c r="D130" s="2485"/>
      <c r="E130" s="2485"/>
      <c r="F130" s="2485"/>
      <c r="G130" s="2485"/>
      <c r="H130" s="2486"/>
      <c r="I130" s="2498"/>
      <c r="AA130" s="1985"/>
    </row>
    <row r="131" customHeight="1" spans="1:27">
      <c r="A131" s="2483">
        <v>2</v>
      </c>
      <c r="B131" s="2484"/>
      <c r="C131" s="2484"/>
      <c r="D131" s="2485"/>
      <c r="E131" s="2485"/>
      <c r="F131" s="2485"/>
      <c r="G131" s="2485"/>
      <c r="H131" s="2486"/>
      <c r="I131" s="2498"/>
      <c r="AA131" s="1985"/>
    </row>
    <row r="132" customHeight="1" spans="1:27">
      <c r="A132" s="2483">
        <v>3</v>
      </c>
      <c r="B132" s="2484"/>
      <c r="C132" s="2484"/>
      <c r="D132" s="2485"/>
      <c r="E132" s="2485"/>
      <c r="F132" s="2485"/>
      <c r="G132" s="2485"/>
      <c r="H132" s="2486"/>
      <c r="I132" s="2498"/>
      <c r="AA132" s="1985"/>
    </row>
    <row r="133" customHeight="1" spans="1:9">
      <c r="A133" s="2487"/>
      <c r="B133" s="2488"/>
      <c r="C133" s="2488"/>
      <c r="D133" s="2489"/>
      <c r="E133" s="2489"/>
      <c r="F133" s="2489"/>
      <c r="G133" s="2489"/>
      <c r="H133" s="2490"/>
      <c r="I133" s="2499"/>
    </row>
    <row r="134" customHeight="1" spans="1:9">
      <c r="A134" s="2484"/>
      <c r="B134" s="2484"/>
      <c r="C134" s="2484"/>
      <c r="D134" s="2485"/>
      <c r="E134" s="2485"/>
      <c r="F134" s="2485"/>
      <c r="G134" s="2485"/>
      <c r="H134" s="2486"/>
      <c r="I134" s="1985"/>
    </row>
    <row r="135" customHeight="1" spans="1:9">
      <c r="A135" s="1985"/>
      <c r="B135" s="1985"/>
      <c r="C135" s="1985"/>
      <c r="D135" s="1985"/>
      <c r="E135" s="1985"/>
      <c r="F135" s="2491" t="s">
        <v>1302</v>
      </c>
      <c r="G135" s="2492"/>
      <c r="H135" s="2492"/>
      <c r="I135" s="2500" t="s">
        <v>1303</v>
      </c>
    </row>
    <row r="136" customHeight="1" spans="1:9">
      <c r="A136" s="1985"/>
      <c r="B136" s="2493" t="s">
        <v>1304</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2"/>
      <c r="C138" s="2492"/>
      <c r="D138" s="2492"/>
      <c r="E138" s="2492"/>
      <c r="F138" s="2492"/>
      <c r="G138" s="2492"/>
      <c r="H138" s="2492"/>
      <c r="I138" s="2500" t="s">
        <v>1305</v>
      </c>
    </row>
    <row r="139" customHeight="1" spans="1:9">
      <c r="A139" s="1985"/>
      <c r="B139" s="2493" t="s">
        <v>1306</v>
      </c>
      <c r="C139" s="1985"/>
      <c r="D139" s="1985"/>
      <c r="E139" s="1985"/>
      <c r="F139" s="1985"/>
      <c r="G139" s="1985"/>
      <c r="H139" s="1985"/>
      <c r="I139" s="1985"/>
    </row>
    <row r="140" customHeight="1" spans="1:9">
      <c r="A140" s="1985"/>
      <c r="B140" s="2493"/>
      <c r="C140" s="1985"/>
      <c r="D140" s="1985"/>
      <c r="E140" s="1985"/>
      <c r="F140" s="1985"/>
      <c r="G140" s="1985"/>
      <c r="H140" s="1985"/>
      <c r="I140" s="1985"/>
    </row>
    <row r="141" customHeight="1" spans="1:9">
      <c r="A141" s="1985"/>
      <c r="B141" s="2492"/>
      <c r="C141" s="2492"/>
      <c r="D141" s="2492"/>
      <c r="E141" s="2492"/>
      <c r="F141" s="2492"/>
      <c r="G141" s="2492"/>
      <c r="H141" s="2492"/>
      <c r="I141" s="2500" t="s">
        <v>1305</v>
      </c>
    </row>
    <row r="142" customHeight="1" spans="1:9">
      <c r="A142" s="1985"/>
      <c r="B142" s="2493"/>
      <c r="C142" s="2494"/>
      <c r="D142" s="2495"/>
      <c r="E142" s="2495"/>
      <c r="F142" s="2496"/>
      <c r="G142" s="1985"/>
      <c r="H142" s="1985"/>
      <c r="I142" s="1985"/>
    </row>
    <row r="143" s="1982" customFormat="1" customHeight="1" spans="1:35">
      <c r="A143" s="1985"/>
      <c r="B143" s="2493"/>
      <c r="C143" s="2494"/>
      <c r="D143" s="2495"/>
      <c r="E143" s="2495"/>
      <c r="F143" s="2496"/>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6" workbookViewId="0">
      <selection activeCell="K43" sqref="K43"/>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1307</v>
      </c>
      <c r="B1" s="1382" t="s">
        <v>1700</v>
      </c>
      <c r="C1" s="1259" t="s">
        <v>1309</v>
      </c>
      <c r="D1" s="1203"/>
      <c r="E1" s="2101"/>
      <c r="F1" s="1205" t="s">
        <v>1310</v>
      </c>
      <c r="G1" s="1206" t="s">
        <v>1311</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1312</v>
      </c>
      <c r="B2" s="1208">
        <f ca="1">IF(C2="——",ROUND(C49*D3/10000,0),ROUND(C49*D3/10000,0)-D2)</f>
        <v>849808</v>
      </c>
      <c r="C2" s="1209" t="s">
        <v>124</v>
      </c>
      <c r="D2" s="1384" t="e">
        <f ca="1">SUMIF(INDIRECT("'"&amp;F2&amp;"'"&amp;"!A:A"),"承租人权益价值",INDIRECT("'"&amp;F2&amp;"'"&amp;"!c:c"))</f>
        <v>#REF!</v>
      </c>
      <c r="E2" s="1210" t="s">
        <v>1313</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1314</v>
      </c>
      <c r="B3" s="801">
        <f ca="1">IF(C2="——",C49,ROUND(B2*10000/D3,0))</f>
        <v>127890</v>
      </c>
      <c r="C3" s="1212" t="s">
        <v>1315</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02" t="s">
        <v>1319</v>
      </c>
      <c r="AC4" s="1040" t="s">
        <v>1320</v>
      </c>
    </row>
    <row r="5" ht="15" spans="1:29">
      <c r="A5" s="809"/>
      <c r="B5" s="810"/>
      <c r="C5" s="811" t="s">
        <v>1323</v>
      </c>
      <c r="D5" s="812"/>
      <c r="E5" s="2103" t="s">
        <v>1701</v>
      </c>
      <c r="F5" s="814"/>
      <c r="G5" s="2104" t="s">
        <v>1702</v>
      </c>
      <c r="H5" s="812"/>
      <c r="I5" s="2104" t="s">
        <v>1703</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1327</v>
      </c>
      <c r="D6" s="1164"/>
      <c r="E6" s="1165" t="s">
        <v>1327</v>
      </c>
      <c r="F6" s="1166"/>
      <c r="G6" s="1163" t="s">
        <v>1327</v>
      </c>
      <c r="H6" s="1164"/>
      <c r="I6" s="1163" t="s">
        <v>1327</v>
      </c>
      <c r="J6" s="1164"/>
      <c r="K6" s="960" t="s">
        <v>1328</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1329</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1330</v>
      </c>
      <c r="Q7" s="1022"/>
      <c r="R7" s="1023" t="s">
        <v>1331</v>
      </c>
      <c r="S7" s="1024">
        <f t="shared" ref="S7:S15" si="0">F7</f>
        <v>100</v>
      </c>
      <c r="T7" s="1023" t="s">
        <v>1331</v>
      </c>
      <c r="U7" s="1024">
        <f t="shared" ref="U7:U15" si="1">H7</f>
        <v>100</v>
      </c>
      <c r="V7" s="1023" t="s">
        <v>1331</v>
      </c>
      <c r="W7" s="1024">
        <f t="shared" ref="W7:W15" si="2">J7</f>
        <v>100</v>
      </c>
      <c r="X7" s="1025"/>
      <c r="Y7" s="969" t="s">
        <v>1330</v>
      </c>
      <c r="Z7" s="1026"/>
      <c r="AA7" s="1042">
        <f>D7/F7</f>
        <v>1</v>
      </c>
      <c r="AB7" s="1042">
        <f>D7/H7</f>
        <v>1</v>
      </c>
      <c r="AC7" s="1042">
        <f>D7/J7</f>
        <v>1</v>
      </c>
    </row>
    <row r="8" s="784" customFormat="1" ht="15.75" spans="1:29">
      <c r="A8" s="821" t="s">
        <v>1332</v>
      </c>
      <c r="B8" s="822"/>
      <c r="C8" s="828" t="s">
        <v>1333</v>
      </c>
      <c r="D8" s="824">
        <v>100</v>
      </c>
      <c r="E8" s="828" t="s">
        <v>1334</v>
      </c>
      <c r="F8" s="826">
        <f>SUMIF(61:61,E8,62:62)-SUMIF(61:61,C8,62:62)+100</f>
        <v>100</v>
      </c>
      <c r="G8" s="828" t="s">
        <v>1334</v>
      </c>
      <c r="H8" s="824">
        <f>SUMIF(61:61,G8,62:62)-SUMIF(61:61,C8,62:62)+100</f>
        <v>100</v>
      </c>
      <c r="I8" s="828" t="s">
        <v>1334</v>
      </c>
      <c r="J8" s="824">
        <f>SUMIF(61:61,I8,62:62)-SUMIF(61:61,C8,62:62)+100</f>
        <v>100</v>
      </c>
      <c r="K8" s="966"/>
      <c r="L8" s="967"/>
      <c r="M8" s="968"/>
      <c r="N8" s="968"/>
      <c r="O8" s="968"/>
      <c r="P8" s="969" t="s">
        <v>1335</v>
      </c>
      <c r="Q8" s="1026"/>
      <c r="R8" s="1023" t="s">
        <v>1331</v>
      </c>
      <c r="S8" s="1024">
        <f t="shared" si="0"/>
        <v>100</v>
      </c>
      <c r="T8" s="1023" t="s">
        <v>1331</v>
      </c>
      <c r="U8" s="1024">
        <f t="shared" si="1"/>
        <v>100</v>
      </c>
      <c r="V8" s="1023" t="s">
        <v>1331</v>
      </c>
      <c r="W8" s="1024">
        <f t="shared" si="2"/>
        <v>100</v>
      </c>
      <c r="X8" s="1025"/>
      <c r="Y8" s="969" t="s">
        <v>1335</v>
      </c>
      <c r="Z8" s="1026"/>
      <c r="AA8" s="1042">
        <f t="shared" ref="AA8:AA46" si="3">D8/F8</f>
        <v>1</v>
      </c>
      <c r="AB8" s="1042">
        <f t="shared" ref="AB8:AB46" si="4">D8/H8</f>
        <v>1</v>
      </c>
      <c r="AC8" s="1042">
        <f t="shared" ref="AC8:AC46" si="5">D8/J8</f>
        <v>1</v>
      </c>
    </row>
    <row r="9" s="784" customFormat="1" spans="1:29">
      <c r="A9" s="829" t="s">
        <v>1336</v>
      </c>
      <c r="B9" s="830" t="s">
        <v>1337</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1042">
        <f t="shared" si="5"/>
        <v>1</v>
      </c>
    </row>
    <row r="10" s="785" customFormat="1" ht="27" spans="1:29">
      <c r="A10" s="833"/>
      <c r="B10" s="834" t="s">
        <v>1340</v>
      </c>
      <c r="C10" s="1217" t="s">
        <v>1704</v>
      </c>
      <c r="D10" s="836">
        <v>100</v>
      </c>
      <c r="E10" s="1287" t="s">
        <v>1704</v>
      </c>
      <c r="F10" s="1218">
        <f>SUMIF(65:65,E10,66:66)-SUMIF(65:65,C10,66:66)+100</f>
        <v>100</v>
      </c>
      <c r="G10" s="1217" t="s">
        <v>1704</v>
      </c>
      <c r="H10" s="836">
        <f>SUMIF(65:65,G10,66:66)-SUMIF(65:65,C10,66:66)+100</f>
        <v>100</v>
      </c>
      <c r="I10" s="1217" t="s">
        <v>1704</v>
      </c>
      <c r="J10" s="836">
        <f>SUMIF(65:65,I10,66:66)-SUMIF(65:65,C10,66:66)+100</f>
        <v>100</v>
      </c>
      <c r="K10" s="986">
        <v>0</v>
      </c>
      <c r="L10" s="972"/>
      <c r="M10" s="973"/>
      <c r="N10" s="973"/>
      <c r="O10" s="973"/>
      <c r="P10" s="932"/>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1342</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1331</v>
      </c>
      <c r="S11" s="1024">
        <f t="shared" si="0"/>
        <v>100</v>
      </c>
      <c r="T11" s="1023" t="s">
        <v>1331</v>
      </c>
      <c r="U11" s="1024">
        <f t="shared" si="1"/>
        <v>100</v>
      </c>
      <c r="V11" s="1023" t="s">
        <v>1331</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1042">
        <f t="shared" si="5"/>
        <v>1</v>
      </c>
    </row>
    <row r="15" ht="68.25" spans="1:29">
      <c r="A15" s="851" t="s">
        <v>1343</v>
      </c>
      <c r="B15" s="1169" t="s">
        <v>1705</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1345</v>
      </c>
      <c r="Q15" s="548" t="str">
        <f t="shared" si="6"/>
        <v>商业繁华度</v>
      </c>
      <c r="R15" s="1028" t="s">
        <v>1331</v>
      </c>
      <c r="S15" s="1029">
        <f t="shared" si="0"/>
        <v>100</v>
      </c>
      <c r="T15" s="1028" t="s">
        <v>1331</v>
      </c>
      <c r="U15" s="1029">
        <f t="shared" si="1"/>
        <v>100</v>
      </c>
      <c r="V15" s="1028" t="s">
        <v>1331</v>
      </c>
      <c r="W15" s="1029">
        <f t="shared" si="2"/>
        <v>100</v>
      </c>
      <c r="X15" s="1015"/>
      <c r="Y15" s="980" t="s">
        <v>1345</v>
      </c>
      <c r="Z15" s="1002" t="str">
        <f t="shared" si="7"/>
        <v>商业繁华度</v>
      </c>
      <c r="AA15" s="1044">
        <f t="shared" si="3"/>
        <v>1</v>
      </c>
      <c r="AB15" s="1044">
        <f t="shared" si="4"/>
        <v>1</v>
      </c>
      <c r="AC15" s="1044">
        <f t="shared" si="5"/>
        <v>1</v>
      </c>
    </row>
    <row r="16" ht="15" spans="1:29">
      <c r="A16" s="837"/>
      <c r="B16" s="1171"/>
      <c r="C16" s="857" t="s">
        <v>1346</v>
      </c>
      <c r="D16" s="858"/>
      <c r="E16" s="857" t="s">
        <v>1346</v>
      </c>
      <c r="F16" s="1222"/>
      <c r="G16" s="857" t="s">
        <v>1346</v>
      </c>
      <c r="H16" s="860"/>
      <c r="I16" s="857" t="s">
        <v>1346</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1347</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1331</v>
      </c>
      <c r="S17" s="1029">
        <f>F17</f>
        <v>100</v>
      </c>
      <c r="T17" s="1028" t="s">
        <v>1331</v>
      </c>
      <c r="U17" s="1029">
        <f>H17</f>
        <v>100</v>
      </c>
      <c r="V17" s="1028" t="s">
        <v>1331</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1348</v>
      </c>
      <c r="D18" s="860"/>
      <c r="E18" s="1174" t="s">
        <v>1348</v>
      </c>
      <c r="F18" s="1224"/>
      <c r="G18" s="1182" t="s">
        <v>1348</v>
      </c>
      <c r="H18" s="858"/>
      <c r="I18" s="1174" t="s">
        <v>1346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1349</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1331</v>
      </c>
      <c r="S19" s="1029">
        <f>F19</f>
        <v>100</v>
      </c>
      <c r="T19" s="1028" t="s">
        <v>1331</v>
      </c>
      <c r="U19" s="1029">
        <f>H19</f>
        <v>100</v>
      </c>
      <c r="V19" s="1028" t="s">
        <v>1331</v>
      </c>
      <c r="W19" s="1029">
        <f>J19</f>
        <v>100</v>
      </c>
      <c r="X19" s="1015"/>
      <c r="Y19" s="981"/>
      <c r="Z19" s="1002" t="str">
        <f>Q19</f>
        <v>公共配套设施</v>
      </c>
      <c r="AA19" s="1044">
        <f t="shared" si="3"/>
        <v>1</v>
      </c>
      <c r="AB19" s="1044">
        <f t="shared" si="4"/>
        <v>1</v>
      </c>
      <c r="AC19" s="1044">
        <f t="shared" si="5"/>
        <v>1</v>
      </c>
    </row>
    <row r="20" ht="15" spans="1:29">
      <c r="A20" s="837"/>
      <c r="B20" s="885"/>
      <c r="C20" s="857" t="s">
        <v>1348</v>
      </c>
      <c r="D20" s="858"/>
      <c r="E20" s="866" t="s">
        <v>1348</v>
      </c>
      <c r="F20" s="1222"/>
      <c r="G20" s="983" t="s">
        <v>1348</v>
      </c>
      <c r="H20" s="858"/>
      <c r="I20" s="866" t="s">
        <v>1348</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1350</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1331</v>
      </c>
      <c r="S21" s="1029">
        <f>F21</f>
        <v>100</v>
      </c>
      <c r="T21" s="1028" t="s">
        <v>1331</v>
      </c>
      <c r="U21" s="1029">
        <f>H21</f>
        <v>100</v>
      </c>
      <c r="V21" s="1028" t="s">
        <v>1331</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1706</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1331</v>
      </c>
      <c r="S23" s="1029">
        <f>F23</f>
        <v>100</v>
      </c>
      <c r="T23" s="1028" t="s">
        <v>1331</v>
      </c>
      <c r="U23" s="1029">
        <f>H23</f>
        <v>100</v>
      </c>
      <c r="V23" s="1028" t="s">
        <v>1331</v>
      </c>
      <c r="W23" s="1029">
        <f>J23</f>
        <v>100</v>
      </c>
      <c r="X23" s="1015"/>
      <c r="Y23" s="981"/>
      <c r="Z23" s="1002" t="str">
        <f>Q23</f>
        <v>自然及人文环境</v>
      </c>
      <c r="AA23" s="1044">
        <f t="shared" si="3"/>
        <v>1</v>
      </c>
      <c r="AB23" s="1044">
        <f t="shared" si="4"/>
        <v>1</v>
      </c>
      <c r="AC23" s="1044">
        <f t="shared" si="5"/>
        <v>1</v>
      </c>
    </row>
    <row r="24" ht="15" spans="1:29">
      <c r="A24" s="837"/>
      <c r="B24" s="885"/>
      <c r="C24" s="857" t="s">
        <v>1346</v>
      </c>
      <c r="D24" s="858"/>
      <c r="E24" s="866" t="s">
        <v>1346</v>
      </c>
      <c r="F24" s="1222"/>
      <c r="G24" s="983" t="s">
        <v>1346</v>
      </c>
      <c r="H24" s="858"/>
      <c r="I24" s="866" t="s">
        <v>1346</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1707</v>
      </c>
      <c r="C25" s="871" t="s">
        <v>1708</v>
      </c>
      <c r="D25" s="846">
        <v>100</v>
      </c>
      <c r="E25" s="871" t="s">
        <v>1709</v>
      </c>
      <c r="F25" s="1225">
        <f>SUMIF(86:86,E25,87:87)-SUMIF(86:86,C25,87:87)+100</f>
        <v>99</v>
      </c>
      <c r="G25" s="871" t="s">
        <v>1709</v>
      </c>
      <c r="H25" s="846">
        <f>SUMIF(86:86,G25,87:87)-SUMIF(86:86,C25,87:87)+100</f>
        <v>99</v>
      </c>
      <c r="I25" s="871" t="s">
        <v>1709</v>
      </c>
      <c r="J25" s="846">
        <f>SUMIF(86:86,I25,87:87)-SUMIF(86:86,C25,87:87)+100</f>
        <v>99</v>
      </c>
      <c r="K25" s="986">
        <v>1</v>
      </c>
      <c r="L25" s="978"/>
      <c r="M25" s="962"/>
      <c r="N25" s="962"/>
      <c r="O25" s="962"/>
      <c r="P25" s="1411"/>
      <c r="Q25" s="548" t="str">
        <f t="shared" ref="Q25:Q46" si="11">B25</f>
        <v>临街状况</v>
      </c>
      <c r="R25" s="1028" t="s">
        <v>1331</v>
      </c>
      <c r="S25" s="1029">
        <f>F25</f>
        <v>99</v>
      </c>
      <c r="T25" s="1028" t="s">
        <v>1331</v>
      </c>
      <c r="U25" s="1029">
        <f>H25</f>
        <v>99</v>
      </c>
      <c r="V25" s="1028" t="s">
        <v>1331</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1710</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1331</v>
      </c>
      <c r="S26" s="1029">
        <f>F26</f>
        <v>100</v>
      </c>
      <c r="T26" s="1028" t="s">
        <v>1331</v>
      </c>
      <c r="U26" s="1029">
        <f>H26</f>
        <v>100</v>
      </c>
      <c r="V26" s="1028" t="s">
        <v>1331</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1711</v>
      </c>
      <c r="C27" s="2108" t="s">
        <v>1712</v>
      </c>
      <c r="D27" s="1338">
        <v>100</v>
      </c>
      <c r="E27" s="2108" t="s">
        <v>1712</v>
      </c>
      <c r="F27" s="1339">
        <f>SUMIF(90:90,E27,91:91)-SUMIF(90:90,C27,91:91)+100</f>
        <v>100</v>
      </c>
      <c r="G27" s="2108" t="s">
        <v>1713</v>
      </c>
      <c r="H27" s="1338">
        <f>SUMIF(90:90,G27,91:91)-SUMIF(90:90,C27,91:91)+100</f>
        <v>99</v>
      </c>
      <c r="I27" s="2108" t="s">
        <v>1713</v>
      </c>
      <c r="J27" s="1338">
        <f>SUMIF(90:90,I27,91:91)-SUMIF(90:90,C27,91:91)+100</f>
        <v>99</v>
      </c>
      <c r="K27" s="986">
        <v>1</v>
      </c>
      <c r="L27" s="967"/>
      <c r="M27" s="968"/>
      <c r="N27" s="968"/>
      <c r="O27" s="968"/>
      <c r="P27" s="1411"/>
      <c r="Q27" s="1027" t="str">
        <f t="shared" si="11"/>
        <v>人流量</v>
      </c>
      <c r="R27" s="1023" t="s">
        <v>1331</v>
      </c>
      <c r="S27" s="1024">
        <f>F27</f>
        <v>100</v>
      </c>
      <c r="T27" s="1023" t="s">
        <v>1331</v>
      </c>
      <c r="U27" s="1024">
        <f>H27</f>
        <v>99</v>
      </c>
      <c r="V27" s="1023" t="s">
        <v>1331</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1357</v>
      </c>
      <c r="C28" s="2142"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11"/>
        <v>楼层</v>
      </c>
      <c r="R28" s="1028" t="s">
        <v>1331</v>
      </c>
      <c r="S28" s="1029">
        <f t="shared" ref="S28:S46" si="12">F28</f>
        <v>100</v>
      </c>
      <c r="T28" s="1028" t="s">
        <v>1331</v>
      </c>
      <c r="U28" s="1029">
        <f t="shared" ref="U28:U46" si="13">H28</f>
        <v>100</v>
      </c>
      <c r="V28" s="1028" t="s">
        <v>1331</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1714</v>
      </c>
      <c r="C29" s="2000" t="s">
        <v>1355</v>
      </c>
      <c r="D29" s="846">
        <v>100</v>
      </c>
      <c r="E29" s="2111" t="s">
        <v>1356</v>
      </c>
      <c r="F29" s="1225">
        <f>SUMIF(94:94,E29,95:95)-SUMIF(94:94,C29,95:95)+100</f>
        <v>97</v>
      </c>
      <c r="G29" s="2111" t="s">
        <v>1356</v>
      </c>
      <c r="H29" s="846">
        <f>SUMIF(94:94,G29,95:95)-SUMIF(94:94,C29,95:95)+100</f>
        <v>97</v>
      </c>
      <c r="I29" s="2111" t="s">
        <v>1356</v>
      </c>
      <c r="J29" s="846">
        <f>SUMIF(94:94,I29,95:95)-SUMIF(94:94,C29,95:95)+100</f>
        <v>97</v>
      </c>
      <c r="K29" s="985"/>
      <c r="L29" s="978"/>
      <c r="M29" s="962"/>
      <c r="N29" s="962"/>
      <c r="O29" s="962"/>
      <c r="P29" s="1411"/>
      <c r="Q29" s="548" t="str">
        <f t="shared" si="11"/>
        <v>毗邻道路等级</v>
      </c>
      <c r="R29" s="1028" t="s">
        <v>1331</v>
      </c>
      <c r="S29" s="1029">
        <f t="shared" si="12"/>
        <v>97</v>
      </c>
      <c r="T29" s="1028" t="s">
        <v>1331</v>
      </c>
      <c r="U29" s="1029">
        <f t="shared" si="13"/>
        <v>97</v>
      </c>
      <c r="V29" s="1028" t="s">
        <v>1331</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1331</v>
      </c>
      <c r="S30" s="1029">
        <f t="shared" si="12"/>
        <v>100</v>
      </c>
      <c r="T30" s="1028" t="s">
        <v>1331</v>
      </c>
      <c r="U30" s="1029">
        <f t="shared" si="13"/>
        <v>100</v>
      </c>
      <c r="V30" s="1028" t="s">
        <v>1331</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1331</v>
      </c>
      <c r="S31" s="1029">
        <f t="shared" si="12"/>
        <v>100</v>
      </c>
      <c r="T31" s="1028" t="s">
        <v>1331</v>
      </c>
      <c r="U31" s="1029">
        <f t="shared" si="13"/>
        <v>100</v>
      </c>
      <c r="V31" s="1028" t="s">
        <v>1331</v>
      </c>
      <c r="W31" s="1029">
        <f t="shared" si="14"/>
        <v>100</v>
      </c>
      <c r="X31" s="1015"/>
      <c r="Y31" s="981"/>
      <c r="Z31" s="1002">
        <f t="shared" si="15"/>
        <v>111</v>
      </c>
      <c r="AA31" s="1044">
        <f t="shared" si="3"/>
        <v>1</v>
      </c>
      <c r="AB31" s="1044">
        <f t="shared" si="4"/>
        <v>1</v>
      </c>
      <c r="AC31" s="1044">
        <f t="shared" si="5"/>
        <v>1</v>
      </c>
    </row>
    <row r="32" ht="15" spans="1:29">
      <c r="A32" s="851" t="s">
        <v>1361</v>
      </c>
      <c r="B32" s="830" t="s">
        <v>1715</v>
      </c>
      <c r="C32" s="1390" t="s">
        <v>1716</v>
      </c>
      <c r="D32" s="887">
        <v>100</v>
      </c>
      <c r="E32" s="1390" t="s">
        <v>1717</v>
      </c>
      <c r="F32" s="1225">
        <f>SUMIF(100:100,E32,101:101)-SUMIF(100:100,C32,101:101)+100</f>
        <v>98</v>
      </c>
      <c r="G32" s="1390" t="s">
        <v>1717</v>
      </c>
      <c r="H32" s="846">
        <f>SUMIF(100:100,G32,101:101)-SUMIF(100:100,C32,101:101)+100</f>
        <v>98</v>
      </c>
      <c r="I32" s="1390" t="s">
        <v>1717</v>
      </c>
      <c r="J32" s="887">
        <f>SUMIF(100:100,I32,101:101)-SUMIF(100:100,C32,101:101)+100</f>
        <v>98</v>
      </c>
      <c r="K32" s="986">
        <v>1</v>
      </c>
      <c r="L32" s="978"/>
      <c r="M32" s="962"/>
      <c r="N32" s="962"/>
      <c r="O32" s="962"/>
      <c r="P32" s="1413" t="s">
        <v>1364</v>
      </c>
      <c r="Q32" s="548" t="str">
        <f t="shared" si="11"/>
        <v>商业类型</v>
      </c>
      <c r="R32" s="1028" t="s">
        <v>1331</v>
      </c>
      <c r="S32" s="1029">
        <f t="shared" si="12"/>
        <v>98</v>
      </c>
      <c r="T32" s="1028" t="s">
        <v>1331</v>
      </c>
      <c r="U32" s="1029">
        <f t="shared" si="13"/>
        <v>98</v>
      </c>
      <c r="V32" s="1028" t="s">
        <v>1331</v>
      </c>
      <c r="W32" s="1029">
        <f t="shared" si="14"/>
        <v>98</v>
      </c>
      <c r="X32" s="1015"/>
      <c r="Y32" s="990" t="s">
        <v>1364</v>
      </c>
      <c r="Z32" s="1002" t="str">
        <f t="shared" si="15"/>
        <v>商业类型</v>
      </c>
      <c r="AA32" s="1044">
        <f t="shared" si="3"/>
        <v>1.02040816326531</v>
      </c>
      <c r="AB32" s="1044">
        <f t="shared" si="4"/>
        <v>1.02040816326531</v>
      </c>
      <c r="AC32" s="1044">
        <f t="shared" si="5"/>
        <v>1.02040816326531</v>
      </c>
    </row>
    <row r="33" s="786" customFormat="1" ht="15" spans="1:29">
      <c r="A33" s="893"/>
      <c r="B33" s="834" t="s">
        <v>1365</v>
      </c>
      <c r="C33" s="2112">
        <f>面积!I12</f>
        <v>6310.38</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1331</v>
      </c>
      <c r="S33" s="1031">
        <f t="shared" si="12"/>
        <v>109</v>
      </c>
      <c r="T33" s="1030" t="s">
        <v>1331</v>
      </c>
      <c r="U33" s="1031">
        <f t="shared" si="13"/>
        <v>109</v>
      </c>
      <c r="V33" s="1030" t="s">
        <v>1331</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1366</v>
      </c>
      <c r="C34" s="1392" t="s">
        <v>1367</v>
      </c>
      <c r="D34" s="846">
        <v>100</v>
      </c>
      <c r="E34" s="1392" t="s">
        <v>1367</v>
      </c>
      <c r="F34" s="1225">
        <f>SUMIF(105:105,E34,106:106)-SUMIF(105:105,C34,106:106)+100</f>
        <v>100</v>
      </c>
      <c r="G34" s="1392" t="s">
        <v>1367</v>
      </c>
      <c r="H34" s="846">
        <f>SUMIF(105:105,G34,106:106)-SUMIF(105:105,C34,106:106)+100</f>
        <v>100</v>
      </c>
      <c r="I34" s="1392" t="s">
        <v>1367</v>
      </c>
      <c r="J34" s="846">
        <f>SUMIF(105:105,I34,106:106)-SUMIF(105:105,C34,106:106)+100</f>
        <v>100</v>
      </c>
      <c r="K34" s="986">
        <v>2</v>
      </c>
      <c r="L34" s="978"/>
      <c r="M34" s="962"/>
      <c r="N34" s="962"/>
      <c r="O34" s="962"/>
      <c r="P34" s="1414"/>
      <c r="Q34" s="548" t="str">
        <f t="shared" si="11"/>
        <v>建筑结构</v>
      </c>
      <c r="R34" s="1028" t="s">
        <v>1331</v>
      </c>
      <c r="S34" s="1029">
        <f t="shared" si="12"/>
        <v>100</v>
      </c>
      <c r="T34" s="1028" t="s">
        <v>1331</v>
      </c>
      <c r="U34" s="1029">
        <f t="shared" si="13"/>
        <v>100</v>
      </c>
      <c r="V34" s="1028" t="s">
        <v>1331</v>
      </c>
      <c r="W34" s="1029">
        <f t="shared" si="14"/>
        <v>100</v>
      </c>
      <c r="X34" s="1015"/>
      <c r="Y34" s="990"/>
      <c r="Z34" s="1002" t="str">
        <f t="shared" si="15"/>
        <v>建筑结构</v>
      </c>
      <c r="AA34" s="1044">
        <f t="shared" si="3"/>
        <v>1</v>
      </c>
      <c r="AB34" s="1044">
        <f t="shared" si="4"/>
        <v>1</v>
      </c>
      <c r="AC34" s="1044">
        <f t="shared" si="5"/>
        <v>1</v>
      </c>
    </row>
    <row r="35" ht="15" spans="1:29">
      <c r="A35" s="888"/>
      <c r="B35" s="834" t="s">
        <v>1368</v>
      </c>
      <c r="C35" s="889" t="s">
        <v>1369</v>
      </c>
      <c r="D35" s="846">
        <v>100</v>
      </c>
      <c r="E35" s="889" t="s">
        <v>1369</v>
      </c>
      <c r="F35" s="1225">
        <f>SUMIF(107:107,E35,108:108)-SUMIF(107:107,C35,108:108)+100</f>
        <v>100</v>
      </c>
      <c r="G35" s="889" t="s">
        <v>1380</v>
      </c>
      <c r="H35" s="846">
        <f>SUMIF(107:107,G35,108:108)-SUMIF(107:107,C35,108:108)+100</f>
        <v>99</v>
      </c>
      <c r="I35" s="889" t="s">
        <v>1380</v>
      </c>
      <c r="J35" s="846">
        <f>SUMIF(107:107,I35,108:108)-SUMIF(107:107,C35,108:108)+100</f>
        <v>99</v>
      </c>
      <c r="K35" s="986">
        <v>1</v>
      </c>
      <c r="L35" s="978"/>
      <c r="M35" s="962"/>
      <c r="N35" s="962"/>
      <c r="O35" s="962"/>
      <c r="P35" s="1414"/>
      <c r="Q35" s="548" t="str">
        <f t="shared" si="11"/>
        <v>公共部分装修</v>
      </c>
      <c r="R35" s="1028" t="s">
        <v>1331</v>
      </c>
      <c r="S35" s="1029">
        <f t="shared" si="12"/>
        <v>100</v>
      </c>
      <c r="T35" s="1028" t="s">
        <v>1331</v>
      </c>
      <c r="U35" s="1029">
        <f t="shared" si="13"/>
        <v>99</v>
      </c>
      <c r="V35" s="1028" t="s">
        <v>1331</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619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1331</v>
      </c>
      <c r="S36" s="1029">
        <f t="shared" si="12"/>
        <v>100</v>
      </c>
      <c r="T36" s="1028" t="s">
        <v>1331</v>
      </c>
      <c r="U36" s="1029">
        <f t="shared" si="13"/>
        <v>100</v>
      </c>
      <c r="V36" s="1028" t="s">
        <v>1331</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1375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1331</v>
      </c>
      <c r="S37" s="1024">
        <f t="shared" si="12"/>
        <v>99</v>
      </c>
      <c r="T37" s="1023" t="s">
        <v>1331</v>
      </c>
      <c r="U37" s="1024">
        <f t="shared" si="13"/>
        <v>99</v>
      </c>
      <c r="V37" s="1023" t="s">
        <v>1331</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1718</v>
      </c>
      <c r="C38" s="889" t="s">
        <v>1719</v>
      </c>
      <c r="D38" s="846">
        <v>100</v>
      </c>
      <c r="E38" s="889" t="s">
        <v>1720</v>
      </c>
      <c r="F38" s="1225">
        <f>SUMIF(114:114,E38,115:115)-SUMIF(114:114,C38,115:115)+100</f>
        <v>95</v>
      </c>
      <c r="G38" s="889" t="s">
        <v>1720</v>
      </c>
      <c r="H38" s="846">
        <f>SUMIF(114:114,G38,115:115)-SUMIF(114:114,C38,115:115)+100</f>
        <v>95</v>
      </c>
      <c r="I38" s="889" t="s">
        <v>1720</v>
      </c>
      <c r="J38" s="846">
        <f>SUMIF(114:114,I38,115:115)-SUMIF(114:114,C38,115:115)+100</f>
        <v>95</v>
      </c>
      <c r="K38" s="986">
        <v>5</v>
      </c>
      <c r="L38" s="978"/>
      <c r="M38" s="962"/>
      <c r="N38" s="962"/>
      <c r="O38" s="962"/>
      <c r="P38" s="1414" t="s">
        <v>1364</v>
      </c>
      <c r="Q38" s="548" t="str">
        <f t="shared" si="11"/>
        <v>业态</v>
      </c>
      <c r="R38" s="1028" t="s">
        <v>1331</v>
      </c>
      <c r="S38" s="1029">
        <f t="shared" si="12"/>
        <v>95</v>
      </c>
      <c r="T38" s="1028" t="s">
        <v>1331</v>
      </c>
      <c r="U38" s="1029">
        <f t="shared" si="13"/>
        <v>95</v>
      </c>
      <c r="V38" s="1028" t="s">
        <v>1331</v>
      </c>
      <c r="W38" s="1029">
        <f t="shared" si="14"/>
        <v>95</v>
      </c>
      <c r="X38" s="1015"/>
      <c r="Y38" s="990" t="s">
        <v>1364</v>
      </c>
      <c r="Z38" s="1002" t="str">
        <f t="shared" si="15"/>
        <v>业态</v>
      </c>
      <c r="AA38" s="1044">
        <f t="shared" si="3"/>
        <v>1.05263157894737</v>
      </c>
      <c r="AB38" s="1044">
        <f t="shared" si="4"/>
        <v>1.05263157894737</v>
      </c>
      <c r="AC38" s="1044">
        <f t="shared" si="5"/>
        <v>1.05263157894737</v>
      </c>
    </row>
    <row r="39" ht="15" spans="1:29">
      <c r="A39" s="888"/>
      <c r="B39" s="2109" t="s">
        <v>1376</v>
      </c>
      <c r="C39" s="889" t="s">
        <v>1377</v>
      </c>
      <c r="D39" s="846">
        <v>100</v>
      </c>
      <c r="E39" s="889" t="s">
        <v>1377</v>
      </c>
      <c r="F39" s="1225">
        <f>SUMIF(116:116,E39,117:117)-SUMIF(116:116,C39,117:117)+100</f>
        <v>100</v>
      </c>
      <c r="G39" s="889" t="s">
        <v>1377</v>
      </c>
      <c r="H39" s="846">
        <f>SUMIF(116:116,G39,117:117)-SUMIF(116:116,C39,117:117)+100</f>
        <v>100</v>
      </c>
      <c r="I39" s="889" t="s">
        <v>1377</v>
      </c>
      <c r="J39" s="846">
        <f>SUMIF(116:116,I39,117:117)-SUMIF(116:116,C39,117:117)+100</f>
        <v>100</v>
      </c>
      <c r="K39" s="986"/>
      <c r="L39" s="978"/>
      <c r="M39" s="962"/>
      <c r="N39" s="962"/>
      <c r="O39" s="962"/>
      <c r="P39" s="1414"/>
      <c r="Q39" s="548" t="str">
        <f t="shared" si="11"/>
        <v>层高</v>
      </c>
      <c r="R39" s="1028" t="s">
        <v>1331</v>
      </c>
      <c r="S39" s="1029">
        <f t="shared" si="12"/>
        <v>100</v>
      </c>
      <c r="T39" s="1028" t="s">
        <v>1331</v>
      </c>
      <c r="U39" s="1029">
        <f t="shared" si="13"/>
        <v>100</v>
      </c>
      <c r="V39" s="1028" t="s">
        <v>1331</v>
      </c>
      <c r="W39" s="1029">
        <f t="shared" si="14"/>
        <v>100</v>
      </c>
      <c r="X39" s="1015"/>
      <c r="Y39" s="990"/>
      <c r="Z39" s="1002" t="str">
        <f t="shared" si="15"/>
        <v>层高</v>
      </c>
      <c r="AA39" s="1044">
        <f t="shared" si="3"/>
        <v>1</v>
      </c>
      <c r="AB39" s="1044">
        <f t="shared" si="4"/>
        <v>1</v>
      </c>
      <c r="AC39" s="1044">
        <f t="shared" si="5"/>
        <v>1</v>
      </c>
    </row>
    <row r="40" ht="15" spans="1:29">
      <c r="A40" s="888"/>
      <c r="B40" s="834" t="s">
        <v>1414</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1331</v>
      </c>
      <c r="S40" s="1029">
        <f t="shared" si="12"/>
        <v>100</v>
      </c>
      <c r="T40" s="1028" t="s">
        <v>1331</v>
      </c>
      <c r="U40" s="1029">
        <f t="shared" si="13"/>
        <v>100</v>
      </c>
      <c r="V40" s="1028" t="s">
        <v>1331</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1721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1331</v>
      </c>
      <c r="S41" s="1031">
        <f t="shared" si="12"/>
        <v>100</v>
      </c>
      <c r="T41" s="1030" t="s">
        <v>1331</v>
      </c>
      <c r="U41" s="1031">
        <f t="shared" si="13"/>
        <v>100</v>
      </c>
      <c r="V41" s="1030" t="s">
        <v>1331</v>
      </c>
      <c r="W41" s="1031">
        <f t="shared" si="14"/>
        <v>100</v>
      </c>
      <c r="X41" s="1032"/>
      <c r="Y41" s="990"/>
      <c r="Z41" s="1045" t="str">
        <f t="shared" si="15"/>
        <v>进深比</v>
      </c>
      <c r="AA41" s="1044">
        <f t="shared" si="3"/>
        <v>1</v>
      </c>
      <c r="AB41" s="1044">
        <f t="shared" si="4"/>
        <v>1</v>
      </c>
      <c r="AC41" s="1044">
        <f t="shared" si="5"/>
        <v>1</v>
      </c>
    </row>
    <row r="42" ht="15" spans="1:29">
      <c r="A42" s="888"/>
      <c r="B42" s="834" t="s">
        <v>1379</v>
      </c>
      <c r="C42" s="889" t="s">
        <v>1380</v>
      </c>
      <c r="D42" s="846">
        <v>100</v>
      </c>
      <c r="E42" s="889" t="s">
        <v>1380</v>
      </c>
      <c r="F42" s="1225">
        <f>SUMIF(122:122,E42,123:123)-SUMIF(122:122,C42,123:123)+100</f>
        <v>100</v>
      </c>
      <c r="G42" s="889" t="s">
        <v>1380</v>
      </c>
      <c r="H42" s="846">
        <f>SUMIF(122:122,G42,123:123)-SUMIF(122:122,C42,123:123)+100</f>
        <v>100</v>
      </c>
      <c r="I42" s="889" t="s">
        <v>1380</v>
      </c>
      <c r="J42" s="846">
        <f>SUMIF(122:122,I42,123:123)-SUMIF(122:122,C42,123:123)+100</f>
        <v>100</v>
      </c>
      <c r="K42" s="986">
        <v>1</v>
      </c>
      <c r="L42" s="978"/>
      <c r="M42" s="962"/>
      <c r="N42" s="962"/>
      <c r="O42" s="962"/>
      <c r="P42" s="1414"/>
      <c r="Q42" s="548" t="str">
        <f t="shared" si="11"/>
        <v>内部装修</v>
      </c>
      <c r="R42" s="1028" t="s">
        <v>1331</v>
      </c>
      <c r="S42" s="1029">
        <f t="shared" si="12"/>
        <v>100</v>
      </c>
      <c r="T42" s="1028" t="s">
        <v>1331</v>
      </c>
      <c r="U42" s="1029">
        <f t="shared" si="13"/>
        <v>100</v>
      </c>
      <c r="V42" s="1028" t="s">
        <v>1331</v>
      </c>
      <c r="W42" s="1029">
        <f t="shared" si="14"/>
        <v>100</v>
      </c>
      <c r="X42" s="1015"/>
      <c r="Y42" s="990"/>
      <c r="Z42" s="1002" t="str">
        <f t="shared" si="15"/>
        <v>内部装修</v>
      </c>
      <c r="AA42" s="1044">
        <f t="shared" si="3"/>
        <v>1</v>
      </c>
      <c r="AB42" s="1044">
        <f t="shared" si="4"/>
        <v>1</v>
      </c>
      <c r="AC42" s="1044">
        <f t="shared" si="5"/>
        <v>1</v>
      </c>
    </row>
    <row r="43" ht="15" spans="1:29">
      <c r="A43" s="888"/>
      <c r="B43" s="834" t="s">
        <v>1381</v>
      </c>
      <c r="C43" s="889" t="s">
        <v>1348</v>
      </c>
      <c r="D43" s="846">
        <v>100</v>
      </c>
      <c r="E43" s="889" t="s">
        <v>1346</v>
      </c>
      <c r="F43" s="1225">
        <f>SUMIF(124:124,E43,125:125)-SUMIF(124:124,C43,125:125)+100</f>
        <v>99</v>
      </c>
      <c r="G43" s="889" t="s">
        <v>1346</v>
      </c>
      <c r="H43" s="846">
        <f>SUMIF(124:124,G43,125:125)-SUMIF(124:124,C43,125:125)+100</f>
        <v>99</v>
      </c>
      <c r="I43" s="889" t="s">
        <v>1346</v>
      </c>
      <c r="J43" s="846">
        <f>SUMIF(124:124,I43,125:125)-SUMIF(124:124,C43,125:125)+100</f>
        <v>99</v>
      </c>
      <c r="K43" s="986">
        <v>1</v>
      </c>
      <c r="L43" s="978"/>
      <c r="M43" s="962"/>
      <c r="N43" s="962"/>
      <c r="O43" s="962"/>
      <c r="P43" s="1414"/>
      <c r="Q43" s="548" t="str">
        <f t="shared" si="11"/>
        <v>内部装修维护情况</v>
      </c>
      <c r="R43" s="1028" t="s">
        <v>1331</v>
      </c>
      <c r="S43" s="1029">
        <f t="shared" si="12"/>
        <v>99</v>
      </c>
      <c r="T43" s="1028" t="s">
        <v>1331</v>
      </c>
      <c r="U43" s="1029">
        <f t="shared" si="13"/>
        <v>99</v>
      </c>
      <c r="V43" s="1028" t="s">
        <v>1331</v>
      </c>
      <c r="W43" s="1029">
        <f t="shared" si="14"/>
        <v>99</v>
      </c>
      <c r="X43" s="1015"/>
      <c r="Y43" s="990"/>
      <c r="Z43" s="1002" t="str">
        <f t="shared" si="15"/>
        <v>内部装修维护情况</v>
      </c>
      <c r="AA43" s="1044">
        <f t="shared" si="3"/>
        <v>1.01010101010101</v>
      </c>
      <c r="AB43" s="1044">
        <f t="shared" si="4"/>
        <v>1.01010101010101</v>
      </c>
      <c r="AC43" s="1044">
        <f t="shared" si="5"/>
        <v>1.01010101010101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1331</v>
      </c>
      <c r="S44" s="1024">
        <f t="shared" si="12"/>
        <v>100</v>
      </c>
      <c r="T44" s="1023" t="s">
        <v>1331</v>
      </c>
      <c r="U44" s="1024">
        <f t="shared" si="13"/>
        <v>100</v>
      </c>
      <c r="V44" s="1023" t="s">
        <v>1331</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1331</v>
      </c>
      <c r="S45" s="1029">
        <f t="shared" si="12"/>
        <v>100</v>
      </c>
      <c r="T45" s="1028" t="s">
        <v>1331</v>
      </c>
      <c r="U45" s="1029">
        <f t="shared" si="13"/>
        <v>100</v>
      </c>
      <c r="V45" s="1028" t="s">
        <v>1331</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1331</v>
      </c>
      <c r="S46" s="1029">
        <f t="shared" si="12"/>
        <v>100</v>
      </c>
      <c r="T46" s="1028" t="s">
        <v>1331</v>
      </c>
      <c r="U46" s="1029">
        <f t="shared" si="13"/>
        <v>100</v>
      </c>
      <c r="V46" s="1028" t="s">
        <v>1331</v>
      </c>
      <c r="W46" s="1029">
        <f t="shared" si="14"/>
        <v>100</v>
      </c>
      <c r="X46" s="1015"/>
      <c r="Y46" s="1355"/>
      <c r="Z46" s="1002">
        <f t="shared" si="15"/>
        <v>111</v>
      </c>
      <c r="AA46" s="1044">
        <f t="shared" si="3"/>
        <v>1</v>
      </c>
      <c r="AB46" s="1044">
        <f t="shared" si="4"/>
        <v>1</v>
      </c>
      <c r="AC46" s="1044">
        <f t="shared" si="5"/>
        <v>1</v>
      </c>
    </row>
    <row r="47" ht="15" spans="1:29">
      <c r="A47" s="895" t="s">
        <v>1382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1383</v>
      </c>
      <c r="B48" s="1246"/>
      <c r="C48" s="1247">
        <f>R49</f>
        <v>127890</v>
      </c>
      <c r="D48" s="906" t="s">
        <v>1384</v>
      </c>
      <c r="E48" s="1248">
        <f>R48</f>
        <v>123121</v>
      </c>
      <c r="F48" s="907"/>
      <c r="G48" s="1247">
        <f>T48</f>
        <v>127916</v>
      </c>
      <c r="H48" s="907"/>
      <c r="I48" s="1248">
        <f>V48</f>
        <v>132634</v>
      </c>
      <c r="J48" s="907"/>
      <c r="K48" s="995">
        <f>F48+H48+J48</f>
        <v>0</v>
      </c>
      <c r="L48" s="994"/>
      <c r="M48" s="912"/>
      <c r="N48" s="962"/>
      <c r="O48" s="912"/>
      <c r="P48" s="548" t="str">
        <f>A48</f>
        <v>比较价值（元/平方米）</v>
      </c>
      <c r="Q48" s="548"/>
      <c r="R48" s="1044">
        <f>IF(F1="售价",ROUND(PRODUCT(R47,AA7:AA46),0),ROUND(PRODUCT(R47,AA7:AA46),1))</f>
        <v>123121</v>
      </c>
      <c r="S48" s="1044"/>
      <c r="T48" s="1044">
        <f>IF(F1="售价",ROUND(PRODUCT(T47,AB7:AB46),0),ROUND(PRODUCT(T47,AB7:AB46),1))</f>
        <v>127916</v>
      </c>
      <c r="U48" s="1044"/>
      <c r="V48" s="1044">
        <f>IF(F1="售价",ROUND(PRODUCT(V47,AC7:AC46),0),ROUND(PRODUCT(V47,AC7:AC46),1))</f>
        <v>132634</v>
      </c>
      <c r="W48" s="1044"/>
      <c r="X48" s="950"/>
      <c r="Y48" s="950"/>
      <c r="Z48" s="950"/>
      <c r="AA48" s="950"/>
      <c r="AB48" s="950"/>
      <c r="AC48" s="950"/>
    </row>
    <row r="49" ht="15.75" spans="1:29">
      <c r="A49" s="909" t="s">
        <v>1385</v>
      </c>
      <c r="B49" s="910"/>
      <c r="C49" s="1249">
        <f>R49</f>
        <v>127890</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127890</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1386</v>
      </c>
      <c r="D52" s="590"/>
      <c r="E52" s="915">
        <f>IF(E47&lt;E48,E48/E47-1,E47/E48-1)</f>
        <v>0.0470006973144887</v>
      </c>
      <c r="F52" s="916" t="str">
        <f>IF(OR(E52&gt;=0.3,E52&lt;=-0.3),"超过30%","")</f>
        <v/>
      </c>
      <c r="G52" s="915">
        <f>IF(G47&lt;G48,G48/G47-1,G47/G48-1)</f>
        <v>0.0682545117459894</v>
      </c>
      <c r="H52" s="916" t="str">
        <f>IF(OR(G52&gt;=0.3,G52&lt;=-0.3),"超过30%","")</f>
        <v/>
      </c>
      <c r="I52" s="915">
        <f>IF(I47&lt;I48,I48/I47-1,I47/I48-1)</f>
        <v>0.0900588448009467</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1387</v>
      </c>
      <c r="D53" s="589"/>
      <c r="E53" s="915">
        <f>IF(E48&lt;G48,G48/E48-1,E48/G48-1)</f>
        <v>0.0389454276687162</v>
      </c>
      <c r="F53" s="916" t="str">
        <f>IF(OR(E53&gt;=0.2,E53&lt;=-0.2),"超过20%","")</f>
        <v/>
      </c>
      <c r="G53" s="915">
        <f>IF(G48&lt;I48,I48/G48-1,G48/I48-1)</f>
        <v>0.0368835798492761</v>
      </c>
      <c r="H53" s="916" t="str">
        <f>IF(OR(G53&gt;=0.2,G53&lt;=-0.2),"超过20%","")</f>
        <v/>
      </c>
      <c r="I53" s="915">
        <f>IF(I48&lt;E48,E48/I48-1,I48/E48-1)</f>
        <v>0.0772654543091755</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1388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1389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1329</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1390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1332</v>
      </c>
      <c r="B61" s="1058"/>
      <c r="C61" s="1059" t="s">
        <v>1333</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1391</v>
      </c>
      <c r="B63" s="1064" t="s">
        <v>1337</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1340</v>
      </c>
      <c r="C65" s="1069" t="s">
        <v>1392</v>
      </c>
      <c r="D65" s="1069" t="s">
        <v>1393</v>
      </c>
      <c r="E65" s="1069" t="s">
        <v>1394</v>
      </c>
      <c r="F65" s="1069" t="s">
        <v>1395</v>
      </c>
      <c r="G65" s="1069" t="s">
        <v>1396</v>
      </c>
      <c r="H65" s="1069" t="s">
        <v>1397</v>
      </c>
      <c r="I65" s="1069" t="s">
        <v>1398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1399</v>
      </c>
      <c r="D66" s="1071" t="s">
        <v>1399</v>
      </c>
      <c r="E66" s="1071" t="s">
        <v>1399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1342</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1343</v>
      </c>
      <c r="B76" s="1064" t="s">
        <v>1722</v>
      </c>
      <c r="C76" s="1085" t="s">
        <v>1400</v>
      </c>
      <c r="D76" s="1085" t="s">
        <v>1401</v>
      </c>
      <c r="E76" s="1085" t="s">
        <v>1402</v>
      </c>
      <c r="F76" s="1085" t="s">
        <v>1403</v>
      </c>
      <c r="G76" s="1085" t="s">
        <v>1404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1347</v>
      </c>
      <c r="C78" s="1087" t="s">
        <v>1400</v>
      </c>
      <c r="D78" s="1087" t="s">
        <v>1401</v>
      </c>
      <c r="E78" s="1087" t="s">
        <v>1402</v>
      </c>
      <c r="F78" s="1087" t="s">
        <v>1403</v>
      </c>
      <c r="G78" s="1087" t="s">
        <v>1404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1349</v>
      </c>
      <c r="C80" s="1087" t="s">
        <v>1400</v>
      </c>
      <c r="D80" s="1087" t="s">
        <v>1401</v>
      </c>
      <c r="E80" s="1087" t="s">
        <v>1402</v>
      </c>
      <c r="F80" s="1087" t="s">
        <v>1403</v>
      </c>
      <c r="G80" s="1087" t="s">
        <v>1404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1350</v>
      </c>
      <c r="C82" s="1092" t="s">
        <v>1405</v>
      </c>
      <c r="D82" s="1092" t="s">
        <v>1406</v>
      </c>
      <c r="E82" s="1092" t="s">
        <v>1407</v>
      </c>
      <c r="F82" s="1092" t="s">
        <v>1408</v>
      </c>
      <c r="G82" s="1092" t="s">
        <v>1409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1706</v>
      </c>
      <c r="C84" s="1087" t="s">
        <v>1400</v>
      </c>
      <c r="D84" s="1087" t="s">
        <v>1401</v>
      </c>
      <c r="E84" s="1087" t="s">
        <v>1402</v>
      </c>
      <c r="F84" s="1087" t="s">
        <v>1403</v>
      </c>
      <c r="G84" s="1087" t="s">
        <v>1404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1707</v>
      </c>
      <c r="C86" s="2000" t="s">
        <v>1723</v>
      </c>
      <c r="D86" s="2000" t="s">
        <v>1708</v>
      </c>
      <c r="E86" s="2000" t="s">
        <v>1709</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1724</v>
      </c>
      <c r="D90" s="2000" t="s">
        <v>1712</v>
      </c>
      <c r="E90" s="2000" t="s">
        <v>1713</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1725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1355</v>
      </c>
      <c r="D94" s="2000" t="s">
        <v>1410</v>
      </c>
      <c r="E94" s="2000" t="s">
        <v>1411</v>
      </c>
      <c r="F94" s="2000" t="s">
        <v>1356</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1361</v>
      </c>
      <c r="B100" s="1064" t="s">
        <v>1715</v>
      </c>
      <c r="C100" s="2128" t="s">
        <v>1716</v>
      </c>
      <c r="D100" s="2128"/>
      <c r="E100" s="2128" t="s">
        <v>1717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1365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1366</v>
      </c>
      <c r="C105" s="2000" t="s">
        <v>1367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1368</v>
      </c>
      <c r="C107" s="2000" t="s">
        <v>1369</v>
      </c>
      <c r="D107" s="2000" t="s">
        <v>1380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619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1375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1718</v>
      </c>
      <c r="C114" s="2000" t="s">
        <v>1719</v>
      </c>
      <c r="D114" s="2000" t="s">
        <v>1720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1376</v>
      </c>
      <c r="C116" s="2000" t="s">
        <v>1726</v>
      </c>
      <c r="D116" s="2000" t="s">
        <v>1377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1414</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1727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1379</v>
      </c>
      <c r="C122" s="2000" t="s">
        <v>1369</v>
      </c>
      <c r="D122" s="2000" t="s">
        <v>1380</v>
      </c>
      <c r="E122" s="2000" t="s">
        <v>1415</v>
      </c>
      <c r="F122" s="2130" t="s">
        <v>1416</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1381</v>
      </c>
      <c r="C124" s="1087" t="s">
        <v>1400</v>
      </c>
      <c r="D124" s="1087" t="s">
        <v>1401</v>
      </c>
      <c r="E124" s="1087" t="s">
        <v>1402</v>
      </c>
      <c r="F124" s="1087" t="s">
        <v>1403</v>
      </c>
      <c r="G124" s="1087" t="s">
        <v>1404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05" t="s">
        <v>82</v>
      </c>
    </row>
    <row r="2" spans="1:1">
      <c r="A2" s="3406"/>
    </row>
    <row r="3" ht="18" spans="1:1">
      <c r="A3" s="3407" t="str">
        <f>项目基本情况!B5&amp;"："</f>
        <v>：</v>
      </c>
    </row>
    <row r="4" ht="18.75" spans="1:1">
      <c r="A4" s="3408" t="str">
        <f>"受贵公司委托，我公司对"&amp;项目基本情况!S1&amp;"进行了预评估。"</f>
        <v>受贵公司委托，我公司对北京市房地产抵押价值进行了预评估。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ht="56.25" spans="1:1">
      <c r="A8" s="3411" t="s">
        <v>85</v>
      </c>
    </row>
    <row r="9" ht="18.75" spans="1:1">
      <c r="A9" s="3410" t="s">
        <v>86</v>
      </c>
    </row>
    <row r="10" ht="56.2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ht="75" spans="1:1">
      <c r="A11" s="3411" t="s">
        <v>87</v>
      </c>
    </row>
    <row r="12" ht="18.75" spans="1:1">
      <c r="A12" s="3409" t="s">
        <v>88</v>
      </c>
    </row>
    <row r="13" ht="38.25" customHeight="1" spans="1: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3" t="s">
        <v>89</v>
      </c>
    </row>
    <row r="15" ht="18" spans="1:1">
      <c r="A15" s="3414" t="str">
        <f>TEXT(项目基本情况!D3,"yyyy年m月d日;;")&amp;IF(项目基本情况!D3=项目基本情况!B3,"（评估专业人员实地查勘之日）","")</f>
        <v>2020年12月10日（评估专业人员实地查勘之日）</v>
      </c>
    </row>
    <row r="16" ht="18.75" spans="1:1">
      <c r="A16" s="3413" t="s">
        <v>90</v>
      </c>
    </row>
    <row r="17" ht="75" spans="1:1">
      <c r="A17" s="3408" t="s">
        <v>91</v>
      </c>
    </row>
    <row r="18" ht="56.25" spans="1:1">
      <c r="A18" s="34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3" t="s">
        <v>92</v>
      </c>
    </row>
    <row r="24" ht="18" spans="1:1">
      <c r="A24" s="3360" t="str">
        <f>"本次评估采用的主估价方法为"&amp;结果表!K4&amp;"和"&amp;结果表!L4&amp;"。"</f>
        <v>本次评估采用的主估价方法为基准地价系数修正法和收益法。</v>
      </c>
    </row>
    <row r="25" ht="18" spans="1:1">
      <c r="A25" s="3360"/>
    </row>
    <row r="26" ht="18.75" spans="1:1">
      <c r="A26" s="3415"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R141" sqref="R1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38" sqref="S38"/>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1417</v>
      </c>
      <c r="C1" s="1988" t="s">
        <v>1418</v>
      </c>
      <c r="D1" s="1989"/>
      <c r="E1" s="1989"/>
      <c r="F1" s="1989"/>
      <c r="G1" s="1989"/>
      <c r="H1" s="1989"/>
      <c r="I1" s="1989"/>
      <c r="J1" s="1989"/>
      <c r="K1" s="1989"/>
      <c r="L1" s="1989"/>
      <c r="M1" s="1989"/>
      <c r="N1" s="1989"/>
      <c r="O1" s="1989"/>
      <c r="P1" s="1989"/>
      <c r="Q1" s="1989"/>
      <c r="R1" s="1989"/>
      <c r="S1" s="2068"/>
      <c r="T1" s="1987" t="s">
        <v>1419</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1420</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1421</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1422</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1423</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1424</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1425</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1426</v>
      </c>
      <c r="B17" s="2019" t="s">
        <v>1427</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1428</v>
      </c>
      <c r="E19" s="2030"/>
      <c r="F19" s="2030"/>
      <c r="G19" s="2030"/>
      <c r="H19" s="1660"/>
      <c r="I19" s="2028"/>
      <c r="J19" s="2028"/>
      <c r="K19" s="2028"/>
      <c r="L19" s="2028"/>
      <c r="M19" s="2028"/>
      <c r="N19" s="2028"/>
      <c r="O19" s="2028"/>
      <c r="P19" s="2028"/>
      <c r="Q19" s="2028"/>
      <c r="R19" s="2093"/>
      <c r="S19" s="2027"/>
    </row>
    <row r="20" ht="16.5" spans="1:19">
      <c r="A20" s="2031" t="s">
        <v>1429</v>
      </c>
      <c r="B20" s="2032">
        <f ca="1">IF(D20="——",S22,S22-F20)</f>
        <v>19615</v>
      </c>
      <c r="C20" s="2028"/>
      <c r="D20" s="2033" t="s">
        <v>124</v>
      </c>
      <c r="E20" s="2034"/>
      <c r="F20" s="1987" t="e">
        <f ca="1">SUMIF(INDIRECT("'"&amp;H20&amp;"'"&amp;"!A:A"),"承租人权益价值",INDIRECT("'"&amp;H20&amp;"'"&amp;"!c:c"))</f>
        <v>#REF!</v>
      </c>
      <c r="G20" s="1987" t="s">
        <v>1124</v>
      </c>
      <c r="H20" s="2035"/>
      <c r="I20" s="2028"/>
      <c r="J20" s="2028"/>
      <c r="K20" s="2028"/>
      <c r="L20" s="2028"/>
      <c r="M20" s="2028"/>
      <c r="N20" s="2028"/>
      <c r="O20" s="2028"/>
      <c r="P20" s="2028"/>
      <c r="Q20" s="2028"/>
      <c r="R20" s="2093"/>
      <c r="S20" s="2027"/>
    </row>
    <row r="21" ht="15.75" spans="1:19">
      <c r="A21" s="2031" t="s">
        <v>1430</v>
      </c>
      <c r="B21" s="2032">
        <f ca="1">ROUND(B20*10000/B22,0)</f>
        <v>62437</v>
      </c>
      <c r="C21" s="2028"/>
      <c r="D21" s="2028"/>
      <c r="E21" s="2028"/>
      <c r="F21" s="2028"/>
      <c r="G21" s="2028"/>
      <c r="H21" s="2028"/>
      <c r="I21" s="2028"/>
      <c r="J21" s="2028"/>
      <c r="K21" s="2028"/>
      <c r="L21" s="2028"/>
      <c r="M21" s="2028"/>
      <c r="N21" s="2028"/>
      <c r="O21" s="2028"/>
      <c r="P21" s="2028"/>
      <c r="Q21" s="2028"/>
      <c r="R21" s="2093"/>
      <c r="S21" s="2027"/>
    </row>
    <row r="22" spans="1:19">
      <c r="A22" s="1573" t="s">
        <v>1431</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62437</v>
      </c>
      <c r="S22" s="1598">
        <f>SUM(S24:S10000)</f>
        <v>19615</v>
      </c>
    </row>
    <row r="23" s="1980" customFormat="1" ht="24" spans="1:45">
      <c r="A23" s="2036" t="s">
        <v>1432</v>
      </c>
      <c r="B23" s="2036" t="s">
        <v>368</v>
      </c>
      <c r="C23" s="2036" t="s">
        <v>1419</v>
      </c>
      <c r="D23" s="2036" t="str">
        <f>B5</f>
        <v>修正项2</v>
      </c>
      <c r="E23" s="2036" t="s">
        <v>1419</v>
      </c>
      <c r="F23" s="2036" t="str">
        <f>B7</f>
        <v>修正项3</v>
      </c>
      <c r="G23" s="2036" t="s">
        <v>1419</v>
      </c>
      <c r="H23" s="2036" t="str">
        <f>B9</f>
        <v>修正项4</v>
      </c>
      <c r="I23" s="2036" t="s">
        <v>1419</v>
      </c>
      <c r="J23" s="2036" t="str">
        <f>B11</f>
        <v>修正项5</v>
      </c>
      <c r="K23" s="2036" t="s">
        <v>1419</v>
      </c>
      <c r="L23" s="2036" t="str">
        <f>B13</f>
        <v>修正项6</v>
      </c>
      <c r="M23" s="2036" t="s">
        <v>1419</v>
      </c>
      <c r="N23" s="2036" t="str">
        <f>B15</f>
        <v>修正项7</v>
      </c>
      <c r="O23" s="2036" t="s">
        <v>1419</v>
      </c>
      <c r="P23" s="2036" t="str">
        <f>B17</f>
        <v>楼层</v>
      </c>
      <c r="Q23" s="2036" t="s">
        <v>1419</v>
      </c>
      <c r="R23" s="2096" t="s">
        <v>1433</v>
      </c>
      <c r="S23" s="2036" t="s">
        <v>1434</v>
      </c>
      <c r="T23" s="2097"/>
      <c r="U23" s="2136" t="s">
        <v>1728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1729</v>
      </c>
      <c r="B24" s="2038">
        <f>'比较法-商业出售'!C33</f>
        <v>6310.38</v>
      </c>
      <c r="C24" s="2039">
        <v>1</v>
      </c>
      <c r="D24" s="2040"/>
      <c r="E24" s="2039">
        <v>1</v>
      </c>
      <c r="F24" s="2040"/>
      <c r="G24" s="2039">
        <v>1</v>
      </c>
      <c r="H24" s="2040"/>
      <c r="I24" s="2039">
        <v>1</v>
      </c>
      <c r="J24" s="2040"/>
      <c r="K24" s="2039">
        <v>1</v>
      </c>
      <c r="L24" s="2040"/>
      <c r="M24" s="2039">
        <v>1</v>
      </c>
      <c r="N24" s="2040"/>
      <c r="O24" s="2039">
        <v>1</v>
      </c>
      <c r="P24" s="2040">
        <v>1</v>
      </c>
      <c r="Q24" s="2039">
        <v>1</v>
      </c>
      <c r="R24" s="2137">
        <f>U26</f>
        <v>101033</v>
      </c>
      <c r="S24" s="2138">
        <v>0</v>
      </c>
      <c r="T24" s="2100"/>
      <c r="U24" s="2100">
        <f>'比较法-商业出售'!C49</f>
        <v>127890</v>
      </c>
      <c r="V24" s="2139">
        <v>0.3</v>
      </c>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2">
      <c r="A25" s="2041" t="s">
        <v>1730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62438</v>
      </c>
      <c r="S25" s="1573">
        <f t="shared" ref="S25:S87" si="14">ROUND(R25*B25/10000,0)</f>
        <v>9733</v>
      </c>
      <c r="U25" s="1985">
        <f>U24*V25</f>
        <v>89523</v>
      </c>
      <c r="V25" s="2140">
        <v>0.7</v>
      </c>
    </row>
    <row r="26" spans="1:22">
      <c r="A26" s="2041" t="s">
        <v>1731</v>
      </c>
      <c r="B26" s="2042">
        <f>面积!I26</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62438</v>
      </c>
      <c r="S26" s="1573">
        <f t="shared" si="14"/>
        <v>9882</v>
      </c>
      <c r="U26" s="1985">
        <f>ROUND(U24*V24+U25*V25,0)</f>
        <v>101033</v>
      </c>
      <c r="V26" s="1985">
        <f>U26/U24</f>
        <v>0.789999218078036</v>
      </c>
    </row>
    <row r="27" spans="1:19">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row>
    <row r="28" spans="1:19">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7 D58:D524">
      <formula1>'典型户型修正-商业'!一修多修正项2</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20" sqref="C20"/>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1492</v>
      </c>
      <c r="B1" s="1039"/>
      <c r="C1" s="1530" t="s">
        <v>461</v>
      </c>
      <c r="D1" s="1531" t="s">
        <v>124</v>
      </c>
      <c r="E1" s="1532" t="s">
        <v>1493</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1494</v>
      </c>
      <c r="B2" s="1537">
        <f ca="1">C40+J29+L46</f>
        <v>11707</v>
      </c>
      <c r="C2" s="1538" t="s">
        <v>1495</v>
      </c>
      <c r="D2" s="1538"/>
      <c r="E2" s="1540"/>
      <c r="F2" s="1541"/>
      <c r="G2" s="1542"/>
      <c r="H2" s="1543"/>
      <c r="I2" s="1543"/>
      <c r="J2" s="1543"/>
      <c r="K2" s="1709"/>
      <c r="L2" s="1543"/>
      <c r="M2" s="1543"/>
    </row>
    <row r="3" ht="18" customHeight="1" spans="1:13">
      <c r="A3" s="1544" t="s">
        <v>1496</v>
      </c>
      <c r="B3" s="1545">
        <f ca="1">IF(ISERROR(B2*10000/F43),0,ROUND(B2*10000/F43,0))</f>
        <v>37265</v>
      </c>
      <c r="C3" s="1538" t="s">
        <v>1497</v>
      </c>
      <c r="D3" s="1538"/>
      <c r="E3" s="1540"/>
      <c r="F3" s="1541"/>
      <c r="G3" s="1542"/>
      <c r="H3" s="1546" t="s">
        <v>1498</v>
      </c>
      <c r="I3" s="1710"/>
      <c r="J3" s="1710"/>
      <c r="K3" s="1711"/>
      <c r="L3" s="1710"/>
      <c r="M3" s="1710"/>
    </row>
    <row r="4" ht="18" customHeight="1" spans="1:13">
      <c r="A4" s="1547" t="s">
        <v>1499</v>
      </c>
      <c r="B4" s="1548" t="s">
        <v>1500</v>
      </c>
      <c r="C4" s="1548" t="s">
        <v>1501</v>
      </c>
      <c r="D4" s="1548" t="s">
        <v>1502</v>
      </c>
      <c r="E4" s="1549" t="s">
        <v>1503</v>
      </c>
      <c r="F4" s="1550"/>
      <c r="G4" s="645"/>
      <c r="H4" s="1547" t="s">
        <v>1499</v>
      </c>
      <c r="I4" s="1548" t="s">
        <v>1500</v>
      </c>
      <c r="J4" s="1548" t="s">
        <v>1501</v>
      </c>
      <c r="K4" s="1548" t="s">
        <v>1502</v>
      </c>
      <c r="L4" s="1549" t="s">
        <v>1503</v>
      </c>
      <c r="M4" s="1550"/>
    </row>
    <row r="5" ht="18" customHeight="1" spans="1:13">
      <c r="A5" s="1551">
        <v>1</v>
      </c>
      <c r="B5" s="1552" t="s">
        <v>1504</v>
      </c>
      <c r="C5" s="1553">
        <f ca="1">C6+C10+C12</f>
        <v>930</v>
      </c>
      <c r="D5" s="1554" t="s">
        <v>1505</v>
      </c>
      <c r="E5" s="1555"/>
      <c r="F5" s="1556"/>
      <c r="G5" s="645"/>
      <c r="H5" s="1551">
        <v>1</v>
      </c>
      <c r="I5" s="1552" t="s">
        <v>1504</v>
      </c>
      <c r="J5" s="1553">
        <f ca="1">J6+J10+J12</f>
        <v>0</v>
      </c>
      <c r="K5" s="1554" t="s">
        <v>1505</v>
      </c>
      <c r="L5" s="1555"/>
      <c r="M5" s="1556"/>
    </row>
    <row r="6" ht="18" customHeight="1" spans="1:13">
      <c r="A6" s="1557" t="s">
        <v>1218</v>
      </c>
      <c r="B6" s="1558" t="s">
        <v>1506</v>
      </c>
      <c r="C6" s="1559">
        <f ca="1">ROUND(F6*F8*F7*(1-F9)/10000,0)</f>
        <v>929</v>
      </c>
      <c r="D6" s="1560" t="s">
        <v>1507</v>
      </c>
      <c r="E6" s="1561" t="s">
        <v>1508</v>
      </c>
      <c r="F6" s="1562">
        <f ca="1">INDIRECT("'数据-取费表'!u"&amp;$G$1)</f>
        <v>9</v>
      </c>
      <c r="G6" s="645"/>
      <c r="H6" s="1557" t="s">
        <v>1218</v>
      </c>
      <c r="I6" s="1558" t="s">
        <v>1506</v>
      </c>
      <c r="J6" s="1638">
        <f ca="1">ROUND(M6*M8*M7*(1-M9)/10000,0)</f>
        <v>0</v>
      </c>
      <c r="K6" s="1560" t="s">
        <v>1509</v>
      </c>
      <c r="L6" s="1561" t="s">
        <v>1508</v>
      </c>
      <c r="M6" s="1562">
        <f ca="1">INDIRECT("'数据-取费表'!z"&amp;$G$1)</f>
        <v>0</v>
      </c>
    </row>
    <row r="7" ht="18" customHeight="1" spans="1:13">
      <c r="A7" s="1563"/>
      <c r="B7" s="1564"/>
      <c r="C7" s="1565"/>
      <c r="D7" s="1566"/>
      <c r="E7" s="1567" t="s">
        <v>1510</v>
      </c>
      <c r="F7" s="1562">
        <f ca="1">IF(INDIRECT("'数据-取费表'!ah"&amp;$G$1)="",INDIRECT("'数据-取费表'!k"&amp;$G$1),INDIRECT("'数据-取费表'!ah"&amp;$G$1))</f>
        <v>3141.59</v>
      </c>
      <c r="G7" s="645"/>
      <c r="H7" s="1568"/>
      <c r="I7" s="1564"/>
      <c r="J7" s="1569"/>
      <c r="K7" s="1566"/>
      <c r="L7" s="1561" t="s">
        <v>1510</v>
      </c>
      <c r="M7" s="1562">
        <f ca="1">F7</f>
        <v>3141.59</v>
      </c>
    </row>
    <row r="8" ht="18" customHeight="1" spans="1:13">
      <c r="A8" s="1568"/>
      <c r="B8" s="1564"/>
      <c r="C8" s="1569"/>
      <c r="D8" s="1566"/>
      <c r="E8" s="1561" t="s">
        <v>1511</v>
      </c>
      <c r="F8" s="1562">
        <f ca="1">INDIRECT("'数据-取费表'!ai"&amp;$G$1)</f>
        <v>365</v>
      </c>
      <c r="G8" s="645"/>
      <c r="H8" s="1568"/>
      <c r="I8" s="1564"/>
      <c r="J8" s="1569"/>
      <c r="K8" s="1566"/>
      <c r="L8" s="1561" t="s">
        <v>1511</v>
      </c>
      <c r="M8" s="1562">
        <f ca="1">INDIRECT("'数据-取费表'!ai"&amp;$G$1)</f>
        <v>365</v>
      </c>
    </row>
    <row r="9" ht="18" customHeight="1" spans="1:13">
      <c r="A9" s="1568"/>
      <c r="B9" s="1570"/>
      <c r="C9" s="1569"/>
      <c r="D9" s="1566"/>
      <c r="E9" s="1561" t="s">
        <v>1512</v>
      </c>
      <c r="F9" s="1571">
        <f ca="1">INDIRECT("'数据-取费表'!w"&amp;$G$1)</f>
        <v>0.1</v>
      </c>
      <c r="G9" s="645"/>
      <c r="H9" s="1568"/>
      <c r="I9" s="1570"/>
      <c r="J9" s="1569"/>
      <c r="K9" s="1566"/>
      <c r="L9" s="1575" t="s">
        <v>1512</v>
      </c>
      <c r="M9" s="1580">
        <f ca="1">INDIRECT("'数据-取费表'!ab"&amp;$G$1)</f>
        <v>0</v>
      </c>
    </row>
    <row r="10" ht="18" customHeight="1" spans="1:13">
      <c r="A10" s="1557" t="s">
        <v>1222</v>
      </c>
      <c r="B10" s="1572" t="s">
        <v>1513</v>
      </c>
      <c r="C10" s="1573">
        <f ca="1">ROUND(IF(F10="押一",C6/12*F11,IF(F10="押二",C6/12*2*F11,IF(F10="押三",C6/12*3*F11,C11*F11))),0)</f>
        <v>1</v>
      </c>
      <c r="D10" s="1574" t="s">
        <v>1514</v>
      </c>
      <c r="E10" s="1575" t="s">
        <v>1515</v>
      </c>
      <c r="F10" s="1576" t="s">
        <v>1516</v>
      </c>
      <c r="G10" s="645"/>
      <c r="H10" s="1557" t="s">
        <v>1222</v>
      </c>
      <c r="I10" s="1572" t="s">
        <v>1513</v>
      </c>
      <c r="J10" s="1638">
        <f ca="1">ROUND(IF(M10="押一",J6/12*M11,IF(M10="押二",J6/12*2*M11,IF(M10="押三",J6/12*3*M11,J11*M11))),0)</f>
        <v>0</v>
      </c>
      <c r="K10" s="1574" t="s">
        <v>1514</v>
      </c>
      <c r="L10" s="1575" t="s">
        <v>1515</v>
      </c>
      <c r="M10" s="1576" t="s">
        <v>1732</v>
      </c>
    </row>
    <row r="11" ht="18" customHeight="1" spans="1:13">
      <c r="A11" s="1577"/>
      <c r="B11" s="1578" t="s">
        <v>1517</v>
      </c>
      <c r="C11" s="1579"/>
      <c r="D11" s="1932"/>
      <c r="E11" s="1575" t="s">
        <v>1518</v>
      </c>
      <c r="F11" s="1580">
        <f ca="1">'数据-取费表'!B39</f>
        <v>0.015</v>
      </c>
      <c r="G11" s="645"/>
      <c r="H11" s="1581"/>
      <c r="I11" s="1578" t="s">
        <v>1517</v>
      </c>
      <c r="J11" s="1579"/>
      <c r="K11" s="1714"/>
      <c r="L11" s="1575" t="s">
        <v>1518</v>
      </c>
      <c r="M11" s="1715">
        <f ca="1">'数据-取费表'!B39</f>
        <v>0.015</v>
      </c>
    </row>
    <row r="12" ht="18" customHeight="1" spans="1:13">
      <c r="A12" s="1582" t="s">
        <v>1267</v>
      </c>
      <c r="B12" s="1583" t="s">
        <v>1519</v>
      </c>
      <c r="C12" s="1584"/>
      <c r="D12" s="1585"/>
      <c r="E12" s="1586"/>
      <c r="F12" s="1587"/>
      <c r="G12" s="645"/>
      <c r="H12" s="1582" t="s">
        <v>1267</v>
      </c>
      <c r="I12" s="1583" t="s">
        <v>1519</v>
      </c>
      <c r="J12" s="1584"/>
      <c r="K12" s="1716"/>
      <c r="L12" s="1586"/>
      <c r="M12" s="1717"/>
    </row>
    <row r="13" ht="18" customHeight="1" spans="1:13">
      <c r="A13" s="1588">
        <v>2</v>
      </c>
      <c r="B13" s="1589" t="s">
        <v>1520</v>
      </c>
      <c r="C13" s="1590">
        <f ca="1">ROUND(C29*F13,0)</f>
        <v>1436</v>
      </c>
      <c r="D13" s="1591" t="s">
        <v>1521</v>
      </c>
      <c r="E13" s="1591" t="s">
        <v>1522</v>
      </c>
      <c r="F13" s="1592">
        <f ca="1">INDIRECT("'数据-取费表'!y"&amp;$G$1)</f>
        <v>0.85</v>
      </c>
      <c r="G13" s="645"/>
      <c r="H13" s="1588">
        <v>2</v>
      </c>
      <c r="I13" s="1589" t="s">
        <v>1520</v>
      </c>
      <c r="J13" s="1718">
        <f ca="1">ROUND(J14*J15,0)</f>
        <v>0</v>
      </c>
      <c r="K13" s="1616" t="s">
        <v>1521</v>
      </c>
      <c r="L13" s="1719"/>
      <c r="M13" s="1720"/>
    </row>
    <row r="14" ht="18" customHeight="1" spans="1:13">
      <c r="A14" s="1593" t="s">
        <v>1241</v>
      </c>
      <c r="B14" s="1561" t="s">
        <v>1523</v>
      </c>
      <c r="C14" s="1594">
        <f ca="1">INDIRECT("'数据-取费表'!m"&amp;$G$1)+INDIRECT("'数据-取费表'!t"&amp;$G$1)</f>
        <v>1100</v>
      </c>
      <c r="D14" s="1595" t="s">
        <v>1524</v>
      </c>
      <c r="E14" s="1596"/>
      <c r="F14" s="1597"/>
      <c r="G14" s="645"/>
      <c r="H14" s="1593" t="s">
        <v>1218</v>
      </c>
      <c r="I14" s="1561" t="s">
        <v>1525</v>
      </c>
      <c r="J14" s="1598">
        <f ca="1">C29</f>
        <v>1689</v>
      </c>
      <c r="K14" s="1721"/>
      <c r="L14" s="1722"/>
      <c r="M14" s="1723"/>
    </row>
    <row r="15" s="1526" customFormat="1" ht="18" customHeight="1" spans="1:37">
      <c r="A15" s="1593" t="s">
        <v>1245</v>
      </c>
      <c r="B15" s="1561" t="s">
        <v>1526</v>
      </c>
      <c r="C15" s="1598">
        <f ca="1">ROUND(C14*F15,0)</f>
        <v>44</v>
      </c>
      <c r="D15" s="1599" t="s">
        <v>1527</v>
      </c>
      <c r="E15" s="1599" t="s">
        <v>1528</v>
      </c>
      <c r="F15" s="1600">
        <f>'数据-取费表'!B33</f>
        <v>0.04</v>
      </c>
      <c r="G15" s="1601"/>
      <c r="H15" s="1602" t="s">
        <v>1222</v>
      </c>
      <c r="I15" s="1586" t="s">
        <v>1522</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1248</v>
      </c>
      <c r="B16" s="1561" t="s">
        <v>1529</v>
      </c>
      <c r="C16" s="1598">
        <f ca="1">ROUND(INDIRECT("'数据-取费表'!m"&amp;$G$1)*F16,0)</f>
        <v>0</v>
      </c>
      <c r="D16" s="1561" t="s">
        <v>1527</v>
      </c>
      <c r="E16" s="1561" t="s">
        <v>1528</v>
      </c>
      <c r="F16" s="1603">
        <f ca="1">IF(INDIRECT("'数据-取费表'!c"&amp;$G$1)="住宅",'数据-取费表'!B34,0)</f>
        <v>0</v>
      </c>
      <c r="G16" s="645"/>
      <c r="H16" s="1588" t="s">
        <v>532</v>
      </c>
      <c r="I16" s="1589" t="s">
        <v>1530</v>
      </c>
      <c r="J16" s="1590">
        <f ca="1">ROUND(J17+J22+J23+J24,0)</f>
        <v>40</v>
      </c>
      <c r="K16" s="1616" t="s">
        <v>1531</v>
      </c>
      <c r="L16" s="1617"/>
      <c r="M16" s="1556"/>
    </row>
    <row r="17" s="1526" customFormat="1" ht="18" customHeight="1" spans="1:37">
      <c r="A17" s="1593" t="s">
        <v>1532</v>
      </c>
      <c r="B17" s="1561" t="s">
        <v>1533</v>
      </c>
      <c r="C17" s="1598">
        <f ca="1">ROUND(F17*(F43+INDIRECT("'数据-取费表'!S"&amp;$G$1))/10000,0)</f>
        <v>63</v>
      </c>
      <c r="D17" s="1561" t="s">
        <v>1534</v>
      </c>
      <c r="E17" s="1561" t="s">
        <v>1535</v>
      </c>
      <c r="F17" s="1604">
        <f>'数据-取费表'!B35</f>
        <v>200</v>
      </c>
      <c r="G17" s="1601"/>
      <c r="H17" s="1593" t="s">
        <v>1218</v>
      </c>
      <c r="I17" s="1561" t="s">
        <v>1536</v>
      </c>
      <c r="J17" s="1619">
        <f ca="1">ROUND(IF(AND(项目基本情况!B11="自然人",项目基本情况!B10="北京市"),J6*M17/(1+'数据-取费表'!C42),J18+J19+J20),0)</f>
        <v>15</v>
      </c>
      <c r="K17" s="1595" t="s">
        <v>1537</v>
      </c>
      <c r="L17" s="1620" t="s">
        <v>1538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1539</v>
      </c>
      <c r="B18" s="1561" t="s">
        <v>1540</v>
      </c>
      <c r="C18" s="1598">
        <f ca="1">ROUND(C14*F18,0)</f>
        <v>17</v>
      </c>
      <c r="D18" s="1561" t="s">
        <v>1527</v>
      </c>
      <c r="E18" s="1561" t="s">
        <v>1528</v>
      </c>
      <c r="F18" s="1603">
        <f>'数据-取费表'!B36</f>
        <v>0.015</v>
      </c>
      <c r="G18" s="1601"/>
      <c r="H18" s="1593" t="s">
        <v>1241</v>
      </c>
      <c r="I18" s="1561" t="s">
        <v>1541</v>
      </c>
      <c r="J18" s="1598">
        <f ca="1">ROUND(J6*M18/(1+'数据-取费表'!C42),2)</f>
        <v>0</v>
      </c>
      <c r="K18" s="1620" t="s">
        <v>1542</v>
      </c>
      <c r="L18" s="1561" t="s">
        <v>1528</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1218</v>
      </c>
      <c r="B19" s="1561" t="s">
        <v>1543</v>
      </c>
      <c r="C19" s="1598">
        <f ca="1">SUM(C14:C18)</f>
        <v>1224</v>
      </c>
      <c r="D19" s="1605" t="s">
        <v>1544</v>
      </c>
      <c r="E19" s="1606"/>
      <c r="F19" s="1604"/>
      <c r="G19" s="645"/>
      <c r="H19" s="1593" t="s">
        <v>1245</v>
      </c>
      <c r="I19" s="1561" t="s">
        <v>1545</v>
      </c>
      <c r="J19" s="1598">
        <f ca="1">IF(K19="按租金收入计税",ROUND(J6*M19/(1+'数据-取费表'!C42),2),ROUND(C29*M19*0.7,2))</f>
        <v>14.19</v>
      </c>
      <c r="K19" s="1623" t="s">
        <v>1660</v>
      </c>
      <c r="L19" s="1561" t="s">
        <v>1528</v>
      </c>
      <c r="M19" s="1603">
        <f>IF(K19="按租金收入计税",'数据-取费表'!B51,'数据-取费表'!B50)</f>
        <v>0.012</v>
      </c>
    </row>
    <row r="20" s="1526" customFormat="1" ht="18" customHeight="1" spans="1:37">
      <c r="A20" s="1593" t="s">
        <v>1222</v>
      </c>
      <c r="B20" s="1561" t="s">
        <v>1547</v>
      </c>
      <c r="C20" s="1598">
        <f ca="1">ROUND(C19*F20,0)</f>
        <v>24</v>
      </c>
      <c r="D20" s="1607" t="s">
        <v>1548</v>
      </c>
      <c r="E20" s="1561" t="s">
        <v>1528</v>
      </c>
      <c r="F20" s="1603">
        <f>'数据-取费表'!B37</f>
        <v>0.02</v>
      </c>
      <c r="G20" s="1601"/>
      <c r="H20" s="1593" t="s">
        <v>1248</v>
      </c>
      <c r="I20" s="1560" t="s">
        <v>1549</v>
      </c>
      <c r="J20" s="1625">
        <f ca="1">ROUND(M20*M21/10000,2)</f>
        <v>0.77</v>
      </c>
      <c r="K20" s="1626" t="s">
        <v>1550</v>
      </c>
      <c r="L20" s="1561" t="s">
        <v>1551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1267</v>
      </c>
      <c r="B21" s="1561" t="s">
        <v>1552</v>
      </c>
      <c r="C21" s="1598" t="s">
        <v>124</v>
      </c>
      <c r="D21" s="1607" t="s">
        <v>1553</v>
      </c>
      <c r="E21" s="1561" t="s">
        <v>1554</v>
      </c>
      <c r="F21" s="1603">
        <f>'数据-取费表'!B38</f>
        <v>0.02</v>
      </c>
      <c r="G21" s="1601"/>
      <c r="H21" s="1608"/>
      <c r="I21" s="1727"/>
      <c r="J21" s="1629"/>
      <c r="K21" s="1630"/>
      <c r="L21" s="1561" t="s">
        <v>1555</v>
      </c>
      <c r="M21" s="1562">
        <f ca="1">INDIRECT("'数据-取费表'!r"&amp;$G$1)</f>
        <v>429.4</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1270</v>
      </c>
      <c r="B22" s="1561" t="s">
        <v>1556</v>
      </c>
      <c r="C22" s="1598"/>
      <c r="D22" s="1605" t="str">
        <f>IF(F23&lt;=1,"单利计息。","复利计息。")&amp;"建造成本、管理费用、销售费用产生的利息。"</f>
        <v>复利计息。建造成本、管理费用、销售费用产生的利息。</v>
      </c>
      <c r="E22" s="1606"/>
      <c r="F22" s="1604"/>
      <c r="G22" s="645"/>
      <c r="H22" s="1593" t="s">
        <v>1222</v>
      </c>
      <c r="I22" s="1561" t="s">
        <v>1557</v>
      </c>
      <c r="J22" s="1598">
        <f ca="1">ROUND(J14*M22,1)</f>
        <v>25.3</v>
      </c>
      <c r="K22" s="1620" t="s">
        <v>1558</v>
      </c>
      <c r="L22" s="1561" t="s">
        <v>1528</v>
      </c>
      <c r="M22" s="1632">
        <f ca="1">INDIRECT("'数据-取费表'!Ak"&amp;$G$1)</f>
        <v>0.015</v>
      </c>
    </row>
    <row r="23" s="1526" customFormat="1" ht="18" customHeight="1" spans="1:37">
      <c r="A23" s="1593" t="s">
        <v>1241</v>
      </c>
      <c r="B23" s="1561" t="s">
        <v>1559</v>
      </c>
      <c r="C23" s="1598">
        <f ca="1">IF('数据-取费表'!B22&lt;=1,ROUND(C19*F24*F23/2,0)+ROUND(C20*F24*F23/2,0),ROUND(C19*(POWER((1+F24),F23/2)-1),0)+ROUND(C20*(POWER((1+F24),F23/2)-1),0))</f>
        <v>59</v>
      </c>
      <c r="D23" s="1609" t="str">
        <f>IF(F23&lt;=1,"(建造成本+管理费用)×利率×(建设周期÷2)","(建造成本+管理费用)×((1+利率)^(建设周期÷2)-1)")</f>
        <v>(建造成本+管理费用)×((1+利率)^(建设周期÷2)-1)</v>
      </c>
      <c r="E23" s="1561" t="s">
        <v>1560</v>
      </c>
      <c r="F23" s="1610">
        <f>'数据-取费表'!B20</f>
        <v>2</v>
      </c>
      <c r="G23" s="1601"/>
      <c r="H23" s="1593" t="s">
        <v>1267</v>
      </c>
      <c r="I23" s="1561" t="s">
        <v>1561</v>
      </c>
      <c r="J23" s="1598">
        <f ca="1">ROUND(J13*M23,1)</f>
        <v>0</v>
      </c>
      <c r="K23" s="1620" t="s">
        <v>1562</v>
      </c>
      <c r="L23" s="1561" t="s">
        <v>1528</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1245</v>
      </c>
      <c r="B24" s="1561" t="s">
        <v>1563</v>
      </c>
      <c r="C24" s="1598">
        <f ca="1">ROUND(IF('数据-取费表'!B22&lt;=1,F21*F24*F23/2,F21*(POWER((1+F24),F23/2)-1)),4)</f>
        <v>0.001</v>
      </c>
      <c r="D24" s="1609" t="str">
        <f>IF(F23&lt;=1,"销售费用×利率×(建设周期÷2)","销售费用×((1+利率)^(建设周期÷2)-1)")</f>
        <v>销售费用×((1+利率)^(建设周期÷2)-1)</v>
      </c>
      <c r="E24" s="1561" t="s">
        <v>1564</v>
      </c>
      <c r="F24" s="1611">
        <f ca="1">'数据-取费表'!B40</f>
        <v>0.0475</v>
      </c>
      <c r="G24" s="1601"/>
      <c r="H24" s="1602" t="s">
        <v>1270</v>
      </c>
      <c r="I24" s="1586" t="s">
        <v>1547</v>
      </c>
      <c r="J24" s="1612">
        <f ca="1">ROUND(J5*M24,1)</f>
        <v>0</v>
      </c>
      <c r="K24" s="1613" t="s">
        <v>1565</v>
      </c>
      <c r="L24" s="1586" t="s">
        <v>1528</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1274</v>
      </c>
      <c r="B25" s="1561" t="s">
        <v>1566</v>
      </c>
      <c r="C25" s="1598"/>
      <c r="D25" s="1605" t="s">
        <v>1567</v>
      </c>
      <c r="E25" s="1606"/>
      <c r="F25" s="1604"/>
      <c r="G25" s="645"/>
      <c r="H25" s="1588" t="s">
        <v>1568</v>
      </c>
      <c r="I25" s="1634" t="s">
        <v>1569</v>
      </c>
      <c r="J25" s="1590">
        <f ca="1">J5-J16</f>
        <v>-40</v>
      </c>
      <c r="K25" s="1635" t="s">
        <v>1570</v>
      </c>
      <c r="L25" s="1636"/>
      <c r="M25" s="1637"/>
    </row>
    <row r="26" spans="1:13">
      <c r="A26" s="1593" t="s">
        <v>1241</v>
      </c>
      <c r="B26" s="1561" t="s">
        <v>1571</v>
      </c>
      <c r="C26" s="1598">
        <f ca="1">ROUND((C19+C20)*F26,0)</f>
        <v>250</v>
      </c>
      <c r="D26" s="1607" t="s">
        <v>1572</v>
      </c>
      <c r="E26" s="1575" t="s">
        <v>1573</v>
      </c>
      <c r="F26" s="1571">
        <f ca="1">INDIRECT("'数据-取费表'!q"&amp;$G$1)</f>
        <v>0.2</v>
      </c>
      <c r="G26" s="645"/>
      <c r="H26" s="1551" t="s">
        <v>1574</v>
      </c>
      <c r="I26" s="1552" t="s">
        <v>1575</v>
      </c>
      <c r="J26" s="1638">
        <f ca="1">IF(J5&lt;&gt;0,ROUND(J25*(1-((1+M28)/(1+M26))^M27)/(M26-M28),0),0)</f>
        <v>0</v>
      </c>
      <c r="K26" s="1626" t="s">
        <v>1576</v>
      </c>
      <c r="L26" s="1561" t="s">
        <v>1577</v>
      </c>
      <c r="M26" s="1571">
        <f ca="1">INDIRECT("'数据-取费表'!I"&amp;$G$1)</f>
        <v>0.06</v>
      </c>
    </row>
    <row r="27" ht="18" customHeight="1" spans="1:13">
      <c r="A27" s="1593" t="s">
        <v>1245</v>
      </c>
      <c r="B27" s="1561" t="s">
        <v>1578</v>
      </c>
      <c r="C27" s="1598">
        <f ca="1">ROUND(F21*F26,4)</f>
        <v>0.004</v>
      </c>
      <c r="D27" s="1607" t="s">
        <v>1579</v>
      </c>
      <c r="E27" s="1599"/>
      <c r="F27" s="1600"/>
      <c r="G27" s="645"/>
      <c r="H27" s="1568"/>
      <c r="I27" s="1640"/>
      <c r="J27" s="1569"/>
      <c r="K27" s="1641" t="s">
        <v>1580</v>
      </c>
      <c r="L27" s="1561" t="s">
        <v>1581</v>
      </c>
      <c r="M27" s="1642">
        <f ca="1">INDIRECT("'数据-取费表'!ag"&amp;$G$1)</f>
        <v>0</v>
      </c>
    </row>
    <row r="28" s="1526" customFormat="1" ht="18" customHeight="1" spans="1:37">
      <c r="A28" s="1593" t="s">
        <v>1275</v>
      </c>
      <c r="B28" s="1561" t="s">
        <v>1582</v>
      </c>
      <c r="C28" s="1598">
        <f>ROUND(F28/(1+'数据-取费表'!C42),4)</f>
        <v>0.0533</v>
      </c>
      <c r="D28" s="1607" t="s">
        <v>1583</v>
      </c>
      <c r="E28" s="1561" t="s">
        <v>1528</v>
      </c>
      <c r="F28" s="1603">
        <f>'数据-取费表'!B41</f>
        <v>0.056</v>
      </c>
      <c r="G28" s="1601"/>
      <c r="H28" s="1577"/>
      <c r="I28" s="1644"/>
      <c r="J28" s="1590"/>
      <c r="K28" s="1630"/>
      <c r="L28" s="1561" t="s">
        <v>1584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1585</v>
      </c>
      <c r="B29" s="1586" t="s">
        <v>1586</v>
      </c>
      <c r="C29" s="1612">
        <f ca="1">ROUND((C19+C20+C23+C26)/(1-F21-C24-C27-C28),0)</f>
        <v>1689</v>
      </c>
      <c r="D29" s="1613"/>
      <c r="E29" s="1586"/>
      <c r="F29" s="1614"/>
      <c r="G29" s="1601"/>
      <c r="H29" s="1615" t="s">
        <v>1587</v>
      </c>
      <c r="I29" s="1645" t="s">
        <v>1588</v>
      </c>
      <c r="J29" s="1646">
        <f ca="1">ROUND(J26/(1+F40)^F41,0)</f>
        <v>0</v>
      </c>
      <c r="K29" s="1647" t="s">
        <v>1589</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1530</v>
      </c>
      <c r="C30" s="1590">
        <f ca="1">ROUND(C31+C36+C37+C38,0)</f>
        <v>202</v>
      </c>
      <c r="D30" s="1616" t="s">
        <v>1531</v>
      </c>
      <c r="E30" s="1617"/>
      <c r="F30" s="1556"/>
      <c r="G30" s="645"/>
      <c r="H30" s="1618"/>
      <c r="I30" s="1728"/>
      <c r="J30" s="1729"/>
      <c r="K30" s="1730"/>
      <c r="L30" s="1731"/>
      <c r="M30" s="1732"/>
    </row>
    <row r="31" ht="18" customHeight="1" spans="1:13">
      <c r="A31" s="1593" t="s">
        <v>1218</v>
      </c>
      <c r="B31" s="1561" t="s">
        <v>1536</v>
      </c>
      <c r="C31" s="1619">
        <f ca="1">ROUND(IF(AND(项目基本情况!B11="自然人",项目基本情况!B10="北京市"),C6*F31/(1+'数据-取费表'!C42),C32+C33+C34),0)</f>
        <v>156</v>
      </c>
      <c r="D31" s="1595" t="s">
        <v>1537</v>
      </c>
      <c r="E31" s="1620" t="s">
        <v>1538</v>
      </c>
      <c r="F31" s="1621" t="str">
        <f ca="1">IF(项目基本情况!B11="企业","——",IF('数据-取费表'!B10="住宅",IF(F6*F7*F8/12/(1+'数据-取费表'!F30)&gt;100000,4%,2.5%),IF(F6*F7*F8/12/(1+'数据-取费表'!F30)&gt;100000,12%,7%)))</f>
        <v>——</v>
      </c>
      <c r="G31" s="645"/>
      <c r="H31" s="1622" t="s">
        <v>1590</v>
      </c>
      <c r="I31" s="1728"/>
      <c r="J31" s="1729"/>
      <c r="K31" s="1730"/>
      <c r="L31" s="1731"/>
      <c r="M31" s="1732"/>
    </row>
    <row r="32" ht="18" customHeight="1" spans="1:13">
      <c r="A32" s="1593" t="s">
        <v>1241</v>
      </c>
      <c r="B32" s="1561" t="s">
        <v>1541</v>
      </c>
      <c r="C32" s="1598">
        <f ca="1">IF(项目基本情况!B11="自然人","——",ROUND(C6*F32/(1+'数据-取费表'!C42),2))</f>
        <v>49.55</v>
      </c>
      <c r="D32" s="1620" t="s">
        <v>1542</v>
      </c>
      <c r="E32" s="1561" t="s">
        <v>1528</v>
      </c>
      <c r="F32" s="1611">
        <f>'数据-取费表'!B41</f>
        <v>0.056</v>
      </c>
      <c r="G32" s="645"/>
      <c r="H32" s="1618"/>
      <c r="I32" s="1728"/>
      <c r="J32" s="1729"/>
      <c r="K32" s="1730"/>
      <c r="L32" s="1731"/>
      <c r="M32" s="1732"/>
    </row>
    <row r="33" ht="18" customHeight="1" spans="1:13">
      <c r="A33" s="1593" t="s">
        <v>1245</v>
      </c>
      <c r="B33" s="1561" t="s">
        <v>1545</v>
      </c>
      <c r="C33" s="1598">
        <f ca="1">IF(项目基本情况!B11="自然人","——",IF(D33="按租金收入计税",ROUND(C6*F33/(1+'数据-取费表'!C42),2),IF(D33="按房产原值计税",ROUND(C29*F33*0.7,2),INDIRECT("'数据-取费表'!Aj"&amp;$G$1))))</f>
        <v>106.17</v>
      </c>
      <c r="D33" s="1623" t="s">
        <v>1546</v>
      </c>
      <c r="E33" s="1561" t="s">
        <v>1528</v>
      </c>
      <c r="F33" s="1603">
        <f>IF(D33="按票据","——",IF(D33="按租金收入计税",'数据-取费表'!B51,'数据-取费表'!B50))</f>
        <v>0.12</v>
      </c>
      <c r="G33" s="645"/>
      <c r="H33" s="1624"/>
      <c r="I33" s="1728"/>
      <c r="J33" s="1729"/>
      <c r="K33" s="1733"/>
      <c r="L33" s="1624"/>
      <c r="M33" s="1624"/>
    </row>
    <row r="34" ht="18" customHeight="1" spans="1:13">
      <c r="A34" s="1557" t="s">
        <v>1248</v>
      </c>
      <c r="B34" s="1560" t="s">
        <v>1549</v>
      </c>
      <c r="C34" s="1625">
        <f ca="1">IF(项目基本情况!B11="自然人","——",ROUND(F34*F35/10000,2))</f>
        <v>0.77</v>
      </c>
      <c r="D34" s="1626" t="s">
        <v>1550</v>
      </c>
      <c r="E34" s="1561" t="s">
        <v>1551</v>
      </c>
      <c r="F34" s="1610">
        <f>'数据-取费表'!B52</f>
        <v>18</v>
      </c>
      <c r="G34" s="645"/>
      <c r="H34" s="1618"/>
      <c r="I34" s="1728"/>
      <c r="J34" s="1729"/>
      <c r="K34" s="1734"/>
      <c r="L34" s="1735"/>
      <c r="M34" s="1735"/>
    </row>
    <row r="35" ht="18" customHeight="1" spans="1:13">
      <c r="A35" s="1627"/>
      <c r="B35" s="1628"/>
      <c r="C35" s="1629"/>
      <c r="D35" s="1630"/>
      <c r="E35" s="1561" t="s">
        <v>1555</v>
      </c>
      <c r="F35" s="1562">
        <f ca="1">INDIRECT("'数据-取费表'!r"&amp;$G$1)</f>
        <v>429.4</v>
      </c>
      <c r="G35" s="645"/>
      <c r="H35" s="1618"/>
      <c r="I35" s="1728"/>
      <c r="J35" s="1729"/>
      <c r="K35" s="1733"/>
      <c r="L35" s="1624"/>
      <c r="M35" s="1624"/>
    </row>
    <row r="36" ht="18" customHeight="1" spans="1:13">
      <c r="A36" s="1631" t="s">
        <v>1222</v>
      </c>
      <c r="B36" s="1561" t="s">
        <v>1557</v>
      </c>
      <c r="C36" s="1598">
        <f ca="1">ROUND(C29*F36,1)</f>
        <v>25.3</v>
      </c>
      <c r="D36" s="1620" t="s">
        <v>1591</v>
      </c>
      <c r="E36" s="1561" t="s">
        <v>1528</v>
      </c>
      <c r="F36" s="1632">
        <f ca="1">INDIRECT("'数据-取费表'!Ak"&amp;$G$1)</f>
        <v>0.015</v>
      </c>
      <c r="G36" s="645"/>
      <c r="H36" s="1624"/>
      <c r="I36" s="1728"/>
      <c r="J36" s="1729"/>
      <c r="K36" s="1736"/>
      <c r="L36" s="1624"/>
      <c r="M36" s="1624"/>
    </row>
    <row r="37" ht="18" customHeight="1" spans="1:13">
      <c r="A37" s="1593" t="s">
        <v>1267</v>
      </c>
      <c r="B37" s="1561" t="s">
        <v>1561</v>
      </c>
      <c r="C37" s="1598">
        <f ca="1">ROUND(C13*F37,1)</f>
        <v>2.2</v>
      </c>
      <c r="D37" s="1620" t="s">
        <v>1562</v>
      </c>
      <c r="E37" s="1561" t="s">
        <v>1528</v>
      </c>
      <c r="F37" s="1633">
        <f ca="1">INDIRECT("'数据-取费表'!Al"&amp;$G$1)</f>
        <v>0.0015</v>
      </c>
      <c r="G37" s="645"/>
      <c r="H37" s="1624"/>
      <c r="I37" s="1728"/>
      <c r="J37" s="1729"/>
      <c r="K37" s="1736"/>
      <c r="L37" s="1624"/>
      <c r="M37" s="1624"/>
    </row>
    <row r="38" ht="18" customHeight="1" spans="1:13">
      <c r="A38" s="1602" t="s">
        <v>1270</v>
      </c>
      <c r="B38" s="1586" t="s">
        <v>1547</v>
      </c>
      <c r="C38" s="1612">
        <f ca="1">ROUND(C5*F38,1)</f>
        <v>18.6</v>
      </c>
      <c r="D38" s="1613" t="s">
        <v>1565</v>
      </c>
      <c r="E38" s="1586" t="s">
        <v>1528</v>
      </c>
      <c r="F38" s="1587">
        <f ca="1">INDIRECT("'数据-取费表'!Am"&amp;$G$1)</f>
        <v>0.02</v>
      </c>
      <c r="G38" s="645"/>
      <c r="H38" s="1624"/>
      <c r="I38" s="1728"/>
      <c r="J38" s="1729"/>
      <c r="K38" s="1737"/>
      <c r="L38" s="1624"/>
      <c r="M38" s="1624"/>
    </row>
    <row r="39" ht="24.6" customHeight="1" spans="1:13">
      <c r="A39" s="1588" t="s">
        <v>1568</v>
      </c>
      <c r="B39" s="1634" t="s">
        <v>1569</v>
      </c>
      <c r="C39" s="1590">
        <f ca="1">C5-C30</f>
        <v>728</v>
      </c>
      <c r="D39" s="1635" t="s">
        <v>1570</v>
      </c>
      <c r="E39" s="1636"/>
      <c r="F39" s="1637"/>
      <c r="G39" s="645"/>
      <c r="H39" s="1624"/>
      <c r="I39" s="1728"/>
      <c r="J39" s="1729"/>
      <c r="K39" s="1737"/>
      <c r="L39" s="1624"/>
      <c r="M39" s="1624"/>
    </row>
    <row r="40" ht="18" customHeight="1" spans="1:13">
      <c r="A40" s="1551" t="s">
        <v>1574</v>
      </c>
      <c r="B40" s="1552" t="s">
        <v>1592</v>
      </c>
      <c r="C40" s="1638">
        <f ca="1">ROUND(C39*(1-((1+F42)/(1+F40))^F41)/(F40-F42),0)</f>
        <v>11707</v>
      </c>
      <c r="D40" s="1626" t="s">
        <v>1576</v>
      </c>
      <c r="E40" s="1561" t="s">
        <v>1577</v>
      </c>
      <c r="F40" s="1571">
        <f ca="1">INDIRECT("'数据-取费表'!I"&amp;$G$1)</f>
        <v>0.06</v>
      </c>
      <c r="G40" s="645"/>
      <c r="H40" s="1639"/>
      <c r="I40" s="1728"/>
      <c r="J40" s="1729"/>
      <c r="K40" s="1737"/>
      <c r="L40" s="1639"/>
      <c r="M40" s="1639"/>
    </row>
    <row r="41" ht="18" customHeight="1" spans="1:13">
      <c r="A41" s="1568"/>
      <c r="B41" s="1640"/>
      <c r="C41" s="1569"/>
      <c r="D41" s="1641" t="s">
        <v>1580</v>
      </c>
      <c r="E41" s="1561" t="s">
        <v>1581</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1584</v>
      </c>
      <c r="F42" s="1571">
        <f ca="1">INDIRECT("'数据-取费表'!v"&amp;$G$1)</f>
        <v>0.03</v>
      </c>
      <c r="G42" s="645"/>
      <c r="H42" s="1643"/>
      <c r="I42" s="1728"/>
      <c r="J42" s="1729"/>
      <c r="K42" s="1736"/>
      <c r="L42" s="1643"/>
      <c r="M42" s="1643"/>
    </row>
    <row r="43" ht="18" customHeight="1" spans="1:13">
      <c r="A43" s="1615" t="s">
        <v>1587</v>
      </c>
      <c r="B43" s="1645" t="s">
        <v>1593</v>
      </c>
      <c r="C43" s="1646">
        <f ca="1">ROUND(C40*10000/F43,0)</f>
        <v>37265</v>
      </c>
      <c r="D43" s="1647" t="s">
        <v>1594</v>
      </c>
      <c r="E43" s="1648" t="s">
        <v>1595</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1596</v>
      </c>
      <c r="P45" s="1639"/>
      <c r="Q45" s="1639"/>
      <c r="R45" s="1639"/>
    </row>
    <row r="46" s="645" customFormat="1" ht="13.5" spans="1:18">
      <c r="A46" s="1654" t="s">
        <v>1597</v>
      </c>
      <c r="C46" s="1655">
        <f ca="1">C68-C40</f>
        <v>-13808</v>
      </c>
      <c r="D46" s="1656" t="str">
        <f>C2</f>
        <v>万元</v>
      </c>
      <c r="E46" s="1650"/>
      <c r="F46" s="1650"/>
      <c r="I46" s="1740" t="s">
        <v>1598</v>
      </c>
      <c r="J46" s="1741"/>
      <c r="K46" s="1742"/>
      <c r="L46" s="1743" t="str">
        <f ca="1">IF(M47="住宅",0,IF(L48&gt;J51,L60,J60))</f>
        <v>0</v>
      </c>
      <c r="O46" s="1744" t="s">
        <v>1599</v>
      </c>
      <c r="P46" s="1745" t="s">
        <v>1600</v>
      </c>
      <c r="Q46" s="1791" t="s">
        <v>1601</v>
      </c>
      <c r="R46" s="1791" t="s">
        <v>1602</v>
      </c>
    </row>
    <row r="47" s="645" customFormat="1" ht="13.5" spans="1:18">
      <c r="A47" s="1657" t="s">
        <v>1499</v>
      </c>
      <c r="B47" s="1658" t="s">
        <v>1500</v>
      </c>
      <c r="C47" s="1933" t="s">
        <v>1501</v>
      </c>
      <c r="D47" s="1658" t="s">
        <v>1502</v>
      </c>
      <c r="E47" s="1659" t="s">
        <v>1503</v>
      </c>
      <c r="F47" s="1660"/>
      <c r="G47" s="1661"/>
      <c r="I47" s="1746" t="s">
        <v>1603</v>
      </c>
      <c r="J47" s="1747" t="s">
        <v>1367</v>
      </c>
      <c r="K47" s="1748" t="s">
        <v>1604</v>
      </c>
      <c r="L47" s="1749">
        <f ca="1">INDIRECT("'数据-取费表'!d"&amp;$G$1)</f>
        <v>40</v>
      </c>
      <c r="M47" s="1750" t="str">
        <f>IF(ISNUMBER(FIND("住宅",C1)),"住宅","非住宅")</f>
        <v>非住宅</v>
      </c>
      <c r="O47" s="1751" t="s">
        <v>1605</v>
      </c>
      <c r="P47" s="1752" t="s">
        <v>1606</v>
      </c>
      <c r="Q47" s="1792">
        <f ca="1">C40+J29</f>
        <v>11707</v>
      </c>
      <c r="R47" s="1792" t="s">
        <v>1607</v>
      </c>
    </row>
    <row r="48" s="645" customFormat="1" ht="26.25" spans="1:18">
      <c r="A48" s="1662" t="s">
        <v>1608</v>
      </c>
      <c r="B48" s="1552" t="s">
        <v>1504</v>
      </c>
      <c r="C48" s="1663">
        <f ca="1">C49+C53+C55</f>
        <v>0</v>
      </c>
      <c r="D48" s="1664"/>
      <c r="E48" s="1665"/>
      <c r="F48" s="1666"/>
      <c r="G48" s="1661"/>
      <c r="H48" s="1667"/>
      <c r="I48" s="707" t="s">
        <v>1609</v>
      </c>
      <c r="J48" s="1753" t="s">
        <v>1610</v>
      </c>
      <c r="K48" s="1754" t="s">
        <v>1611</v>
      </c>
      <c r="L48" s="1755">
        <f ca="1">INDIRECT("'数据-取费表'!f"&amp;$G$1)</f>
        <v>22.94</v>
      </c>
      <c r="O48" s="1751" t="s">
        <v>1612</v>
      </c>
      <c r="P48" s="1752" t="s">
        <v>1613</v>
      </c>
      <c r="Q48" s="1792" t="str">
        <f ca="1">J60</f>
        <v>0</v>
      </c>
      <c r="R48" s="1792" t="s">
        <v>1614</v>
      </c>
    </row>
    <row r="49" s="645" customFormat="1" ht="13.5" spans="1:18">
      <c r="A49" s="1668" t="s">
        <v>1615</v>
      </c>
      <c r="B49" s="1669" t="s">
        <v>1616</v>
      </c>
      <c r="C49" s="1670">
        <f ca="1">ROUND(F49*F51*F50*(1-F52)/10000,0)</f>
        <v>0</v>
      </c>
      <c r="D49" s="1671" t="s">
        <v>1509</v>
      </c>
      <c r="E49" s="1672" t="s">
        <v>1617</v>
      </c>
      <c r="F49" s="1673"/>
      <c r="G49" s="1674"/>
      <c r="H49" s="1667"/>
      <c r="I49" s="707" t="s">
        <v>1618</v>
      </c>
      <c r="J49" s="1756">
        <v>2008</v>
      </c>
      <c r="K49" s="1754" t="s">
        <v>1619</v>
      </c>
      <c r="L49" s="1757"/>
      <c r="O49" s="1758" t="s">
        <v>1620</v>
      </c>
      <c r="P49" s="1752" t="s">
        <v>1621</v>
      </c>
      <c r="Q49" s="1792">
        <f ca="1">C29</f>
        <v>1689</v>
      </c>
      <c r="R49" s="1792" t="s">
        <v>1607</v>
      </c>
    </row>
    <row r="50" s="645" customFormat="1" ht="13.5" spans="1:18">
      <c r="A50" s="1675"/>
      <c r="B50" s="1676"/>
      <c r="C50" s="1934"/>
      <c r="D50" s="1678"/>
      <c r="E50" s="1679" t="s">
        <v>1510</v>
      </c>
      <c r="F50" s="1680">
        <f ca="1">F7</f>
        <v>3141.59</v>
      </c>
      <c r="H50" s="1667"/>
      <c r="I50" s="707" t="s">
        <v>1622</v>
      </c>
      <c r="J50" s="1759">
        <f>SUMPRODUCT((I63:I65=J47)*(J62:L62=J48)*(J63:L65))</f>
        <v>60</v>
      </c>
      <c r="K50" s="1754" t="s">
        <v>1623</v>
      </c>
      <c r="L50" s="1757"/>
      <c r="M50" s="1760"/>
      <c r="O50" s="1758" t="s">
        <v>1624</v>
      </c>
      <c r="P50" s="1752" t="s">
        <v>1625</v>
      </c>
      <c r="Q50" s="1793" t="e">
        <f ca="1">J58</f>
        <v>#VALUE!</v>
      </c>
      <c r="R50" s="1792"/>
    </row>
    <row r="51" s="645" customFormat="1" ht="13.5" spans="1:18">
      <c r="A51" s="1681"/>
      <c r="B51" s="1676"/>
      <c r="C51" s="1677"/>
      <c r="D51" s="1678"/>
      <c r="E51" s="1682" t="s">
        <v>1511</v>
      </c>
      <c r="F51" s="1562">
        <f ca="1">F8</f>
        <v>365</v>
      </c>
      <c r="I51" s="1761" t="s">
        <v>1626</v>
      </c>
      <c r="J51" s="1762">
        <f>IF(J49="",J50,J49+J50-YEAR('数据-取费表'!B2))</f>
        <v>48</v>
      </c>
      <c r="K51" s="1763" t="s">
        <v>1627</v>
      </c>
      <c r="L51" s="1764">
        <f ca="1">ROUND(-PV(INDIRECT("'数据-取费表'!h"&amp;$G$1),J51,(C39-C13*C76),0),0)</f>
        <v>10174</v>
      </c>
      <c r="M51" s="1765"/>
      <c r="O51" s="1758" t="s">
        <v>1628</v>
      </c>
      <c r="P51" s="1752" t="s">
        <v>1629</v>
      </c>
      <c r="Q51" s="1793">
        <f>J52</f>
        <v>0</v>
      </c>
      <c r="R51" s="1792"/>
    </row>
    <row r="52" s="645" customFormat="1" ht="13.5" spans="1:18">
      <c r="A52" s="1681"/>
      <c r="B52" s="1676"/>
      <c r="C52" s="1677"/>
      <c r="D52" s="1678"/>
      <c r="E52" s="1682" t="s">
        <v>1512</v>
      </c>
      <c r="F52" s="1683"/>
      <c r="I52" s="1766" t="s">
        <v>1630</v>
      </c>
      <c r="J52" s="1767"/>
      <c r="K52" s="1766" t="s">
        <v>1631</v>
      </c>
      <c r="L52" s="1767"/>
      <c r="O52" s="1758" t="s">
        <v>1632</v>
      </c>
      <c r="P52" s="1752" t="s">
        <v>1633</v>
      </c>
      <c r="Q52" s="1792">
        <f ca="1">J53</f>
        <v>22.94</v>
      </c>
      <c r="R52" s="1792" t="s">
        <v>1634</v>
      </c>
    </row>
    <row r="53" s="645" customFormat="1" ht="24.75" spans="1:18">
      <c r="A53" s="1935" t="s">
        <v>1635</v>
      </c>
      <c r="B53" s="1936" t="s">
        <v>1513</v>
      </c>
      <c r="C53" s="1573">
        <f ca="1">ROUND(IF(F53="押一",C49/12*F11,IF(F53="押二",C49/12*2*F11,IF(F53="押三",C49/12*3*F11,C54*F11))),0)</f>
        <v>0</v>
      </c>
      <c r="D53" s="1574" t="s">
        <v>1514</v>
      </c>
      <c r="E53" s="1575" t="s">
        <v>1515</v>
      </c>
      <c r="F53" s="1576"/>
      <c r="I53" s="1768" t="s">
        <v>1636</v>
      </c>
      <c r="J53" s="1769">
        <f ca="1">IF(M47="住宅",IF(D1="——",MAX(J51,L48),MAX(J51,L48-'数据-取费表'!B24)),IF(D1="——",MIN(J51,L48),MIN(J51,L48-'数据-取费表'!B24)))</f>
        <v>22.94</v>
      </c>
      <c r="K53" s="1770" t="s">
        <v>1637</v>
      </c>
      <c r="L53" s="1771"/>
      <c r="O53" s="1751" t="s">
        <v>1638</v>
      </c>
      <c r="P53" s="1752" t="s">
        <v>1639</v>
      </c>
      <c r="Q53" s="1792">
        <f ca="1">Q47+Q48</f>
        <v>11707</v>
      </c>
      <c r="R53" s="1792" t="s">
        <v>1640</v>
      </c>
    </row>
    <row r="54" s="645" customFormat="1" ht="13.5" spans="1:18">
      <c r="A54" s="1937"/>
      <c r="B54" s="1578" t="s">
        <v>1517</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1641</v>
      </c>
      <c r="P54" s="1774"/>
      <c r="Q54" s="1774"/>
      <c r="R54" s="1774"/>
    </row>
    <row r="55" s="645" customFormat="1" ht="13.5" spans="1:18">
      <c r="A55" s="1582" t="s">
        <v>1267</v>
      </c>
      <c r="B55" s="1583" t="s">
        <v>1519</v>
      </c>
      <c r="C55" s="1584"/>
      <c r="D55" s="1574"/>
      <c r="E55" s="1686"/>
      <c r="F55" s="1687"/>
      <c r="I55" s="1775" t="s">
        <v>1642</v>
      </c>
      <c r="J55" s="1776" t="e">
        <f ca="1">ROUND(IF(J47="钢混",J57/J50,1-(1-2%)*(J50-J57)/J50),3)</f>
        <v>#VALUE!</v>
      </c>
      <c r="K55" s="1777" t="s">
        <v>1643</v>
      </c>
      <c r="L55" s="1778" t="s">
        <v>1644</v>
      </c>
      <c r="O55" s="1744" t="s">
        <v>1599</v>
      </c>
      <c r="P55" s="1745" t="s">
        <v>1600</v>
      </c>
      <c r="Q55" s="1791" t="s">
        <v>1601</v>
      </c>
      <c r="R55" s="1791" t="s">
        <v>1602</v>
      </c>
    </row>
    <row r="56" s="645" customFormat="1" ht="25.5" spans="1:18">
      <c r="A56" s="1688">
        <v>2</v>
      </c>
      <c r="B56" s="1689" t="s">
        <v>1520</v>
      </c>
      <c r="C56" s="183">
        <f ca="1">C13</f>
        <v>1436</v>
      </c>
      <c r="D56" s="1690"/>
      <c r="E56" s="1691"/>
      <c r="F56" s="1687"/>
      <c r="I56" s="1779" t="s">
        <v>1645</v>
      </c>
      <c r="J56" s="1780" t="s">
        <v>473</v>
      </c>
      <c r="K56" s="707" t="s">
        <v>1646</v>
      </c>
      <c r="L56" s="1755" t="str">
        <f ca="1">IF(L48&lt;J51,"——",L48-J53)</f>
        <v>——</v>
      </c>
      <c r="O56" s="1751" t="s">
        <v>1605</v>
      </c>
      <c r="P56" s="1752" t="s">
        <v>1606</v>
      </c>
      <c r="Q56" s="1792">
        <f ca="1">C40+J29</f>
        <v>11707</v>
      </c>
      <c r="R56" s="1792" t="s">
        <v>1607</v>
      </c>
    </row>
    <row r="57" s="645" customFormat="1" ht="24.75" spans="1:18">
      <c r="A57" s="1692"/>
      <c r="B57" s="1693" t="s">
        <v>1586</v>
      </c>
      <c r="C57" s="193">
        <f ca="1">C29</f>
        <v>1689</v>
      </c>
      <c r="D57" s="1694"/>
      <c r="E57" s="1695"/>
      <c r="F57" s="1696"/>
      <c r="I57" s="1781" t="s">
        <v>1647</v>
      </c>
      <c r="J57" s="1782" t="str">
        <f ca="1">IF(OR(M47="住宅",J51&lt;L48,J56="是"),"——",J51-L48)</f>
        <v>——</v>
      </c>
      <c r="K57" s="707" t="s">
        <v>1648</v>
      </c>
      <c r="L57" s="1755" t="str">
        <f ca="1">IF(L48&lt;J51,"——",IF(L55="比较法",L49,IF(L55="基准地价",L50,L51)))</f>
        <v>——</v>
      </c>
      <c r="O57" s="1751" t="s">
        <v>1612</v>
      </c>
      <c r="P57" s="1752" t="s">
        <v>1649</v>
      </c>
      <c r="Q57" s="1792">
        <f ca="1">L60</f>
        <v>0</v>
      </c>
      <c r="R57" s="1792" t="s">
        <v>1650</v>
      </c>
    </row>
    <row r="58" s="645" customFormat="1" ht="24.75" spans="1:18">
      <c r="A58" s="1697" t="s">
        <v>532</v>
      </c>
      <c r="B58" s="1689" t="s">
        <v>1530</v>
      </c>
      <c r="C58" s="1573">
        <f ca="1">ROUND(C59+C64+C65+C66,0)</f>
        <v>171</v>
      </c>
      <c r="D58" s="1698" t="s">
        <v>1531</v>
      </c>
      <c r="E58" s="1699"/>
      <c r="F58" s="1666"/>
      <c r="I58" s="1781" t="s">
        <v>1651</v>
      </c>
      <c r="J58" s="1783" t="e">
        <f ca="1">IF(J55&lt;0.4,0.4,J55)</f>
        <v>#VALUE!</v>
      </c>
      <c r="K58" s="1763" t="s">
        <v>1652</v>
      </c>
      <c r="L58" s="1755" t="e">
        <f ca="1">ROUND(POWER(1+L52,L47-L48)*(POWER(1+L52,L48)-1)/(POWER(1+L52,L47)-1),4)</f>
        <v>#DIV/0!</v>
      </c>
      <c r="O58" s="1758" t="s">
        <v>1620</v>
      </c>
      <c r="P58" s="1752" t="s">
        <v>1653</v>
      </c>
      <c r="Q58" s="1792">
        <f>IF(L55="比较法",L49,IF(L55="基准地价",L50,0))</f>
        <v>0</v>
      </c>
      <c r="R58" s="1792" t="s">
        <v>1607</v>
      </c>
    </row>
    <row r="59" s="645" customFormat="1" ht="24.75" spans="1:18">
      <c r="A59" s="1593" t="s">
        <v>1218</v>
      </c>
      <c r="B59" s="1693" t="s">
        <v>1536</v>
      </c>
      <c r="C59" s="1619">
        <f ca="1">ROUND(IF(AND(项目基本情况!B11="自然人",项目基本情况!B10="北京市"),C49*F59/(1+'数据-取费表'!C42),C60+C61+C62),0)</f>
        <v>143</v>
      </c>
      <c r="D59" s="1700" t="s">
        <v>1537</v>
      </c>
      <c r="E59" s="1701" t="s">
        <v>1538</v>
      </c>
      <c r="F59" s="1621" t="str">
        <f ca="1">IF(项目基本情况!B11="企业","——",IF('数据-取费表'!B10="住宅",IF(F49*F50*F51/12/(1+'数据-取费表'!F30)&gt;100000,4%,2.5%),IF(F49*F50*F51/12/(1+'数据-取费表'!F30)&gt;100000,12%,7%)))</f>
        <v>——</v>
      </c>
      <c r="I59" s="1781" t="s">
        <v>1654</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1624</v>
      </c>
      <c r="P59" s="1752" t="s">
        <v>1655</v>
      </c>
      <c r="Q59" s="1793">
        <f>L52</f>
        <v>0</v>
      </c>
      <c r="R59" s="1792"/>
    </row>
    <row r="60" s="645" customFormat="1" ht="17.25" spans="1:18">
      <c r="A60" s="1593" t="s">
        <v>1241</v>
      </c>
      <c r="B60" s="1693" t="s">
        <v>1541</v>
      </c>
      <c r="C60" s="1598">
        <f ca="1">IF(项目基本情况!B11="自然人","——",ROUND(C48*F60/(1+'数据-取费表'!C42),2))</f>
        <v>0</v>
      </c>
      <c r="D60" s="1701" t="s">
        <v>1542</v>
      </c>
      <c r="E60" s="1693" t="s">
        <v>1528</v>
      </c>
      <c r="F60" s="1611">
        <f t="shared" ref="F60:F66" si="0">F32</f>
        <v>0.056</v>
      </c>
      <c r="I60" s="1784" t="s">
        <v>1656</v>
      </c>
      <c r="J60" s="2135" t="str">
        <f ca="1">IF(OR(M47="住宅",J51&lt;L48,J56="是"),"0",ROUND(J59/(1+J52)^J53,0))</f>
        <v>0</v>
      </c>
      <c r="K60" s="1786" t="s">
        <v>1657</v>
      </c>
      <c r="L60" s="1785">
        <f ca="1">IF(OR(M47="住宅",L48&lt;J51),0,ROUND(L57*(L58/L59-1),0))</f>
        <v>0</v>
      </c>
      <c r="O60" s="1758" t="s">
        <v>1628</v>
      </c>
      <c r="P60" s="1752" t="s">
        <v>1658</v>
      </c>
      <c r="Q60" s="1792" t="e">
        <f ca="1">L58</f>
        <v>#DIV/0!</v>
      </c>
      <c r="R60" s="1792" t="s">
        <v>1659</v>
      </c>
    </row>
    <row r="61" s="645" customFormat="1" ht="13.5" spans="1:18">
      <c r="A61" s="1593" t="s">
        <v>1245</v>
      </c>
      <c r="B61" s="1693" t="s">
        <v>1545</v>
      </c>
      <c r="C61" s="1598">
        <f ca="1">IF(项目基本情况!B11="自然人","——",IF(D61="按租金收入计税",ROUND(C48*F61,2),IF(D61="按房产原值计税",ROUND(C57*F61*0.7,2),INDIRECT("'数据-取费表'!Aj"&amp;$G$1))))</f>
        <v>141.88</v>
      </c>
      <c r="D61" s="1623" t="s">
        <v>1660</v>
      </c>
      <c r="E61" s="1693" t="s">
        <v>1528</v>
      </c>
      <c r="F61" s="1603">
        <f t="shared" si="0"/>
        <v>0.12</v>
      </c>
      <c r="I61" s="1639"/>
      <c r="J61" s="1639"/>
      <c r="K61" s="1639"/>
      <c r="L61" s="1639"/>
      <c r="O61" s="1758" t="s">
        <v>1632</v>
      </c>
      <c r="P61" s="1752" t="str">
        <f>K59</f>
        <v>建筑物剩余耐用年限下的土地年期修正系数Kn</v>
      </c>
      <c r="Q61" s="1792" t="e">
        <f ca="1">L59</f>
        <v>#DIV/0!</v>
      </c>
      <c r="R61" s="1792" t="s">
        <v>1661</v>
      </c>
    </row>
    <row r="62" s="645" customFormat="1" ht="13.5" spans="1:18">
      <c r="A62" s="1593" t="s">
        <v>1248</v>
      </c>
      <c r="B62" s="1702" t="s">
        <v>1549</v>
      </c>
      <c r="C62" s="1625">
        <f ca="1">IF(项目基本情况!B11="自然人","——",ROUND(F62*F63/10000,2))</f>
        <v>0.77</v>
      </c>
      <c r="D62" s="1703" t="s">
        <v>1550</v>
      </c>
      <c r="E62" s="1693" t="s">
        <v>1551</v>
      </c>
      <c r="F62" s="1610">
        <f t="shared" si="0"/>
        <v>18</v>
      </c>
      <c r="I62" s="1787" t="s">
        <v>1662</v>
      </c>
      <c r="J62" s="1788" t="s">
        <v>1663</v>
      </c>
      <c r="K62" s="1788" t="s">
        <v>1664</v>
      </c>
      <c r="L62" s="1788" t="s">
        <v>1665</v>
      </c>
      <c r="M62" s="1789" t="s">
        <v>1666</v>
      </c>
      <c r="O62" s="1751" t="s">
        <v>1638</v>
      </c>
      <c r="P62" s="1752" t="s">
        <v>1639</v>
      </c>
      <c r="Q62" s="1792">
        <f ca="1">Q56+Q57</f>
        <v>11707</v>
      </c>
      <c r="R62" s="1792" t="s">
        <v>1640</v>
      </c>
    </row>
    <row r="63" s="645" customFormat="1" ht="13.5" spans="1:18">
      <c r="A63" s="1608"/>
      <c r="B63" s="1704"/>
      <c r="C63" s="1629"/>
      <c r="D63" s="1705"/>
      <c r="E63" s="1693" t="s">
        <v>1555</v>
      </c>
      <c r="F63" s="1562">
        <f ca="1" t="shared" si="0"/>
        <v>429.4</v>
      </c>
      <c r="I63" s="1787" t="s">
        <v>1667</v>
      </c>
      <c r="J63" s="1788">
        <v>70</v>
      </c>
      <c r="K63" s="1788">
        <v>50</v>
      </c>
      <c r="L63" s="1788">
        <v>80</v>
      </c>
      <c r="M63" s="1790">
        <v>0.02</v>
      </c>
      <c r="O63" s="1739" t="s">
        <v>1668</v>
      </c>
      <c r="P63" s="1774"/>
      <c r="Q63" s="1774"/>
      <c r="R63" s="1774"/>
    </row>
    <row r="64" s="645" customFormat="1" ht="13.5" spans="1:18">
      <c r="A64" s="1593" t="s">
        <v>1222</v>
      </c>
      <c r="B64" s="1693" t="s">
        <v>1557</v>
      </c>
      <c r="C64" s="1598">
        <f ca="1">ROUND(C57*F64,1)</f>
        <v>25.3</v>
      </c>
      <c r="D64" s="1701" t="s">
        <v>1591</v>
      </c>
      <c r="E64" s="1693" t="s">
        <v>1528</v>
      </c>
      <c r="F64" s="1632">
        <f ca="1" t="shared" si="0"/>
        <v>0.015</v>
      </c>
      <c r="I64" s="1787" t="s">
        <v>1669</v>
      </c>
      <c r="J64" s="1788">
        <v>50</v>
      </c>
      <c r="K64" s="1788">
        <v>35</v>
      </c>
      <c r="L64" s="1788">
        <v>60</v>
      </c>
      <c r="M64" s="1789">
        <v>0</v>
      </c>
      <c r="O64" s="1744" t="s">
        <v>1599</v>
      </c>
      <c r="P64" s="1745" t="s">
        <v>1600</v>
      </c>
      <c r="Q64" s="1791" t="s">
        <v>1601</v>
      </c>
      <c r="R64" s="1791" t="s">
        <v>1602</v>
      </c>
    </row>
    <row r="65" s="645" customFormat="1" ht="13.5" spans="1:18">
      <c r="A65" s="1593" t="s">
        <v>1267</v>
      </c>
      <c r="B65" s="1693" t="s">
        <v>1561</v>
      </c>
      <c r="C65" s="1598">
        <f ca="1">ROUND(C56*F65,1)</f>
        <v>2.2</v>
      </c>
      <c r="D65" s="1701" t="s">
        <v>1562</v>
      </c>
      <c r="E65" s="1693" t="s">
        <v>1528</v>
      </c>
      <c r="F65" s="1633">
        <f ca="1" t="shared" si="0"/>
        <v>0.0015</v>
      </c>
      <c r="I65" s="1787" t="s">
        <v>1670</v>
      </c>
      <c r="J65" s="1788">
        <v>40</v>
      </c>
      <c r="K65" s="1788">
        <v>30</v>
      </c>
      <c r="L65" s="1788">
        <v>50</v>
      </c>
      <c r="M65" s="1790">
        <v>0.02</v>
      </c>
      <c r="O65" s="1751" t="s">
        <v>1605</v>
      </c>
      <c r="P65" s="1752" t="s">
        <v>1606</v>
      </c>
      <c r="Q65" s="1792">
        <f ca="1">C40+J29</f>
        <v>11707</v>
      </c>
      <c r="R65" s="1792" t="s">
        <v>1607</v>
      </c>
    </row>
    <row r="66" s="645" customFormat="1" ht="17.25" spans="1:18">
      <c r="A66" s="1593" t="s">
        <v>1270</v>
      </c>
      <c r="B66" s="1693" t="s">
        <v>1547</v>
      </c>
      <c r="C66" s="1598">
        <f ca="1">ROUND(C48*F66,1)</f>
        <v>0</v>
      </c>
      <c r="D66" s="1701" t="s">
        <v>1565</v>
      </c>
      <c r="E66" s="1693" t="s">
        <v>1528</v>
      </c>
      <c r="F66" s="1571">
        <f ca="1" t="shared" si="0"/>
        <v>0.02</v>
      </c>
      <c r="O66" s="1751" t="s">
        <v>1612</v>
      </c>
      <c r="P66" s="1752" t="s">
        <v>1649</v>
      </c>
      <c r="Q66" s="1792">
        <f ca="1">L60</f>
        <v>0</v>
      </c>
      <c r="R66" s="1792" t="s">
        <v>1650</v>
      </c>
    </row>
    <row r="67" s="645" customFormat="1" ht="17.25" spans="1:18">
      <c r="A67" s="1688" t="s">
        <v>1568</v>
      </c>
      <c r="B67" s="1794" t="s">
        <v>1569</v>
      </c>
      <c r="C67" s="1573">
        <f ca="1">C48-C58</f>
        <v>-171</v>
      </c>
      <c r="D67" s="1700" t="s">
        <v>1570</v>
      </c>
      <c r="E67" s="1795"/>
      <c r="F67" s="1796"/>
      <c r="O67" s="1758" t="s">
        <v>1620</v>
      </c>
      <c r="P67" s="1752" t="s">
        <v>1653</v>
      </c>
      <c r="Q67" s="1817">
        <f ca="1">L51</f>
        <v>10174</v>
      </c>
      <c r="R67" s="1792" t="s">
        <v>1671</v>
      </c>
    </row>
    <row r="68" s="645" customFormat="1" ht="17.25" spans="1:18">
      <c r="A68" s="1797" t="s">
        <v>1574</v>
      </c>
      <c r="B68" s="1798" t="s">
        <v>1592</v>
      </c>
      <c r="C68" s="1638">
        <f ca="1">ROUND(C67*(1-((1+F70)/(1+F68))^F69)/(F68-F70),0)</f>
        <v>-2101</v>
      </c>
      <c r="D68" s="1703" t="s">
        <v>1576</v>
      </c>
      <c r="E68" s="1693" t="s">
        <v>1577</v>
      </c>
      <c r="F68" s="1571">
        <f ca="1" t="shared" ref="F68:F71" si="1">F40</f>
        <v>0.06</v>
      </c>
      <c r="O68" s="1758" t="s">
        <v>1624</v>
      </c>
      <c r="P68" s="1816" t="s">
        <v>1672</v>
      </c>
      <c r="Q68" s="1792">
        <f ca="1">ROUND(Q69-Q70*Q71,0)</f>
        <v>606</v>
      </c>
      <c r="R68" s="1792" t="s">
        <v>1673</v>
      </c>
    </row>
    <row r="69" s="645" customFormat="1" ht="13.5" spans="1:18">
      <c r="A69" s="1799"/>
      <c r="B69" s="1800"/>
      <c r="C69" s="1569"/>
      <c r="D69" s="1801" t="s">
        <v>1580</v>
      </c>
      <c r="E69" s="1693" t="s">
        <v>1581</v>
      </c>
      <c r="F69" s="1642">
        <f ca="1" t="shared" si="1"/>
        <v>22.94</v>
      </c>
      <c r="O69" s="1758" t="s">
        <v>1674</v>
      </c>
      <c r="P69" s="1816" t="s">
        <v>1675</v>
      </c>
      <c r="Q69" s="1792">
        <f ca="1">C39</f>
        <v>728</v>
      </c>
      <c r="R69" s="1792" t="s">
        <v>1607</v>
      </c>
    </row>
    <row r="70" s="645" customFormat="1" ht="13.5" spans="1:18">
      <c r="A70" s="1802"/>
      <c r="B70" s="1803"/>
      <c r="C70" s="1590"/>
      <c r="D70" s="1705"/>
      <c r="E70" s="1693" t="s">
        <v>1584</v>
      </c>
      <c r="F70" s="1683"/>
      <c r="O70" s="1758" t="s">
        <v>1676</v>
      </c>
      <c r="P70" s="1816" t="s">
        <v>1677</v>
      </c>
      <c r="Q70" s="1792">
        <f ca="1">C13</f>
        <v>1436</v>
      </c>
      <c r="R70" s="1792" t="s">
        <v>1607</v>
      </c>
    </row>
    <row r="71" s="645" customFormat="1" ht="13.5" spans="1:18">
      <c r="A71" s="1804" t="s">
        <v>1587</v>
      </c>
      <c r="B71" s="1805" t="s">
        <v>1593</v>
      </c>
      <c r="C71" s="1646">
        <f ca="1">ROUND(C68*10000/F71,0)</f>
        <v>-6688</v>
      </c>
      <c r="D71" s="1806" t="s">
        <v>1594</v>
      </c>
      <c r="E71" s="1807" t="s">
        <v>1595</v>
      </c>
      <c r="F71" s="1649">
        <f ca="1" t="shared" si="1"/>
        <v>3141.59</v>
      </c>
      <c r="O71" s="1758" t="s">
        <v>1678</v>
      </c>
      <c r="P71" s="1816" t="s">
        <v>1679</v>
      </c>
      <c r="Q71" s="1793">
        <f ca="1">C76</f>
        <v>0.085</v>
      </c>
      <c r="R71" s="1792"/>
    </row>
    <row r="72" s="645" customFormat="1" ht="13.5" spans="2:18">
      <c r="B72" s="1808"/>
      <c r="C72" s="1808"/>
      <c r="O72" s="1758" t="s">
        <v>1628</v>
      </c>
      <c r="P72" s="1752" t="s">
        <v>1655</v>
      </c>
      <c r="Q72" s="1793">
        <f>L52</f>
        <v>0</v>
      </c>
      <c r="R72" s="1792"/>
    </row>
    <row r="73" ht="17.25" spans="1:18">
      <c r="A73" s="645"/>
      <c r="B73" s="1808"/>
      <c r="C73" s="1808"/>
      <c r="D73" s="645"/>
      <c r="E73" s="645"/>
      <c r="F73" s="645"/>
      <c r="O73" s="1758" t="s">
        <v>1632</v>
      </c>
      <c r="P73" s="1752" t="s">
        <v>1658</v>
      </c>
      <c r="Q73" s="1792" t="e">
        <f ca="1">L58</f>
        <v>#DIV/0!</v>
      </c>
      <c r="R73" s="1792" t="s">
        <v>1659</v>
      </c>
    </row>
    <row r="74" ht="13.5" spans="1:18">
      <c r="A74" s="645"/>
      <c r="B74" s="228" t="s">
        <v>1680</v>
      </c>
      <c r="C74" s="1809"/>
      <c r="D74" s="645"/>
      <c r="E74" s="645"/>
      <c r="F74" s="645"/>
      <c r="O74" s="1758" t="s">
        <v>1681</v>
      </c>
      <c r="P74" s="1752" t="str">
        <f>K59</f>
        <v>建筑物剩余耐用年限下的土地年期修正系数Kn</v>
      </c>
      <c r="Q74" s="1792" t="e">
        <f ca="1">L59</f>
        <v>#DIV/0!</v>
      </c>
      <c r="R74" s="1792" t="s">
        <v>1661</v>
      </c>
    </row>
    <row r="75" ht="13.5" spans="1:18">
      <c r="A75" s="645"/>
      <c r="B75" s="1810" t="s">
        <v>1682</v>
      </c>
      <c r="C75" s="1811">
        <f ca="1">ROUND(C13*C76,0)</f>
        <v>122</v>
      </c>
      <c r="D75" s="645"/>
      <c r="E75" s="645"/>
      <c r="F75" s="645"/>
      <c r="K75" s="1738"/>
      <c r="L75" s="645"/>
      <c r="O75" s="1751" t="s">
        <v>1638</v>
      </c>
      <c r="P75" s="1752" t="s">
        <v>1639</v>
      </c>
      <c r="Q75" s="1792">
        <f ca="1">Q65+Q66</f>
        <v>11707</v>
      </c>
      <c r="R75" s="1792" t="s">
        <v>1640</v>
      </c>
    </row>
    <row r="76" spans="2:12">
      <c r="B76" s="450" t="s">
        <v>1683</v>
      </c>
      <c r="C76" s="1812">
        <f ca="1">INDIRECT("'数据-取费表'!j"&amp;$G$1)</f>
        <v>0.085</v>
      </c>
      <c r="I76" s="645"/>
      <c r="J76" s="645"/>
      <c r="K76" s="1738"/>
      <c r="L76" s="645"/>
    </row>
    <row r="77" spans="2:12">
      <c r="B77" s="1813" t="s">
        <v>1684</v>
      </c>
      <c r="C77" s="1814"/>
      <c r="I77" s="645"/>
      <c r="J77" s="645"/>
      <c r="K77" s="1738"/>
      <c r="L77" s="645"/>
    </row>
    <row r="78" spans="2:3">
      <c r="B78" s="226" t="s">
        <v>1685</v>
      </c>
      <c r="C78" s="1815"/>
    </row>
    <row r="79" spans="2:3">
      <c r="B79" s="1810" t="s">
        <v>1686</v>
      </c>
      <c r="C79" s="229">
        <f ca="1">1-C80</f>
        <v>0.832</v>
      </c>
    </row>
    <row r="80" spans="2:3">
      <c r="B80" s="1810" t="s">
        <v>1687</v>
      </c>
      <c r="C80" s="229">
        <f ca="1">ROUND(C75/C39,3)</f>
        <v>0.168</v>
      </c>
    </row>
    <row r="81" spans="2:3">
      <c r="B81" s="226" t="s">
        <v>1688</v>
      </c>
      <c r="C81" s="193"/>
    </row>
    <row r="82" spans="2:3">
      <c r="B82" s="228" t="s">
        <v>1689</v>
      </c>
      <c r="C82" s="230">
        <f ca="1">1-C83</f>
        <v>0.877</v>
      </c>
    </row>
    <row r="83" spans="2:3">
      <c r="B83" s="228" t="s">
        <v>1690</v>
      </c>
      <c r="C83" s="229">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1307</v>
      </c>
      <c r="B1" s="1382" t="s">
        <v>1700</v>
      </c>
      <c r="C1" s="1259" t="s">
        <v>1309</v>
      </c>
      <c r="D1" s="1203"/>
      <c r="E1" s="2101"/>
      <c r="F1" s="1205" t="s">
        <v>1076</v>
      </c>
      <c r="G1" s="1206" t="s">
        <v>1311</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1312</v>
      </c>
      <c r="B2" s="1208">
        <f ca="1">IF(C2="——",ROUND(C49*D3/10000,0),ROUND(C49*D3/10000,0)-D2)</f>
        <v>92</v>
      </c>
      <c r="C2" s="1209" t="s">
        <v>124</v>
      </c>
      <c r="D2" s="1384" t="e">
        <f ca="1">SUMIF(INDIRECT("'"&amp;F2&amp;"'"&amp;"!A:A"),"承租人权益价值",INDIRECT("'"&amp;F2&amp;"'"&amp;"!c:c"))</f>
        <v>#REF!</v>
      </c>
      <c r="E2" s="1210" t="s">
        <v>1313</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1314</v>
      </c>
      <c r="B3" s="801">
        <f ca="1">IF(C2="——",C49,ROUND(B2*10000/D3,0))</f>
        <v>13.8</v>
      </c>
      <c r="C3" s="1212" t="s">
        <v>1315</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02" t="s">
        <v>1319</v>
      </c>
      <c r="AC4" s="1040" t="s">
        <v>1320</v>
      </c>
    </row>
    <row r="5" ht="15" spans="1:29">
      <c r="A5" s="809"/>
      <c r="B5" s="810"/>
      <c r="C5" s="811" t="s">
        <v>1323</v>
      </c>
      <c r="D5" s="812"/>
      <c r="E5" s="2103" t="s">
        <v>1733</v>
      </c>
      <c r="F5" s="814"/>
      <c r="G5" s="2104" t="s">
        <v>1734</v>
      </c>
      <c r="H5" s="812"/>
      <c r="I5" s="2103" t="s">
        <v>1735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1327</v>
      </c>
      <c r="D6" s="1164"/>
      <c r="E6" s="1165" t="s">
        <v>1327</v>
      </c>
      <c r="F6" s="1166"/>
      <c r="G6" s="1163" t="s">
        <v>1327</v>
      </c>
      <c r="H6" s="1164"/>
      <c r="I6" s="1163" t="s">
        <v>1327</v>
      </c>
      <c r="J6" s="1164"/>
      <c r="K6" s="960" t="s">
        <v>1328</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1329</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1330</v>
      </c>
      <c r="Q7" s="1022"/>
      <c r="R7" s="1023" t="s">
        <v>1331</v>
      </c>
      <c r="S7" s="1024">
        <f t="shared" ref="S7:W7" si="0">F7</f>
        <v>100</v>
      </c>
      <c r="T7" s="1023" t="s">
        <v>1331</v>
      </c>
      <c r="U7" s="1024">
        <f t="shared" si="0"/>
        <v>100</v>
      </c>
      <c r="V7" s="1023" t="s">
        <v>1331</v>
      </c>
      <c r="W7" s="1024">
        <f t="shared" si="0"/>
        <v>100</v>
      </c>
      <c r="X7" s="1025"/>
      <c r="Y7" s="969" t="s">
        <v>1330</v>
      </c>
      <c r="Z7" s="1026"/>
      <c r="AA7" s="1042">
        <f t="shared" ref="AA7:AA15" si="1">D7/F7</f>
        <v>1</v>
      </c>
      <c r="AB7" s="1042">
        <f t="shared" ref="AB7:AB15" si="2">D7/H7</f>
        <v>1</v>
      </c>
      <c r="AC7" s="1042">
        <f t="shared" ref="AC7:AC15" si="3">D7/J7</f>
        <v>1</v>
      </c>
    </row>
    <row r="8" s="784" customFormat="1" ht="15.75" spans="1:29">
      <c r="A8" s="821" t="s">
        <v>1332</v>
      </c>
      <c r="B8" s="822"/>
      <c r="C8" s="828" t="s">
        <v>1333</v>
      </c>
      <c r="D8" s="824">
        <v>100</v>
      </c>
      <c r="E8" s="828" t="s">
        <v>1334</v>
      </c>
      <c r="F8" s="826">
        <f>SUMIF(61:61,E8,62:62)-SUMIF(61:61,C8,62:62)+100</f>
        <v>100</v>
      </c>
      <c r="G8" s="828" t="s">
        <v>1334</v>
      </c>
      <c r="H8" s="824">
        <f>SUMIF(61:61,G8,62:62)-SUMIF(61:61,C8,62:62)+100</f>
        <v>100</v>
      </c>
      <c r="I8" s="828" t="s">
        <v>1334</v>
      </c>
      <c r="J8" s="824">
        <f>SUMIF(61:61,I8,62:62)-SUMIF(61:61,C8,62:62)+100</f>
        <v>100</v>
      </c>
      <c r="K8" s="966"/>
      <c r="L8" s="967"/>
      <c r="M8" s="968"/>
      <c r="N8" s="968"/>
      <c r="O8" s="968"/>
      <c r="P8" s="969" t="s">
        <v>1335</v>
      </c>
      <c r="Q8" s="1026"/>
      <c r="R8" s="1023" t="s">
        <v>1331</v>
      </c>
      <c r="S8" s="1024">
        <f t="shared" ref="S8:W8" si="4">F8</f>
        <v>100</v>
      </c>
      <c r="T8" s="1023" t="s">
        <v>1331</v>
      </c>
      <c r="U8" s="1024">
        <f t="shared" si="4"/>
        <v>100</v>
      </c>
      <c r="V8" s="1023" t="s">
        <v>1331</v>
      </c>
      <c r="W8" s="1024">
        <f t="shared" si="4"/>
        <v>100</v>
      </c>
      <c r="X8" s="1025"/>
      <c r="Y8" s="969" t="s">
        <v>1335</v>
      </c>
      <c r="Z8" s="1026"/>
      <c r="AA8" s="1042">
        <f t="shared" si="1"/>
        <v>1</v>
      </c>
      <c r="AB8" s="1042">
        <f t="shared" si="2"/>
        <v>1</v>
      </c>
      <c r="AC8" s="1042">
        <f t="shared" si="3"/>
        <v>1</v>
      </c>
    </row>
    <row r="9" s="784" customFormat="1" spans="1:29">
      <c r="A9" s="829" t="s">
        <v>1336</v>
      </c>
      <c r="B9" s="830" t="s">
        <v>1337</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1338</v>
      </c>
      <c r="Q9" s="1027" t="str">
        <f t="shared" ref="Q9:Q15" si="5">B9</f>
        <v>用途</v>
      </c>
      <c r="R9" s="1023" t="s">
        <v>1331</v>
      </c>
      <c r="S9" s="1024">
        <f t="shared" ref="S9:W9" si="6">F9</f>
        <v>100</v>
      </c>
      <c r="T9" s="1023" t="s">
        <v>1331</v>
      </c>
      <c r="U9" s="1024">
        <f t="shared" si="6"/>
        <v>100</v>
      </c>
      <c r="V9" s="1023" t="s">
        <v>1331</v>
      </c>
      <c r="W9" s="1024">
        <f t="shared" si="6"/>
        <v>100</v>
      </c>
      <c r="X9" s="1025"/>
      <c r="Y9" s="1027" t="s">
        <v>1339</v>
      </c>
      <c r="Z9" s="1043" t="str">
        <f t="shared" ref="Z9:Z15" si="7">Q9</f>
        <v>用途</v>
      </c>
      <c r="AA9" s="1042">
        <f t="shared" si="1"/>
        <v>1</v>
      </c>
      <c r="AB9" s="1042">
        <f t="shared" si="2"/>
        <v>1</v>
      </c>
      <c r="AC9" s="1042">
        <f t="shared" si="3"/>
        <v>1</v>
      </c>
    </row>
    <row r="10" s="785" customFormat="1" ht="27" spans="1:29">
      <c r="A10" s="833"/>
      <c r="B10" s="834" t="s">
        <v>1340</v>
      </c>
      <c r="C10" s="1217" t="s">
        <v>1704</v>
      </c>
      <c r="D10" s="836">
        <v>100</v>
      </c>
      <c r="E10" s="1287" t="s">
        <v>1704</v>
      </c>
      <c r="F10" s="1218">
        <f>SUMIF(65:65,E10,66:66)-SUMIF(65:65,C10,66:66)+100</f>
        <v>100</v>
      </c>
      <c r="G10" s="1217" t="s">
        <v>1704</v>
      </c>
      <c r="H10" s="836">
        <f>SUMIF(65:65,G10,66:66)-SUMIF(65:65,C10,66:66)+100</f>
        <v>100</v>
      </c>
      <c r="I10" s="1217" t="s">
        <v>1704</v>
      </c>
      <c r="J10" s="836">
        <f>SUMIF(65:65,I10,66:66)-SUMIF(65:65,C10,66:66)+100</f>
        <v>100</v>
      </c>
      <c r="K10" s="986">
        <v>0</v>
      </c>
      <c r="L10" s="972"/>
      <c r="M10" s="973"/>
      <c r="N10" s="973"/>
      <c r="O10" s="973"/>
      <c r="P10" s="932"/>
      <c r="Q10" s="1027" t="str">
        <f t="shared" si="5"/>
        <v>土地使用年限（年）</v>
      </c>
      <c r="R10" s="1023" t="s">
        <v>1331</v>
      </c>
      <c r="S10" s="1024">
        <f t="shared" ref="S10:W10" si="8">F10</f>
        <v>100</v>
      </c>
      <c r="T10" s="1023" t="s">
        <v>1331</v>
      </c>
      <c r="U10" s="1024">
        <f t="shared" si="8"/>
        <v>100</v>
      </c>
      <c r="V10" s="1023" t="s">
        <v>1331</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1342</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1331</v>
      </c>
      <c r="S11" s="1024">
        <f t="shared" ref="S11:W11" si="9">F11</f>
        <v>100</v>
      </c>
      <c r="T11" s="1023" t="s">
        <v>1331</v>
      </c>
      <c r="U11" s="1024">
        <f t="shared" si="9"/>
        <v>100</v>
      </c>
      <c r="V11" s="1023" t="s">
        <v>1331</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1331</v>
      </c>
      <c r="S12" s="1024">
        <f t="shared" ref="S12:W12" si="10">F12</f>
        <v>100</v>
      </c>
      <c r="T12" s="1023" t="s">
        <v>1331</v>
      </c>
      <c r="U12" s="1024">
        <f t="shared" si="10"/>
        <v>100</v>
      </c>
      <c r="V12" s="1023" t="s">
        <v>1331</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1331</v>
      </c>
      <c r="S13" s="1024">
        <f t="shared" ref="S13:W13" si="11">F13</f>
        <v>100</v>
      </c>
      <c r="T13" s="1023" t="s">
        <v>1331</v>
      </c>
      <c r="U13" s="1024">
        <f t="shared" si="11"/>
        <v>100</v>
      </c>
      <c r="V13" s="1023" t="s">
        <v>1331</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1331</v>
      </c>
      <c r="S14" s="1024">
        <f t="shared" ref="S14:W14" si="12">F14</f>
        <v>100</v>
      </c>
      <c r="T14" s="1023" t="s">
        <v>1331</v>
      </c>
      <c r="U14" s="1024">
        <f t="shared" si="12"/>
        <v>100</v>
      </c>
      <c r="V14" s="1023" t="s">
        <v>1331</v>
      </c>
      <c r="W14" s="1024">
        <f t="shared" si="12"/>
        <v>100</v>
      </c>
      <c r="X14" s="1025"/>
      <c r="Y14" s="1027"/>
      <c r="Z14" s="1043">
        <f t="shared" si="7"/>
        <v>111</v>
      </c>
      <c r="AA14" s="1042">
        <f t="shared" si="1"/>
        <v>1</v>
      </c>
      <c r="AB14" s="1042">
        <f t="shared" si="2"/>
        <v>1</v>
      </c>
      <c r="AC14" s="1042">
        <f t="shared" si="3"/>
        <v>1</v>
      </c>
    </row>
    <row r="15" ht="68.25" spans="1:29">
      <c r="A15" s="851" t="s">
        <v>1343</v>
      </c>
      <c r="B15" s="1169" t="s">
        <v>1705</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1345</v>
      </c>
      <c r="Q15" s="548" t="str">
        <f t="shared" si="5"/>
        <v>商业繁华度</v>
      </c>
      <c r="R15" s="1028" t="s">
        <v>1331</v>
      </c>
      <c r="S15" s="1029">
        <f t="shared" ref="S15:W15" si="16">F15</f>
        <v>100</v>
      </c>
      <c r="T15" s="1028" t="s">
        <v>1331</v>
      </c>
      <c r="U15" s="1029">
        <f t="shared" si="16"/>
        <v>100</v>
      </c>
      <c r="V15" s="1028" t="s">
        <v>1331</v>
      </c>
      <c r="W15" s="1029">
        <f t="shared" si="16"/>
        <v>100</v>
      </c>
      <c r="X15" s="1015"/>
      <c r="Y15" s="980" t="s">
        <v>1345</v>
      </c>
      <c r="Z15" s="1002" t="str">
        <f t="shared" si="7"/>
        <v>商业繁华度</v>
      </c>
      <c r="AA15" s="1044">
        <f t="shared" si="1"/>
        <v>1</v>
      </c>
      <c r="AB15" s="1044">
        <f t="shared" si="2"/>
        <v>1</v>
      </c>
      <c r="AC15" s="1044">
        <f t="shared" si="3"/>
        <v>1</v>
      </c>
    </row>
    <row r="16" ht="15" spans="1:29">
      <c r="A16" s="837"/>
      <c r="B16" s="1171"/>
      <c r="C16" s="857" t="s">
        <v>1346</v>
      </c>
      <c r="D16" s="858"/>
      <c r="E16" s="857" t="s">
        <v>1346</v>
      </c>
      <c r="F16" s="1222"/>
      <c r="G16" s="857" t="s">
        <v>1346</v>
      </c>
      <c r="H16" s="860"/>
      <c r="I16" s="857" t="s">
        <v>1346</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1347</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1331</v>
      </c>
      <c r="S17" s="1029">
        <f t="shared" ref="S17:W17" si="18">F17</f>
        <v>100</v>
      </c>
      <c r="T17" s="1028" t="s">
        <v>1331</v>
      </c>
      <c r="U17" s="1029">
        <f t="shared" si="18"/>
        <v>100</v>
      </c>
      <c r="V17" s="1028" t="s">
        <v>1331</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1348</v>
      </c>
      <c r="D18" s="860"/>
      <c r="E18" s="1174" t="s">
        <v>1348</v>
      </c>
      <c r="F18" s="1224"/>
      <c r="G18" s="1182" t="s">
        <v>1348</v>
      </c>
      <c r="H18" s="858"/>
      <c r="I18" s="1174" t="s">
        <v>1348</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1349</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1331</v>
      </c>
      <c r="S19" s="1029">
        <f t="shared" ref="S19:W19" si="23">F19</f>
        <v>100</v>
      </c>
      <c r="T19" s="1028" t="s">
        <v>1331</v>
      </c>
      <c r="U19" s="1029">
        <f t="shared" si="23"/>
        <v>100</v>
      </c>
      <c r="V19" s="1028" t="s">
        <v>1331</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1348</v>
      </c>
      <c r="D20" s="858"/>
      <c r="E20" s="866" t="s">
        <v>1348</v>
      </c>
      <c r="F20" s="1222"/>
      <c r="G20" s="983" t="s">
        <v>1348</v>
      </c>
      <c r="H20" s="858"/>
      <c r="I20" s="866" t="s">
        <v>1348</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1350</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1331</v>
      </c>
      <c r="S21" s="1029">
        <f t="shared" ref="S21:W21" si="24">F21</f>
        <v>100</v>
      </c>
      <c r="T21" s="1028" t="s">
        <v>1331</v>
      </c>
      <c r="U21" s="1029">
        <f t="shared" si="24"/>
        <v>100</v>
      </c>
      <c r="V21" s="1028" t="s">
        <v>1331</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1706</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1331</v>
      </c>
      <c r="S23" s="1029">
        <f t="shared" ref="S23:W23" si="26">F23</f>
        <v>100</v>
      </c>
      <c r="T23" s="1028" t="s">
        <v>1331</v>
      </c>
      <c r="U23" s="1029">
        <f t="shared" si="26"/>
        <v>100</v>
      </c>
      <c r="V23" s="1028" t="s">
        <v>1331</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1346</v>
      </c>
      <c r="D24" s="858"/>
      <c r="E24" s="866" t="s">
        <v>1346</v>
      </c>
      <c r="F24" s="1222"/>
      <c r="G24" s="983" t="s">
        <v>1346</v>
      </c>
      <c r="H24" s="858"/>
      <c r="I24" s="866" t="s">
        <v>1346</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1707</v>
      </c>
      <c r="C25" s="871" t="s">
        <v>1709</v>
      </c>
      <c r="D25" s="846">
        <v>100</v>
      </c>
      <c r="E25" s="871" t="s">
        <v>1709</v>
      </c>
      <c r="F25" s="1225">
        <f>SUMIF(86:86,E25,87:87)-SUMIF(86:86,C25,87:87)+100</f>
        <v>100</v>
      </c>
      <c r="G25" s="871" t="s">
        <v>1709</v>
      </c>
      <c r="H25" s="846">
        <f>SUMIF(86:86,G25,87:87)-SUMIF(86:86,C25,87:87)+100</f>
        <v>100</v>
      </c>
      <c r="I25" s="871" t="s">
        <v>1709</v>
      </c>
      <c r="J25" s="846">
        <f>SUMIF(86:86,I25,87:87)-SUMIF(86:86,C25,87:87)+100</f>
        <v>100</v>
      </c>
      <c r="K25" s="986"/>
      <c r="L25" s="978"/>
      <c r="M25" s="962"/>
      <c r="N25" s="962"/>
      <c r="O25" s="962"/>
      <c r="P25" s="1411"/>
      <c r="Q25" s="548" t="str">
        <f t="shared" si="25"/>
        <v>临街状况</v>
      </c>
      <c r="R25" s="1028" t="s">
        <v>1331</v>
      </c>
      <c r="S25" s="1029">
        <f t="shared" ref="S25:W25" si="31">F25</f>
        <v>100</v>
      </c>
      <c r="T25" s="1028" t="s">
        <v>1331</v>
      </c>
      <c r="U25" s="1029">
        <f t="shared" si="31"/>
        <v>100</v>
      </c>
      <c r="V25" s="1028" t="s">
        <v>1331</v>
      </c>
      <c r="W25" s="1029">
        <f t="shared" si="31"/>
        <v>100</v>
      </c>
      <c r="X25" s="1015"/>
      <c r="Y25" s="981"/>
      <c r="Z25" s="1002" t="str">
        <f t="shared" si="27"/>
        <v>临街状况</v>
      </c>
      <c r="AA25" s="1044">
        <f t="shared" si="28"/>
        <v>1</v>
      </c>
      <c r="AB25" s="1044">
        <f t="shared" si="29"/>
        <v>1</v>
      </c>
      <c r="AC25" s="1044">
        <f t="shared" si="30"/>
        <v>1</v>
      </c>
    </row>
    <row r="26" ht="15" spans="1:29">
      <c r="A26" s="837"/>
      <c r="B26" s="2106" t="s">
        <v>1710</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1331</v>
      </c>
      <c r="S26" s="1029">
        <f t="shared" ref="S26:W26" si="32">F26</f>
        <v>100</v>
      </c>
      <c r="T26" s="1028" t="s">
        <v>1331</v>
      </c>
      <c r="U26" s="1029">
        <f t="shared" si="32"/>
        <v>100</v>
      </c>
      <c r="V26" s="1028" t="s">
        <v>1331</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1711</v>
      </c>
      <c r="C27" s="2108" t="s">
        <v>1712</v>
      </c>
      <c r="D27" s="1338">
        <v>100</v>
      </c>
      <c r="E27" s="2108" t="s">
        <v>1712</v>
      </c>
      <c r="F27" s="1339">
        <f>SUMIF(90:90,E27,91:91)-SUMIF(90:90,C27,91:91)+100</f>
        <v>100</v>
      </c>
      <c r="G27" s="2108" t="s">
        <v>1713</v>
      </c>
      <c r="H27" s="1338">
        <f>SUMIF(90:90,G27,91:91)-SUMIF(90:90,C27,91:91)+100</f>
        <v>99</v>
      </c>
      <c r="I27" s="2108" t="s">
        <v>1713</v>
      </c>
      <c r="J27" s="1338">
        <f>SUMIF(90:90,I27,91:91)-SUMIF(90:90,C27,91:91)+100</f>
        <v>99</v>
      </c>
      <c r="K27" s="986">
        <v>1</v>
      </c>
      <c r="L27" s="967"/>
      <c r="M27" s="968"/>
      <c r="N27" s="968"/>
      <c r="O27" s="968"/>
      <c r="P27" s="1411"/>
      <c r="Q27" s="1027" t="str">
        <f t="shared" si="25"/>
        <v>人流量</v>
      </c>
      <c r="R27" s="1023" t="s">
        <v>1331</v>
      </c>
      <c r="S27" s="1024">
        <f t="shared" ref="S27:W27" si="33">F27</f>
        <v>100</v>
      </c>
      <c r="T27" s="1023" t="s">
        <v>1331</v>
      </c>
      <c r="U27" s="1024">
        <f t="shared" si="33"/>
        <v>99</v>
      </c>
      <c r="V27" s="1023" t="s">
        <v>1331</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1357</v>
      </c>
      <c r="C28" s="871" t="s">
        <v>520</v>
      </c>
      <c r="D28" s="846">
        <v>100</v>
      </c>
      <c r="E28" s="871" t="s">
        <v>520</v>
      </c>
      <c r="F28" s="1225">
        <f>SUMIF(92:92,E28,93:93)-SUMIF(92:92,C28,93:93)+100</f>
        <v>100</v>
      </c>
      <c r="G28" s="871" t="s">
        <v>520</v>
      </c>
      <c r="H28" s="846">
        <f>SUMIF(92:92,G28,93:93)-SUMIF(92:92,C28,93:93)+100</f>
        <v>100</v>
      </c>
      <c r="I28" s="871" t="s">
        <v>520</v>
      </c>
      <c r="J28" s="846">
        <f>SUMIF(92:92,I28,93:93)-SUMIF(92:92,C28,93:93)+100</f>
        <v>100</v>
      </c>
      <c r="K28" s="985"/>
      <c r="L28" s="978"/>
      <c r="M28" s="962"/>
      <c r="N28" s="962"/>
      <c r="O28" s="962"/>
      <c r="P28" s="1411"/>
      <c r="Q28" s="548" t="str">
        <f t="shared" si="25"/>
        <v>楼层</v>
      </c>
      <c r="R28" s="1028" t="s">
        <v>1331</v>
      </c>
      <c r="S28" s="1029">
        <f t="shared" ref="S28:W28" si="34">F28</f>
        <v>100</v>
      </c>
      <c r="T28" s="1028" t="s">
        <v>1331</v>
      </c>
      <c r="U28" s="1029">
        <f t="shared" si="34"/>
        <v>100</v>
      </c>
      <c r="V28" s="1028" t="s">
        <v>1331</v>
      </c>
      <c r="W28" s="1029">
        <f t="shared" si="34"/>
        <v>100</v>
      </c>
      <c r="X28" s="1015"/>
      <c r="Y28" s="981"/>
      <c r="Z28" s="1002" t="str">
        <f t="shared" si="27"/>
        <v>楼层</v>
      </c>
      <c r="AA28" s="1044">
        <f t="shared" si="28"/>
        <v>1</v>
      </c>
      <c r="AB28" s="1044">
        <f t="shared" si="29"/>
        <v>1</v>
      </c>
      <c r="AC28" s="1044">
        <f t="shared" si="30"/>
        <v>1</v>
      </c>
    </row>
    <row r="29" ht="15" spans="1:29">
      <c r="A29" s="837"/>
      <c r="B29" s="2110" t="s">
        <v>1714</v>
      </c>
      <c r="C29" s="2111" t="s">
        <v>1355</v>
      </c>
      <c r="D29" s="846">
        <v>100</v>
      </c>
      <c r="E29" s="2111" t="s">
        <v>1356</v>
      </c>
      <c r="F29" s="1225">
        <f>SUMIF(94:94,E29,95:95)-SUMIF(94:94,C29,95:95)+100</f>
        <v>97</v>
      </c>
      <c r="G29" s="2111" t="s">
        <v>1356</v>
      </c>
      <c r="H29" s="846">
        <f>SUMIF(94:94,G29,95:95)-SUMIF(94:94,C29,95:95)+100</f>
        <v>97</v>
      </c>
      <c r="I29" s="2111" t="s">
        <v>1356</v>
      </c>
      <c r="J29" s="846">
        <f>SUMIF(94:94,I29,95:95)-SUMIF(94:94,C29,95:95)+100</f>
        <v>97</v>
      </c>
      <c r="K29" s="985"/>
      <c r="L29" s="978"/>
      <c r="M29" s="962"/>
      <c r="N29" s="962"/>
      <c r="O29" s="962"/>
      <c r="P29" s="1411"/>
      <c r="Q29" s="548" t="str">
        <f t="shared" si="25"/>
        <v>毗邻道路等级</v>
      </c>
      <c r="R29" s="1028" t="s">
        <v>1331</v>
      </c>
      <c r="S29" s="1029">
        <f t="shared" ref="S29:W29" si="35">F29</f>
        <v>97</v>
      </c>
      <c r="T29" s="1028" t="s">
        <v>1331</v>
      </c>
      <c r="U29" s="1029">
        <f t="shared" si="35"/>
        <v>97</v>
      </c>
      <c r="V29" s="1028" t="s">
        <v>1331</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1331</v>
      </c>
      <c r="S30" s="1029">
        <f t="shared" ref="S30:W30" si="36">F30</f>
        <v>100</v>
      </c>
      <c r="T30" s="1028" t="s">
        <v>1331</v>
      </c>
      <c r="U30" s="1029">
        <f t="shared" si="36"/>
        <v>100</v>
      </c>
      <c r="V30" s="1028" t="s">
        <v>1331</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1331</v>
      </c>
      <c r="S31" s="1029">
        <f t="shared" ref="S31:W31" si="37">F31</f>
        <v>100</v>
      </c>
      <c r="T31" s="1028" t="s">
        <v>1331</v>
      </c>
      <c r="U31" s="1029">
        <f t="shared" si="37"/>
        <v>100</v>
      </c>
      <c r="V31" s="1028" t="s">
        <v>1331</v>
      </c>
      <c r="W31" s="1029">
        <f t="shared" si="37"/>
        <v>100</v>
      </c>
      <c r="X31" s="1015"/>
      <c r="Y31" s="981"/>
      <c r="Z31" s="1002">
        <f t="shared" si="27"/>
        <v>111</v>
      </c>
      <c r="AA31" s="1044">
        <f t="shared" si="28"/>
        <v>1</v>
      </c>
      <c r="AB31" s="1044">
        <f t="shared" si="29"/>
        <v>1</v>
      </c>
      <c r="AC31" s="1044">
        <f t="shared" si="30"/>
        <v>1</v>
      </c>
    </row>
    <row r="32" ht="15" spans="1:29">
      <c r="A32" s="851" t="s">
        <v>1361</v>
      </c>
      <c r="B32" s="830" t="s">
        <v>1715</v>
      </c>
      <c r="C32" s="1390" t="s">
        <v>1716</v>
      </c>
      <c r="D32" s="887">
        <v>100</v>
      </c>
      <c r="E32" s="1390" t="s">
        <v>1717</v>
      </c>
      <c r="F32" s="1225">
        <f>SUMIF(100:100,E32,101:101)-SUMIF(100:100,C32,101:101)+100</f>
        <v>96</v>
      </c>
      <c r="G32" s="1390" t="s">
        <v>1716</v>
      </c>
      <c r="H32" s="846">
        <f>SUMIF(100:100,G32,101:101)-SUMIF(100:100,C32,101:101)+100</f>
        <v>100</v>
      </c>
      <c r="I32" s="1390" t="s">
        <v>1717</v>
      </c>
      <c r="J32" s="887">
        <f>SUMIF(100:100,I32,101:101)-SUMIF(100:100,C32,101:101)+100</f>
        <v>96</v>
      </c>
      <c r="K32" s="986">
        <v>2</v>
      </c>
      <c r="L32" s="978"/>
      <c r="M32" s="962"/>
      <c r="N32" s="962"/>
      <c r="O32" s="962"/>
      <c r="P32" s="1413" t="s">
        <v>1364</v>
      </c>
      <c r="Q32" s="548" t="str">
        <f t="shared" si="25"/>
        <v>商业类型</v>
      </c>
      <c r="R32" s="1028" t="s">
        <v>1331</v>
      </c>
      <c r="S32" s="1029">
        <f t="shared" ref="S32:W32" si="38">F32</f>
        <v>96</v>
      </c>
      <c r="T32" s="1028" t="s">
        <v>1331</v>
      </c>
      <c r="U32" s="1029">
        <f t="shared" si="38"/>
        <v>100</v>
      </c>
      <c r="V32" s="1028" t="s">
        <v>1331</v>
      </c>
      <c r="W32" s="1029">
        <f t="shared" si="38"/>
        <v>96</v>
      </c>
      <c r="X32" s="1015"/>
      <c r="Y32" s="990" t="s">
        <v>1364</v>
      </c>
      <c r="Z32" s="1002" t="str">
        <f t="shared" si="27"/>
        <v>商业类型</v>
      </c>
      <c r="AA32" s="1044">
        <f t="shared" si="28"/>
        <v>1.04166666666667</v>
      </c>
      <c r="AB32" s="1044">
        <f t="shared" si="29"/>
        <v>1</v>
      </c>
      <c r="AC32" s="1044">
        <f t="shared" si="30"/>
        <v>1.04166666666667</v>
      </c>
    </row>
    <row r="33" s="786" customFormat="1" ht="15" spans="1:29">
      <c r="A33" s="893"/>
      <c r="B33" s="834" t="s">
        <v>1365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1331</v>
      </c>
      <c r="S33" s="1031">
        <f t="shared" ref="S33:W33" si="39">F33</f>
        <v>109</v>
      </c>
      <c r="T33" s="1030" t="s">
        <v>1331</v>
      </c>
      <c r="U33" s="1031">
        <f t="shared" si="39"/>
        <v>109</v>
      </c>
      <c r="V33" s="1030" t="s">
        <v>1331</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1366</v>
      </c>
      <c r="C34" s="1392" t="s">
        <v>1367</v>
      </c>
      <c r="D34" s="846">
        <v>100</v>
      </c>
      <c r="E34" s="1392" t="s">
        <v>1367</v>
      </c>
      <c r="F34" s="1225">
        <f>SUMIF(105:105,E34,106:106)-SUMIF(105:105,C34,106:106)+100</f>
        <v>100</v>
      </c>
      <c r="G34" s="1392" t="s">
        <v>1367</v>
      </c>
      <c r="H34" s="846">
        <f>SUMIF(105:105,G34,106:106)-SUMIF(105:105,C34,106:106)+100</f>
        <v>100</v>
      </c>
      <c r="I34" s="1392" t="s">
        <v>1367</v>
      </c>
      <c r="J34" s="846">
        <f>SUMIF(105:105,I34,106:106)-SUMIF(105:105,C34,106:106)+100</f>
        <v>100</v>
      </c>
      <c r="K34" s="986"/>
      <c r="L34" s="978"/>
      <c r="M34" s="962"/>
      <c r="N34" s="962"/>
      <c r="O34" s="962"/>
      <c r="P34" s="1414"/>
      <c r="Q34" s="548" t="str">
        <f t="shared" si="25"/>
        <v>建筑结构</v>
      </c>
      <c r="R34" s="1028" t="s">
        <v>1331</v>
      </c>
      <c r="S34" s="1029">
        <f t="shared" ref="S34:W34" si="40">F34</f>
        <v>100</v>
      </c>
      <c r="T34" s="1028" t="s">
        <v>1331</v>
      </c>
      <c r="U34" s="1029">
        <f t="shared" si="40"/>
        <v>100</v>
      </c>
      <c r="V34" s="1028" t="s">
        <v>1331</v>
      </c>
      <c r="W34" s="1029">
        <f t="shared" si="40"/>
        <v>100</v>
      </c>
      <c r="X34" s="1015"/>
      <c r="Y34" s="990"/>
      <c r="Z34" s="1002" t="str">
        <f t="shared" si="27"/>
        <v>建筑结构</v>
      </c>
      <c r="AA34" s="1044">
        <f t="shared" si="28"/>
        <v>1</v>
      </c>
      <c r="AB34" s="1044">
        <f t="shared" si="29"/>
        <v>1</v>
      </c>
      <c r="AC34" s="1044">
        <f t="shared" si="30"/>
        <v>1</v>
      </c>
    </row>
    <row r="35" ht="15" spans="1:29">
      <c r="A35" s="888"/>
      <c r="B35" s="834" t="s">
        <v>1368</v>
      </c>
      <c r="C35" s="889" t="s">
        <v>1369</v>
      </c>
      <c r="D35" s="846">
        <v>100</v>
      </c>
      <c r="E35" s="889" t="s">
        <v>1369</v>
      </c>
      <c r="F35" s="1225">
        <f>SUMIF(107:107,E35,108:108)-SUMIF(107:107,C35,108:108)+100</f>
        <v>100</v>
      </c>
      <c r="G35" s="889" t="s">
        <v>1369</v>
      </c>
      <c r="H35" s="846">
        <f>SUMIF(107:107,G35,108:108)-SUMIF(107:107,C35,108:108)+100</f>
        <v>100</v>
      </c>
      <c r="I35" s="889" t="s">
        <v>1380</v>
      </c>
      <c r="J35" s="846">
        <f>SUMIF(107:107,I35,108:108)-SUMIF(107:107,C35,108:108)+100</f>
        <v>99</v>
      </c>
      <c r="K35" s="986">
        <v>1</v>
      </c>
      <c r="L35" s="978"/>
      <c r="M35" s="962"/>
      <c r="N35" s="962"/>
      <c r="O35" s="962"/>
      <c r="P35" s="1414"/>
      <c r="Q35" s="548" t="str">
        <f t="shared" si="25"/>
        <v>公共部分装修</v>
      </c>
      <c r="R35" s="1028" t="s">
        <v>1331</v>
      </c>
      <c r="S35" s="1029">
        <f t="shared" ref="S35:W35" si="41">F35</f>
        <v>100</v>
      </c>
      <c r="T35" s="1028" t="s">
        <v>1331</v>
      </c>
      <c r="U35" s="1029">
        <f t="shared" si="41"/>
        <v>100</v>
      </c>
      <c r="V35" s="1028" t="s">
        <v>1331</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619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1331</v>
      </c>
      <c r="S36" s="1029">
        <f t="shared" ref="S36:W36" si="42">F36</f>
        <v>100</v>
      </c>
      <c r="T36" s="1028" t="s">
        <v>1331</v>
      </c>
      <c r="U36" s="1029">
        <f t="shared" si="42"/>
        <v>100</v>
      </c>
      <c r="V36" s="1028" t="s">
        <v>1331</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1375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1331</v>
      </c>
      <c r="S37" s="1024">
        <f t="shared" ref="S37:W37" si="43">F37</f>
        <v>100</v>
      </c>
      <c r="T37" s="1023" t="s">
        <v>1331</v>
      </c>
      <c r="U37" s="1024">
        <f t="shared" si="43"/>
        <v>100</v>
      </c>
      <c r="V37" s="1023" t="s">
        <v>1331</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1718</v>
      </c>
      <c r="C38" s="889" t="s">
        <v>1720</v>
      </c>
      <c r="D38" s="846">
        <v>100</v>
      </c>
      <c r="E38" s="889" t="s">
        <v>1720</v>
      </c>
      <c r="F38" s="1225">
        <f>SUMIF(114:114,E38,115:115)-SUMIF(114:114,C38,115:115)+100</f>
        <v>100</v>
      </c>
      <c r="G38" s="889" t="s">
        <v>1720</v>
      </c>
      <c r="H38" s="846">
        <f>SUMIF(114:114,G38,115:115)-SUMIF(114:114,C38,115:115)+100</f>
        <v>100</v>
      </c>
      <c r="I38" s="889" t="s">
        <v>1720</v>
      </c>
      <c r="J38" s="846">
        <f>SUMIF(114:114,I38,115:115)-SUMIF(114:114,C38,115:115)+100</f>
        <v>100</v>
      </c>
      <c r="K38" s="986"/>
      <c r="L38" s="978"/>
      <c r="M38" s="962"/>
      <c r="N38" s="962"/>
      <c r="O38" s="962"/>
      <c r="P38" s="1414" t="s">
        <v>1364</v>
      </c>
      <c r="Q38" s="548" t="str">
        <f t="shared" si="25"/>
        <v>业态</v>
      </c>
      <c r="R38" s="1028" t="s">
        <v>1331</v>
      </c>
      <c r="S38" s="1029">
        <f t="shared" ref="S38:W38" si="44">F38</f>
        <v>100</v>
      </c>
      <c r="T38" s="1028" t="s">
        <v>1331</v>
      </c>
      <c r="U38" s="1029">
        <f t="shared" si="44"/>
        <v>100</v>
      </c>
      <c r="V38" s="1028" t="s">
        <v>1331</v>
      </c>
      <c r="W38" s="1029">
        <f t="shared" si="44"/>
        <v>100</v>
      </c>
      <c r="X38" s="1015"/>
      <c r="Y38" s="990" t="s">
        <v>1364</v>
      </c>
      <c r="Z38" s="1002" t="str">
        <f t="shared" si="27"/>
        <v>业态</v>
      </c>
      <c r="AA38" s="1044">
        <f t="shared" si="28"/>
        <v>1</v>
      </c>
      <c r="AB38" s="1044">
        <f t="shared" si="29"/>
        <v>1</v>
      </c>
      <c r="AC38" s="1044">
        <f t="shared" si="30"/>
        <v>1</v>
      </c>
    </row>
    <row r="39" ht="15" spans="1:29">
      <c r="A39" s="888"/>
      <c r="B39" s="834" t="s">
        <v>1376</v>
      </c>
      <c r="C39" s="889" t="s">
        <v>1377</v>
      </c>
      <c r="D39" s="846">
        <v>100</v>
      </c>
      <c r="E39" s="889" t="s">
        <v>1377</v>
      </c>
      <c r="F39" s="1225">
        <f>SUMIF(116:116,E39,117:117)-SUMIF(116:116,C39,117:117)+100</f>
        <v>100</v>
      </c>
      <c r="G39" s="889" t="s">
        <v>1377</v>
      </c>
      <c r="H39" s="846">
        <f>SUMIF(116:116,G39,117:117)-SUMIF(116:116,C39,117:117)+100</f>
        <v>100</v>
      </c>
      <c r="I39" s="889" t="s">
        <v>1377</v>
      </c>
      <c r="J39" s="846">
        <f>SUMIF(116:116,I39,117:117)-SUMIF(116:116,C39,117:117)+100</f>
        <v>100</v>
      </c>
      <c r="K39" s="986"/>
      <c r="L39" s="978"/>
      <c r="M39" s="962"/>
      <c r="N39" s="962"/>
      <c r="O39" s="962"/>
      <c r="P39" s="1414"/>
      <c r="Q39" s="548" t="str">
        <f t="shared" si="25"/>
        <v>层高</v>
      </c>
      <c r="R39" s="1028" t="s">
        <v>1331</v>
      </c>
      <c r="S39" s="1029">
        <f t="shared" ref="S39:W39" si="45">F39</f>
        <v>100</v>
      </c>
      <c r="T39" s="1028" t="s">
        <v>1331</v>
      </c>
      <c r="U39" s="1029">
        <f t="shared" si="45"/>
        <v>100</v>
      </c>
      <c r="V39" s="1028" t="s">
        <v>1331</v>
      </c>
      <c r="W39" s="1029">
        <f t="shared" si="45"/>
        <v>100</v>
      </c>
      <c r="X39" s="1015"/>
      <c r="Y39" s="990"/>
      <c r="Z39" s="1002" t="str">
        <f t="shared" si="27"/>
        <v>层高</v>
      </c>
      <c r="AA39" s="1044">
        <f t="shared" si="28"/>
        <v>1</v>
      </c>
      <c r="AB39" s="1044">
        <f t="shared" si="29"/>
        <v>1</v>
      </c>
      <c r="AC39" s="1044">
        <f t="shared" si="30"/>
        <v>1</v>
      </c>
    </row>
    <row r="40" ht="15" spans="1:29">
      <c r="A40" s="888"/>
      <c r="B40" s="834" t="s">
        <v>1414</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1331</v>
      </c>
      <c r="S40" s="1029">
        <f t="shared" ref="S40:W40" si="46">F40</f>
        <v>100</v>
      </c>
      <c r="T40" s="1028" t="s">
        <v>1331</v>
      </c>
      <c r="U40" s="1029">
        <f t="shared" si="46"/>
        <v>100</v>
      </c>
      <c r="V40" s="1028" t="s">
        <v>1331</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1721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1331</v>
      </c>
      <c r="S41" s="1031">
        <f t="shared" ref="S41:W41" si="47">F41</f>
        <v>100</v>
      </c>
      <c r="T41" s="1030" t="s">
        <v>1331</v>
      </c>
      <c r="U41" s="1031">
        <f t="shared" si="47"/>
        <v>100</v>
      </c>
      <c r="V41" s="1030" t="s">
        <v>1331</v>
      </c>
      <c r="W41" s="1031">
        <f t="shared" si="47"/>
        <v>100</v>
      </c>
      <c r="X41" s="1032"/>
      <c r="Y41" s="990"/>
      <c r="Z41" s="1045" t="str">
        <f t="shared" si="27"/>
        <v>进深比</v>
      </c>
      <c r="AA41" s="1044">
        <f t="shared" si="28"/>
        <v>1</v>
      </c>
      <c r="AB41" s="1044">
        <f t="shared" si="29"/>
        <v>1</v>
      </c>
      <c r="AC41" s="1044">
        <f t="shared" si="30"/>
        <v>1</v>
      </c>
    </row>
    <row r="42" ht="15" spans="1:29">
      <c r="A42" s="888"/>
      <c r="B42" s="834" t="s">
        <v>1379</v>
      </c>
      <c r="C42" s="889" t="s">
        <v>1380</v>
      </c>
      <c r="D42" s="846">
        <v>100</v>
      </c>
      <c r="E42" s="889" t="s">
        <v>1380</v>
      </c>
      <c r="F42" s="1225">
        <f>SUMIF(122:122,E42,123:123)-SUMIF(122:122,C42,123:123)+100</f>
        <v>100</v>
      </c>
      <c r="G42" s="889" t="s">
        <v>1380</v>
      </c>
      <c r="H42" s="846">
        <f>SUMIF(122:122,G42,123:123)-SUMIF(122:122,C42,123:123)+100</f>
        <v>100</v>
      </c>
      <c r="I42" s="889" t="s">
        <v>1380</v>
      </c>
      <c r="J42" s="846">
        <f>SUMIF(122:122,I42,123:123)-SUMIF(122:122,C42,123:123)+100</f>
        <v>100</v>
      </c>
      <c r="K42" s="986"/>
      <c r="L42" s="978"/>
      <c r="M42" s="962"/>
      <c r="N42" s="962"/>
      <c r="O42" s="962"/>
      <c r="P42" s="1414"/>
      <c r="Q42" s="548" t="str">
        <f t="shared" si="25"/>
        <v>内部装修</v>
      </c>
      <c r="R42" s="1028" t="s">
        <v>1331</v>
      </c>
      <c r="S42" s="1029">
        <f t="shared" ref="S42:W42" si="48">F42</f>
        <v>100</v>
      </c>
      <c r="T42" s="1028" t="s">
        <v>1331</v>
      </c>
      <c r="U42" s="1029">
        <f t="shared" si="48"/>
        <v>100</v>
      </c>
      <c r="V42" s="1028" t="s">
        <v>1331</v>
      </c>
      <c r="W42" s="1029">
        <f t="shared" si="48"/>
        <v>100</v>
      </c>
      <c r="X42" s="1015"/>
      <c r="Y42" s="990"/>
      <c r="Z42" s="1002" t="str">
        <f t="shared" si="27"/>
        <v>内部装修</v>
      </c>
      <c r="AA42" s="1044">
        <f t="shared" si="28"/>
        <v>1</v>
      </c>
      <c r="AB42" s="1044">
        <f t="shared" si="29"/>
        <v>1</v>
      </c>
      <c r="AC42" s="1044">
        <f t="shared" si="30"/>
        <v>1</v>
      </c>
    </row>
    <row r="43" ht="15" spans="1:29">
      <c r="A43" s="888"/>
      <c r="B43" s="834" t="s">
        <v>1381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1331</v>
      </c>
      <c r="S43" s="1029">
        <f t="shared" ref="S43:W43" si="49">F43</f>
        <v>100</v>
      </c>
      <c r="T43" s="1028" t="s">
        <v>1331</v>
      </c>
      <c r="U43" s="1029">
        <f t="shared" si="49"/>
        <v>100</v>
      </c>
      <c r="V43" s="1028" t="s">
        <v>1331</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1331</v>
      </c>
      <c r="S44" s="1024">
        <f t="shared" ref="S44:W44" si="50">F44</f>
        <v>100</v>
      </c>
      <c r="T44" s="1023" t="s">
        <v>1331</v>
      </c>
      <c r="U44" s="1024">
        <f t="shared" si="50"/>
        <v>100</v>
      </c>
      <c r="V44" s="1023" t="s">
        <v>1331</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1331</v>
      </c>
      <c r="S45" s="1029">
        <f t="shared" ref="S45:W45" si="51">F45</f>
        <v>100</v>
      </c>
      <c r="T45" s="1028" t="s">
        <v>1331</v>
      </c>
      <c r="U45" s="1029">
        <f t="shared" si="51"/>
        <v>100</v>
      </c>
      <c r="V45" s="1028" t="s">
        <v>1331</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1331</v>
      </c>
      <c r="S46" s="1029">
        <f t="shared" ref="S46:W46" si="52">F46</f>
        <v>100</v>
      </c>
      <c r="T46" s="1028" t="s">
        <v>1331</v>
      </c>
      <c r="U46" s="1029">
        <f t="shared" si="52"/>
        <v>100</v>
      </c>
      <c r="V46" s="1028" t="s">
        <v>1331</v>
      </c>
      <c r="W46" s="1029">
        <f t="shared" si="52"/>
        <v>100</v>
      </c>
      <c r="X46" s="1015"/>
      <c r="Y46" s="1355"/>
      <c r="Z46" s="1002">
        <f t="shared" si="27"/>
        <v>111</v>
      </c>
      <c r="AA46" s="1044">
        <f t="shared" si="28"/>
        <v>1</v>
      </c>
      <c r="AB46" s="1044">
        <f t="shared" si="29"/>
        <v>1</v>
      </c>
      <c r="AC46" s="1044">
        <f t="shared" si="30"/>
        <v>1</v>
      </c>
    </row>
    <row r="47" ht="15" spans="1:29">
      <c r="A47" s="895" t="s">
        <v>1382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1383</v>
      </c>
      <c r="B48" s="1246"/>
      <c r="C48" s="1247">
        <f>R49</f>
        <v>13.8</v>
      </c>
      <c r="D48" s="906" t="s">
        <v>1384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1385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1386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1387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1388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1389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1329</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1390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1332</v>
      </c>
      <c r="B61" s="1058"/>
      <c r="C61" s="1059" t="s">
        <v>1333</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1391</v>
      </c>
      <c r="B63" s="1064" t="s">
        <v>1337</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1340</v>
      </c>
      <c r="C65" s="1069" t="s">
        <v>1392</v>
      </c>
      <c r="D65" s="1069" t="s">
        <v>1393</v>
      </c>
      <c r="E65" s="1069" t="s">
        <v>1394</v>
      </c>
      <c r="F65" s="1069" t="s">
        <v>1395</v>
      </c>
      <c r="G65" s="1069" t="s">
        <v>1396</v>
      </c>
      <c r="H65" s="1069" t="s">
        <v>1397</v>
      </c>
      <c r="I65" s="1069" t="s">
        <v>1398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1399</v>
      </c>
      <c r="D66" s="1071" t="s">
        <v>1399</v>
      </c>
      <c r="E66" s="1071" t="s">
        <v>1399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1342</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1343</v>
      </c>
      <c r="B76" s="1064" t="s">
        <v>1722</v>
      </c>
      <c r="C76" s="1085" t="s">
        <v>1400</v>
      </c>
      <c r="D76" s="1085" t="s">
        <v>1401</v>
      </c>
      <c r="E76" s="1085" t="s">
        <v>1402</v>
      </c>
      <c r="F76" s="1085" t="s">
        <v>1403</v>
      </c>
      <c r="G76" s="1085" t="s">
        <v>1404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1347</v>
      </c>
      <c r="C78" s="1087" t="s">
        <v>1400</v>
      </c>
      <c r="D78" s="1087" t="s">
        <v>1401</v>
      </c>
      <c r="E78" s="1087" t="s">
        <v>1402</v>
      </c>
      <c r="F78" s="1087" t="s">
        <v>1403</v>
      </c>
      <c r="G78" s="1087" t="s">
        <v>1404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1349</v>
      </c>
      <c r="C80" s="1087" t="s">
        <v>1400</v>
      </c>
      <c r="D80" s="1087" t="s">
        <v>1401</v>
      </c>
      <c r="E80" s="1087" t="s">
        <v>1402</v>
      </c>
      <c r="F80" s="1087" t="s">
        <v>1403</v>
      </c>
      <c r="G80" s="1087" t="s">
        <v>1404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1350</v>
      </c>
      <c r="C82" s="1092" t="s">
        <v>1405</v>
      </c>
      <c r="D82" s="1092" t="s">
        <v>1406</v>
      </c>
      <c r="E82" s="1092" t="s">
        <v>1407</v>
      </c>
      <c r="F82" s="1092" t="s">
        <v>1408</v>
      </c>
      <c r="G82" s="1092" t="s">
        <v>1409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1706</v>
      </c>
      <c r="C84" s="1087" t="s">
        <v>1400</v>
      </c>
      <c r="D84" s="1087" t="s">
        <v>1401</v>
      </c>
      <c r="E84" s="1087" t="s">
        <v>1402</v>
      </c>
      <c r="F84" s="1087" t="s">
        <v>1403</v>
      </c>
      <c r="G84" s="1087" t="s">
        <v>1404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1707</v>
      </c>
      <c r="C86" s="2000" t="s">
        <v>1723</v>
      </c>
      <c r="D86" s="2000" t="s">
        <v>1708</v>
      </c>
      <c r="E86" s="2000" t="s">
        <v>1709</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1724</v>
      </c>
      <c r="D90" s="2000" t="s">
        <v>1712</v>
      </c>
      <c r="E90" s="2000" t="s">
        <v>1713</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1725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1355</v>
      </c>
      <c r="D94" s="2000" t="s">
        <v>1410</v>
      </c>
      <c r="E94" s="2000" t="s">
        <v>1411</v>
      </c>
      <c r="F94" s="2000" t="s">
        <v>1356</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1361</v>
      </c>
      <c r="B100" s="1064" t="s">
        <v>1715</v>
      </c>
      <c r="C100" s="2128" t="s">
        <v>1716</v>
      </c>
      <c r="D100" s="2128"/>
      <c r="E100" s="2128" t="s">
        <v>1717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1365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1366</v>
      </c>
      <c r="C105" s="2000" t="s">
        <v>1367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1368</v>
      </c>
      <c r="C107" s="2000" t="s">
        <v>1369</v>
      </c>
      <c r="D107" s="2000" t="s">
        <v>1380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619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1375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1718</v>
      </c>
      <c r="C114" s="2000" t="s">
        <v>1719</v>
      </c>
      <c r="D114" s="2000" t="s">
        <v>1720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1376</v>
      </c>
      <c r="C116" s="2000" t="s">
        <v>1377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1414</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1727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1379</v>
      </c>
      <c r="C122" s="2000" t="s">
        <v>1369</v>
      </c>
      <c r="D122" s="2000" t="s">
        <v>1380</v>
      </c>
      <c r="E122" s="2000" t="s">
        <v>1415</v>
      </c>
      <c r="F122" s="2130" t="s">
        <v>1416</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1381</v>
      </c>
      <c r="C124" s="1087" t="s">
        <v>1400</v>
      </c>
      <c r="D124" s="1087" t="s">
        <v>1401</v>
      </c>
      <c r="E124" s="1087" t="s">
        <v>1402</v>
      </c>
      <c r="F124" s="1087" t="s">
        <v>1403</v>
      </c>
      <c r="G124" s="1087" t="s">
        <v>1404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'比较法-商业出租'!商业用途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1417</v>
      </c>
      <c r="C1" s="1988" t="s">
        <v>1418</v>
      </c>
      <c r="D1" s="1989"/>
      <c r="E1" s="1989"/>
      <c r="F1" s="1989"/>
      <c r="G1" s="1989"/>
      <c r="H1" s="1989"/>
      <c r="I1" s="1989"/>
      <c r="J1" s="1989"/>
      <c r="K1" s="1989"/>
      <c r="L1" s="1989"/>
      <c r="M1" s="1989"/>
      <c r="N1" s="1989"/>
      <c r="O1" s="1989"/>
      <c r="P1" s="1989"/>
      <c r="Q1" s="1989"/>
      <c r="R1" s="1989"/>
      <c r="S1" s="2068"/>
      <c r="T1" s="1987" t="s">
        <v>1419</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1420</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1421</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1422</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1423</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1424</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1425</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1426</v>
      </c>
      <c r="B17" s="2019" t="s">
        <v>1427</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1428</v>
      </c>
      <c r="E19" s="2030"/>
      <c r="F19" s="2030"/>
      <c r="G19" s="2030"/>
      <c r="H19" s="1660"/>
      <c r="I19" s="2028"/>
      <c r="J19" s="2028"/>
      <c r="K19" s="2028"/>
      <c r="L19" s="2028"/>
      <c r="M19" s="2028"/>
      <c r="N19" s="2028"/>
      <c r="O19" s="2028"/>
      <c r="P19" s="2028"/>
      <c r="Q19" s="2028"/>
      <c r="R19" s="2093"/>
      <c r="S19" s="2027"/>
    </row>
    <row r="20" ht="16.5" spans="1:19">
      <c r="A20" s="2031" t="s">
        <v>1429</v>
      </c>
      <c r="B20" s="2032">
        <f ca="1">IF(D20="——",S22,S22-F20)</f>
        <v>11</v>
      </c>
      <c r="C20" s="2028"/>
      <c r="D20" s="2033" t="s">
        <v>124</v>
      </c>
      <c r="E20" s="2034"/>
      <c r="F20" s="1987" t="e">
        <f ca="1">SUMIF(INDIRECT("'"&amp;H20&amp;"'"&amp;"!A:A"),"承租人权益价值",INDIRECT("'"&amp;H20&amp;"'"&amp;"!c:c"))</f>
        <v>#REF!</v>
      </c>
      <c r="G20" s="1987" t="s">
        <v>1124</v>
      </c>
      <c r="H20" s="2035"/>
      <c r="I20" s="2028"/>
      <c r="J20" s="2028"/>
      <c r="K20" s="2028"/>
      <c r="L20" s="2028"/>
      <c r="M20" s="2028"/>
      <c r="N20" s="2028"/>
      <c r="O20" s="2028"/>
      <c r="P20" s="2028"/>
      <c r="Q20" s="2028"/>
      <c r="R20" s="2093"/>
      <c r="S20" s="2027"/>
    </row>
    <row r="21" ht="15.75" spans="1:19">
      <c r="A21" s="2031" t="s">
        <v>1430</v>
      </c>
      <c r="B21" s="2032">
        <f ca="1">ROUND(B20*10000/B22,0)</f>
        <v>12</v>
      </c>
      <c r="C21" s="2028"/>
      <c r="D21" s="2028"/>
      <c r="E21" s="2028"/>
      <c r="F21" s="2028"/>
      <c r="G21" s="2028"/>
      <c r="H21" s="2028"/>
      <c r="I21" s="2028"/>
      <c r="J21" s="2028"/>
      <c r="K21" s="2028"/>
      <c r="L21" s="2028"/>
      <c r="M21" s="2028"/>
      <c r="N21" s="2028"/>
      <c r="O21" s="2028"/>
      <c r="P21" s="2028"/>
      <c r="Q21" s="2028"/>
      <c r="R21" s="2093"/>
      <c r="S21" s="2027"/>
    </row>
    <row r="22" spans="1:19">
      <c r="A22" s="1573" t="s">
        <v>1431</v>
      </c>
      <c r="B22" s="1598">
        <f>SUM(B24:B10000)</f>
        <v>9451.97</v>
      </c>
      <c r="C22" s="1663" t="s">
        <v>124</v>
      </c>
      <c r="D22" s="1606"/>
      <c r="E22" s="1606"/>
      <c r="F22" s="1606"/>
      <c r="G22" s="1606"/>
      <c r="H22" s="1606"/>
      <c r="I22" s="1606"/>
      <c r="J22" s="1606"/>
      <c r="K22" s="1606"/>
      <c r="L22" s="1606"/>
      <c r="M22" s="1606"/>
      <c r="N22" s="1606"/>
      <c r="O22" s="1606"/>
      <c r="P22" s="1606"/>
      <c r="Q22" s="2094"/>
      <c r="R22" s="2095">
        <f>ROUND(S22*10000/B22,0)</f>
        <v>12</v>
      </c>
      <c r="S22" s="1598">
        <f>SUM(S24:S10000)</f>
        <v>11</v>
      </c>
    </row>
    <row r="23" s="1980" customFormat="1" ht="24" spans="1:45">
      <c r="A23" s="2036" t="s">
        <v>1432</v>
      </c>
      <c r="B23" s="2036" t="s">
        <v>368</v>
      </c>
      <c r="C23" s="2036" t="s">
        <v>1419</v>
      </c>
      <c r="D23" s="2036" t="str">
        <f>B5</f>
        <v>修正项2</v>
      </c>
      <c r="E23" s="2036" t="s">
        <v>1419</v>
      </c>
      <c r="F23" s="2036" t="str">
        <f>B7</f>
        <v>修正项3</v>
      </c>
      <c r="G23" s="2036" t="s">
        <v>1419</v>
      </c>
      <c r="H23" s="2036" t="str">
        <f>B9</f>
        <v>修正项4</v>
      </c>
      <c r="I23" s="2036" t="s">
        <v>1419</v>
      </c>
      <c r="J23" s="2036" t="str">
        <f>B11</f>
        <v>修正项5</v>
      </c>
      <c r="K23" s="2036" t="s">
        <v>1419</v>
      </c>
      <c r="L23" s="2036" t="str">
        <f>B13</f>
        <v>修正项6</v>
      </c>
      <c r="M23" s="2036" t="s">
        <v>1419</v>
      </c>
      <c r="N23" s="2036" t="str">
        <f>B15</f>
        <v>修正项7</v>
      </c>
      <c r="O23" s="2036" t="s">
        <v>1419</v>
      </c>
      <c r="P23" s="2036" t="str">
        <f>B17</f>
        <v>楼层</v>
      </c>
      <c r="Q23" s="2036" t="s">
        <v>1419</v>
      </c>
      <c r="R23" s="2096" t="s">
        <v>1433</v>
      </c>
      <c r="S23" s="2036" t="s">
        <v>1434</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1730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1731</v>
      </c>
      <c r="B26" s="2042">
        <f>面积!I26</f>
        <v>1582.73</v>
      </c>
      <c r="C26" s="1598">
        <f t="shared" si="6"/>
        <v>1.03</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9</v>
      </c>
      <c r="S26" s="1573">
        <f t="shared" si="5"/>
        <v>1</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'典型户型修正-商业出租'!一修多修正项5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E84" sqref="E84"/>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1737</v>
      </c>
      <c r="B1" s="1942"/>
      <c r="C1" s="1942"/>
      <c r="D1" s="1942"/>
      <c r="E1" s="1942"/>
      <c r="F1" s="1942"/>
      <c r="G1" s="1942"/>
      <c r="H1" s="1942"/>
      <c r="I1" s="1942"/>
    </row>
    <row r="2" ht="20.1" customHeight="1" spans="1:9">
      <c r="A2" s="1943" t="s">
        <v>701</v>
      </c>
      <c r="B2" s="1943"/>
      <c r="C2" s="1943"/>
      <c r="D2" s="1943"/>
      <c r="E2" s="1943"/>
      <c r="F2" s="1943"/>
      <c r="G2" s="1943"/>
      <c r="H2" s="1943"/>
      <c r="I2" s="1943"/>
    </row>
    <row r="3" ht="19.5" customHeight="1" spans="1:9">
      <c r="A3" s="1944" t="s">
        <v>702</v>
      </c>
      <c r="B3" s="1945" t="s">
        <v>703</v>
      </c>
      <c r="C3" s="1945" t="s">
        <v>704</v>
      </c>
      <c r="D3" s="1945" t="s">
        <v>705</v>
      </c>
      <c r="E3" s="1945" t="s">
        <v>706</v>
      </c>
      <c r="F3" s="1946" t="s">
        <v>707</v>
      </c>
      <c r="G3" s="1946" t="s">
        <v>708</v>
      </c>
      <c r="H3" s="1946" t="s">
        <v>709</v>
      </c>
      <c r="I3" s="1963" t="s">
        <v>710</v>
      </c>
    </row>
    <row r="4" ht="20.1" customHeight="1" spans="1:11">
      <c r="A4" s="1947"/>
      <c r="B4" s="1948"/>
      <c r="C4" s="1948"/>
      <c r="D4" s="1948"/>
      <c r="E4" s="1948"/>
      <c r="F4" s="1949" t="s">
        <v>711</v>
      </c>
      <c r="G4" s="1949"/>
      <c r="H4" s="1949"/>
      <c r="I4" s="1964"/>
      <c r="J4" s="1940" t="s">
        <v>708</v>
      </c>
      <c r="K4" s="1940" t="s">
        <v>1138</v>
      </c>
    </row>
    <row r="5" ht="20.1" customHeight="1" spans="1:11">
      <c r="A5" s="1950" t="s">
        <v>719</v>
      </c>
      <c r="B5" s="1951" t="s">
        <v>1738</v>
      </c>
      <c r="C5" s="1951" t="s">
        <v>1739</v>
      </c>
      <c r="D5" s="1952" t="s">
        <v>1740</v>
      </c>
      <c r="E5" s="1952" t="s">
        <v>1741</v>
      </c>
      <c r="F5" s="1953">
        <v>123.73</v>
      </c>
      <c r="G5" s="1953">
        <v>446.25</v>
      </c>
      <c r="H5" s="1954" t="s">
        <v>1742</v>
      </c>
      <c r="I5" s="1965" t="s">
        <v>725</v>
      </c>
      <c r="J5" s="1940">
        <f>ROUND(G5/30,2)</f>
        <v>14.88</v>
      </c>
      <c r="K5" s="1940">
        <f>G5*F5*12</f>
        <v>662574.15</v>
      </c>
    </row>
    <row r="6" ht="20.1" customHeight="1" spans="1:9">
      <c r="A6" s="1950" t="s">
        <v>719</v>
      </c>
      <c r="B6" s="1951" t="s">
        <v>1738</v>
      </c>
      <c r="C6" s="1951" t="s">
        <v>1739</v>
      </c>
      <c r="D6" s="1952" t="s">
        <v>1743</v>
      </c>
      <c r="E6" s="1952"/>
      <c r="F6" s="1953">
        <v>36.8</v>
      </c>
      <c r="G6" s="1953"/>
      <c r="H6" s="1953"/>
      <c r="I6" s="1965" t="s">
        <v>731</v>
      </c>
    </row>
    <row r="7" ht="20.1" customHeight="1" spans="1:9">
      <c r="A7" s="1950" t="s">
        <v>719</v>
      </c>
      <c r="B7" s="1951" t="s">
        <v>1738</v>
      </c>
      <c r="C7" s="1951" t="s">
        <v>1739</v>
      </c>
      <c r="D7" s="1952" t="s">
        <v>1744</v>
      </c>
      <c r="E7" s="1952"/>
      <c r="F7" s="1953">
        <v>37.13</v>
      </c>
      <c r="G7" s="1953"/>
      <c r="H7" s="1953"/>
      <c r="I7" s="1965" t="s">
        <v>731</v>
      </c>
    </row>
    <row r="8" ht="20.1" customHeight="1" spans="1:11">
      <c r="A8" s="1950" t="s">
        <v>719</v>
      </c>
      <c r="B8" s="1951" t="s">
        <v>1738</v>
      </c>
      <c r="C8" s="1951" t="s">
        <v>1739</v>
      </c>
      <c r="D8" s="1952" t="s">
        <v>1745</v>
      </c>
      <c r="E8" s="1952" t="s">
        <v>1746</v>
      </c>
      <c r="F8" s="1953">
        <v>58.98</v>
      </c>
      <c r="G8" s="1953">
        <v>551.25</v>
      </c>
      <c r="H8" s="1955" t="s">
        <v>1747</v>
      </c>
      <c r="I8" s="1965" t="s">
        <v>725</v>
      </c>
      <c r="J8" s="1940">
        <f t="shared" ref="J8:J30" si="0">ROUND(G8/30,2)</f>
        <v>18.38</v>
      </c>
      <c r="K8" s="1940">
        <f t="shared" ref="K8:K30" si="1">G8*F8*12</f>
        <v>390152.7</v>
      </c>
    </row>
    <row r="9" ht="20.1" customHeight="1" spans="1:11">
      <c r="A9" s="1950" t="s">
        <v>719</v>
      </c>
      <c r="B9" s="1951" t="s">
        <v>1738</v>
      </c>
      <c r="C9" s="1951" t="s">
        <v>1739</v>
      </c>
      <c r="D9" s="1952" t="s">
        <v>1748</v>
      </c>
      <c r="E9" s="1952" t="s">
        <v>1749</v>
      </c>
      <c r="F9" s="1953">
        <v>60</v>
      </c>
      <c r="G9" s="1953">
        <v>662</v>
      </c>
      <c r="H9" s="1954" t="s">
        <v>1750</v>
      </c>
      <c r="I9" s="1965" t="s">
        <v>725</v>
      </c>
      <c r="J9" s="1940">
        <f t="shared" si="0"/>
        <v>22.07</v>
      </c>
      <c r="K9" s="1940">
        <f t="shared" si="1"/>
        <v>476640</v>
      </c>
    </row>
    <row r="10" ht="20.1" customHeight="1" spans="1:11">
      <c r="A10" s="1950" t="s">
        <v>719</v>
      </c>
      <c r="B10" s="1951" t="s">
        <v>1738</v>
      </c>
      <c r="C10" s="1951" t="s">
        <v>1739</v>
      </c>
      <c r="D10" s="1952" t="s">
        <v>1751</v>
      </c>
      <c r="E10" s="1952" t="s">
        <v>1752</v>
      </c>
      <c r="F10" s="1953">
        <v>30.61</v>
      </c>
      <c r="G10" s="1953">
        <v>716.63</v>
      </c>
      <c r="H10" s="1955" t="s">
        <v>1747</v>
      </c>
      <c r="I10" s="1965" t="s">
        <v>725</v>
      </c>
      <c r="J10" s="1940">
        <f t="shared" si="0"/>
        <v>23.89</v>
      </c>
      <c r="K10" s="1940">
        <f t="shared" si="1"/>
        <v>263232.5316</v>
      </c>
    </row>
    <row r="11" ht="20.1" customHeight="1" spans="1:11">
      <c r="A11" s="1950" t="s">
        <v>719</v>
      </c>
      <c r="B11" s="1951" t="s">
        <v>1738</v>
      </c>
      <c r="C11" s="1951" t="s">
        <v>1739</v>
      </c>
      <c r="D11" s="1952" t="s">
        <v>1753</v>
      </c>
      <c r="E11" s="1952" t="s">
        <v>1754</v>
      </c>
      <c r="F11" s="1953">
        <v>161.46</v>
      </c>
      <c r="G11" s="1953">
        <v>436</v>
      </c>
      <c r="H11" s="1955" t="s">
        <v>1755</v>
      </c>
      <c r="I11" s="1965" t="s">
        <v>725</v>
      </c>
      <c r="J11" s="1940">
        <f t="shared" si="0"/>
        <v>14.53</v>
      </c>
      <c r="K11" s="1940">
        <f t="shared" si="1"/>
        <v>844758.72</v>
      </c>
    </row>
    <row r="12" ht="20.1" customHeight="1" spans="1:11">
      <c r="A12" s="1950" t="s">
        <v>719</v>
      </c>
      <c r="B12" s="1951" t="s">
        <v>1738</v>
      </c>
      <c r="C12" s="1951" t="s">
        <v>1739</v>
      </c>
      <c r="D12" s="1952" t="s">
        <v>1756</v>
      </c>
      <c r="E12" s="1952" t="s">
        <v>1757</v>
      </c>
      <c r="F12" s="1953">
        <v>158.93</v>
      </c>
      <c r="G12" s="1953">
        <v>389.5</v>
      </c>
      <c r="H12" s="1955" t="s">
        <v>1758</v>
      </c>
      <c r="I12" s="1965" t="s">
        <v>725</v>
      </c>
      <c r="J12" s="1940">
        <f t="shared" si="0"/>
        <v>12.98</v>
      </c>
      <c r="K12" s="1940">
        <f t="shared" si="1"/>
        <v>742838.82</v>
      </c>
    </row>
    <row r="13" ht="20.1" customHeight="1" spans="1:11">
      <c r="A13" s="1950" t="s">
        <v>719</v>
      </c>
      <c r="B13" s="1951" t="s">
        <v>1738</v>
      </c>
      <c r="C13" s="1951" t="s">
        <v>1739</v>
      </c>
      <c r="D13" s="1952" t="s">
        <v>1759</v>
      </c>
      <c r="E13" s="1952" t="s">
        <v>1760</v>
      </c>
      <c r="F13" s="1953">
        <v>145.87</v>
      </c>
      <c r="G13" s="1953">
        <v>457.5</v>
      </c>
      <c r="H13" s="1955" t="s">
        <v>1761</v>
      </c>
      <c r="I13" s="1965" t="s">
        <v>725</v>
      </c>
      <c r="J13" s="1940">
        <f t="shared" si="0"/>
        <v>15.25</v>
      </c>
      <c r="K13" s="1940">
        <f t="shared" si="1"/>
        <v>800826.3</v>
      </c>
    </row>
    <row r="14" ht="20.1" customHeight="1" spans="1:9">
      <c r="A14" s="1950" t="s">
        <v>719</v>
      </c>
      <c r="B14" s="1951" t="s">
        <v>1738</v>
      </c>
      <c r="C14" s="1951" t="s">
        <v>1739</v>
      </c>
      <c r="D14" s="1952" t="s">
        <v>1762</v>
      </c>
      <c r="E14" s="1952"/>
      <c r="F14" s="1953">
        <v>147.69</v>
      </c>
      <c r="G14" s="1953"/>
      <c r="H14" s="1955"/>
      <c r="I14" s="1965"/>
    </row>
    <row r="15" ht="20.1" customHeight="1" spans="1:11">
      <c r="A15" s="1950" t="s">
        <v>719</v>
      </c>
      <c r="B15" s="1951" t="s">
        <v>1738</v>
      </c>
      <c r="C15" s="1951" t="s">
        <v>1739</v>
      </c>
      <c r="D15" s="1952" t="s">
        <v>1763</v>
      </c>
      <c r="E15" s="1952" t="s">
        <v>1764</v>
      </c>
      <c r="F15" s="1953">
        <v>30</v>
      </c>
      <c r="G15" s="1953">
        <v>350</v>
      </c>
      <c r="H15" s="1956" t="s">
        <v>1765</v>
      </c>
      <c r="I15" s="1965" t="s">
        <v>725</v>
      </c>
      <c r="J15" s="1940">
        <f t="shared" si="0"/>
        <v>11.67</v>
      </c>
      <c r="K15" s="1940">
        <f t="shared" si="1"/>
        <v>126000</v>
      </c>
    </row>
    <row r="16" ht="20.1" customHeight="1" spans="1:11">
      <c r="A16" s="1950" t="s">
        <v>719</v>
      </c>
      <c r="B16" s="1951" t="s">
        <v>1738</v>
      </c>
      <c r="C16" s="1951" t="s">
        <v>1739</v>
      </c>
      <c r="D16" s="1952" t="s">
        <v>1766</v>
      </c>
      <c r="E16" s="1952" t="s">
        <v>1767</v>
      </c>
      <c r="F16" s="1953">
        <v>228.98</v>
      </c>
      <c r="G16" s="1953">
        <v>380</v>
      </c>
      <c r="H16" s="1955" t="s">
        <v>1768</v>
      </c>
      <c r="I16" s="1965" t="s">
        <v>725</v>
      </c>
      <c r="J16" s="1940">
        <f t="shared" si="0"/>
        <v>12.67</v>
      </c>
      <c r="K16" s="1940">
        <f t="shared" si="1"/>
        <v>1044148.8</v>
      </c>
    </row>
    <row r="17" ht="20.1" customHeight="1" spans="1:11">
      <c r="A17" s="1950" t="s">
        <v>719</v>
      </c>
      <c r="B17" s="1951" t="s">
        <v>1738</v>
      </c>
      <c r="C17" s="1951" t="s">
        <v>1739</v>
      </c>
      <c r="D17" s="1952" t="s">
        <v>1769</v>
      </c>
      <c r="E17" s="1952" t="s">
        <v>1770</v>
      </c>
      <c r="F17" s="1953">
        <v>28.21</v>
      </c>
      <c r="G17" s="1953">
        <v>572.25</v>
      </c>
      <c r="H17" s="1955" t="s">
        <v>1771</v>
      </c>
      <c r="I17" s="1966" t="s">
        <v>725</v>
      </c>
      <c r="J17" s="1940">
        <f t="shared" si="0"/>
        <v>19.08</v>
      </c>
      <c r="K17" s="1940">
        <f t="shared" si="1"/>
        <v>193718.07</v>
      </c>
    </row>
    <row r="18" ht="20.1" customHeight="1" spans="1:9">
      <c r="A18" s="1950" t="s">
        <v>719</v>
      </c>
      <c r="B18" s="1951" t="s">
        <v>1738</v>
      </c>
      <c r="C18" s="1951" t="s">
        <v>1739</v>
      </c>
      <c r="D18" s="1952" t="s">
        <v>1772</v>
      </c>
      <c r="E18" s="1952"/>
      <c r="F18" s="1953">
        <v>141.82</v>
      </c>
      <c r="G18" s="1953"/>
      <c r="H18" s="1953"/>
      <c r="I18" s="1965" t="s">
        <v>731</v>
      </c>
    </row>
    <row r="19" ht="20.1" customHeight="1" spans="1:11">
      <c r="A19" s="1950" t="s">
        <v>719</v>
      </c>
      <c r="B19" s="1951" t="s">
        <v>1738</v>
      </c>
      <c r="C19" s="1951" t="s">
        <v>1739</v>
      </c>
      <c r="D19" s="1951" t="s">
        <v>1773</v>
      </c>
      <c r="E19" s="1952" t="s">
        <v>1774</v>
      </c>
      <c r="F19" s="1953">
        <v>371.74</v>
      </c>
      <c r="G19" s="1956">
        <v>69</v>
      </c>
      <c r="H19" s="1955" t="s">
        <v>1775</v>
      </c>
      <c r="I19" s="1965" t="s">
        <v>801</v>
      </c>
      <c r="J19" s="1940">
        <f t="shared" si="0"/>
        <v>2.3</v>
      </c>
      <c r="K19" s="1940">
        <f t="shared" si="1"/>
        <v>307800.72</v>
      </c>
    </row>
    <row r="20" ht="20.1" customHeight="1" spans="1:11">
      <c r="A20" s="1950" t="s">
        <v>719</v>
      </c>
      <c r="B20" s="1951" t="s">
        <v>1738</v>
      </c>
      <c r="C20" s="1951" t="s">
        <v>1739</v>
      </c>
      <c r="D20" s="1951" t="s">
        <v>1776</v>
      </c>
      <c r="E20" s="1952" t="s">
        <v>1777</v>
      </c>
      <c r="F20" s="1953">
        <v>124.6</v>
      </c>
      <c r="G20" s="1953">
        <v>380.36</v>
      </c>
      <c r="H20" s="1955" t="s">
        <v>1778</v>
      </c>
      <c r="I20" s="1965" t="s">
        <v>725</v>
      </c>
      <c r="J20" s="1940">
        <f t="shared" si="0"/>
        <v>12.68</v>
      </c>
      <c r="K20" s="1940">
        <f t="shared" si="1"/>
        <v>568714.272</v>
      </c>
    </row>
    <row r="21" ht="20.1" customHeight="1" spans="1:11">
      <c r="A21" s="1950" t="s">
        <v>719</v>
      </c>
      <c r="B21" s="1951" t="s">
        <v>1738</v>
      </c>
      <c r="C21" s="1951" t="s">
        <v>1739</v>
      </c>
      <c r="D21" s="1951" t="s">
        <v>1779</v>
      </c>
      <c r="E21" s="1952" t="s">
        <v>1780</v>
      </c>
      <c r="F21" s="1953">
        <v>115</v>
      </c>
      <c r="G21" s="1953">
        <v>540</v>
      </c>
      <c r="H21" s="1955" t="s">
        <v>1781</v>
      </c>
      <c r="I21" s="1965" t="s">
        <v>725</v>
      </c>
      <c r="J21" s="1940">
        <f t="shared" si="0"/>
        <v>18</v>
      </c>
      <c r="K21" s="1940">
        <f t="shared" si="1"/>
        <v>745200</v>
      </c>
    </row>
    <row r="22" ht="20.1" customHeight="1" spans="1:11">
      <c r="A22" s="1950" t="s">
        <v>719</v>
      </c>
      <c r="B22" s="1951" t="s">
        <v>1738</v>
      </c>
      <c r="C22" s="1951" t="s">
        <v>1739</v>
      </c>
      <c r="D22" s="1952" t="s">
        <v>1782</v>
      </c>
      <c r="E22" s="1952" t="s">
        <v>1783</v>
      </c>
      <c r="F22" s="1953">
        <v>14</v>
      </c>
      <c r="G22" s="1953">
        <v>486.15</v>
      </c>
      <c r="H22" s="1955" t="s">
        <v>1784</v>
      </c>
      <c r="I22" s="1965" t="s">
        <v>725</v>
      </c>
      <c r="J22" s="1940">
        <f t="shared" si="0"/>
        <v>16.21</v>
      </c>
      <c r="K22" s="1940">
        <f t="shared" si="1"/>
        <v>81673.2</v>
      </c>
    </row>
    <row r="23" ht="20.1" customHeight="1" spans="1:11">
      <c r="A23" s="1950" t="s">
        <v>719</v>
      </c>
      <c r="B23" s="1951" t="s">
        <v>1738</v>
      </c>
      <c r="C23" s="1951" t="s">
        <v>1739</v>
      </c>
      <c r="D23" s="1951" t="s">
        <v>1785</v>
      </c>
      <c r="E23" s="1951" t="s">
        <v>1786</v>
      </c>
      <c r="F23" s="1957">
        <v>12.75</v>
      </c>
      <c r="G23" s="1957">
        <v>445</v>
      </c>
      <c r="H23" s="1955" t="s">
        <v>1747</v>
      </c>
      <c r="I23" s="1965" t="s">
        <v>725</v>
      </c>
      <c r="J23" s="1940">
        <f t="shared" si="0"/>
        <v>14.83</v>
      </c>
      <c r="K23" s="1940">
        <f t="shared" si="1"/>
        <v>68085</v>
      </c>
    </row>
    <row r="24" ht="20.1" customHeight="1" spans="1:11">
      <c r="A24" s="1950" t="s">
        <v>719</v>
      </c>
      <c r="B24" s="1951" t="s">
        <v>1738</v>
      </c>
      <c r="C24" s="1951" t="s">
        <v>1739</v>
      </c>
      <c r="D24" s="1951" t="s">
        <v>1787</v>
      </c>
      <c r="E24" s="1952" t="s">
        <v>1788</v>
      </c>
      <c r="F24" s="1957">
        <v>9</v>
      </c>
      <c r="G24" s="1957">
        <v>749</v>
      </c>
      <c r="H24" s="1955" t="s">
        <v>1789</v>
      </c>
      <c r="I24" s="1965" t="s">
        <v>725</v>
      </c>
      <c r="J24" s="1940">
        <f t="shared" si="0"/>
        <v>24.97</v>
      </c>
      <c r="K24" s="1940">
        <f t="shared" si="1"/>
        <v>80892</v>
      </c>
    </row>
    <row r="25" ht="20.1" customHeight="1" spans="1:9">
      <c r="A25" s="1950" t="s">
        <v>719</v>
      </c>
      <c r="B25" s="1951" t="s">
        <v>1790</v>
      </c>
      <c r="C25" s="1951" t="s">
        <v>1739</v>
      </c>
      <c r="D25" s="1951" t="s">
        <v>1791</v>
      </c>
      <c r="E25" s="1952"/>
      <c r="F25" s="1957">
        <v>33.8</v>
      </c>
      <c r="G25" s="1957"/>
      <c r="H25" s="1955"/>
      <c r="I25" s="1965" t="s">
        <v>731</v>
      </c>
    </row>
    <row r="26" ht="20.1" customHeight="1" spans="1:9">
      <c r="A26" s="1950" t="s">
        <v>719</v>
      </c>
      <c r="B26" s="1951" t="s">
        <v>1792</v>
      </c>
      <c r="C26" s="1951" t="s">
        <v>1739</v>
      </c>
      <c r="D26" s="1951" t="s">
        <v>1793</v>
      </c>
      <c r="E26" s="1952"/>
      <c r="F26" s="1957">
        <v>33.8</v>
      </c>
      <c r="G26" s="1957"/>
      <c r="H26" s="1955"/>
      <c r="I26" s="1965" t="s">
        <v>731</v>
      </c>
    </row>
    <row r="27" ht="17.25" customHeight="1" spans="1:9">
      <c r="A27" s="1950" t="s">
        <v>719</v>
      </c>
      <c r="B27" s="1951" t="s">
        <v>1794</v>
      </c>
      <c r="C27" s="1951" t="s">
        <v>1739</v>
      </c>
      <c r="D27" s="1951" t="s">
        <v>1795</v>
      </c>
      <c r="E27" s="1952"/>
      <c r="F27" s="1957">
        <v>33.8</v>
      </c>
      <c r="G27" s="1957"/>
      <c r="H27" s="1955"/>
      <c r="I27" s="1965" t="s">
        <v>731</v>
      </c>
    </row>
    <row r="28" ht="20.1" customHeight="1" spans="1:11">
      <c r="A28" s="1950" t="s">
        <v>719</v>
      </c>
      <c r="B28" s="1951" t="s">
        <v>1738</v>
      </c>
      <c r="C28" s="1951" t="s">
        <v>1739</v>
      </c>
      <c r="D28" s="1951" t="s">
        <v>1796</v>
      </c>
      <c r="E28" s="1952" t="s">
        <v>1797</v>
      </c>
      <c r="F28" s="1957">
        <v>20</v>
      </c>
      <c r="G28" s="1957">
        <v>363</v>
      </c>
      <c r="H28" s="1955" t="s">
        <v>1798</v>
      </c>
      <c r="I28" s="1965" t="s">
        <v>725</v>
      </c>
      <c r="J28" s="1940">
        <f t="shared" si="0"/>
        <v>12.1</v>
      </c>
      <c r="K28" s="1940">
        <f t="shared" si="1"/>
        <v>87120</v>
      </c>
    </row>
    <row r="29" ht="20.1" customHeight="1" spans="1:9">
      <c r="A29" s="1950" t="s">
        <v>719</v>
      </c>
      <c r="B29" s="1951" t="s">
        <v>1738</v>
      </c>
      <c r="C29" s="1951" t="s">
        <v>1739</v>
      </c>
      <c r="D29" s="1951" t="s">
        <v>1799</v>
      </c>
      <c r="E29" s="1952"/>
      <c r="F29" s="1957">
        <v>36.33</v>
      </c>
      <c r="G29" s="1957"/>
      <c r="H29" s="1955"/>
      <c r="I29" s="1965" t="s">
        <v>731</v>
      </c>
    </row>
    <row r="30" ht="20.1" customHeight="1" spans="1:15">
      <c r="A30" s="1950" t="s">
        <v>719</v>
      </c>
      <c r="B30" s="1951" t="s">
        <v>1738</v>
      </c>
      <c r="C30" s="1951" t="s">
        <v>1739</v>
      </c>
      <c r="D30" s="1951" t="s">
        <v>1800</v>
      </c>
      <c r="E30" s="1952" t="s">
        <v>1801</v>
      </c>
      <c r="F30" s="1957">
        <v>4</v>
      </c>
      <c r="G30" s="1957">
        <v>800</v>
      </c>
      <c r="H30" s="1955" t="s">
        <v>1802</v>
      </c>
      <c r="I30" s="1965" t="s">
        <v>725</v>
      </c>
      <c r="J30" s="1940">
        <f t="shared" si="0"/>
        <v>26.67</v>
      </c>
      <c r="K30" s="1940">
        <f t="shared" si="1"/>
        <v>38400</v>
      </c>
      <c r="M30" s="1940" t="s">
        <v>1803</v>
      </c>
      <c r="N30" s="1940" t="s">
        <v>1804</v>
      </c>
      <c r="O30" s="1940" t="s">
        <v>1805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719</v>
      </c>
      <c r="B32" s="1951" t="s">
        <v>1738</v>
      </c>
      <c r="C32" s="1951" t="s">
        <v>1806</v>
      </c>
      <c r="D32" s="1951" t="s">
        <v>1807</v>
      </c>
      <c r="E32" s="1952" t="s">
        <v>1783</v>
      </c>
      <c r="F32" s="1953">
        <v>4194</v>
      </c>
      <c r="G32" s="1953">
        <v>115.08</v>
      </c>
      <c r="H32" s="1955" t="s">
        <v>1784</v>
      </c>
      <c r="I32" s="1965" t="s">
        <v>725</v>
      </c>
      <c r="J32" s="1940">
        <f>ROUND(G32/30,2)</f>
        <v>3.84</v>
      </c>
      <c r="K32" s="1940">
        <f>G32*F32*12</f>
        <v>5791746.24</v>
      </c>
      <c r="M32" s="1940" t="s">
        <v>1808</v>
      </c>
      <c r="N32" s="1940" t="s">
        <v>1809</v>
      </c>
      <c r="O32" s="1940" t="s">
        <v>1810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719</v>
      </c>
      <c r="B34" s="1951" t="s">
        <v>1738</v>
      </c>
      <c r="C34" s="1951" t="s">
        <v>1811</v>
      </c>
      <c r="D34" s="1951" t="s">
        <v>1812</v>
      </c>
      <c r="E34" s="1952" t="s">
        <v>1813</v>
      </c>
      <c r="F34" s="1953">
        <v>98.12</v>
      </c>
      <c r="G34" s="1953">
        <v>550</v>
      </c>
      <c r="H34" s="1955" t="s">
        <v>1814</v>
      </c>
      <c r="I34" s="1965" t="s">
        <v>725</v>
      </c>
      <c r="J34" s="1940">
        <f t="shared" ref="J34:J41" si="2">ROUND(G34/30,2)</f>
        <v>18.33</v>
      </c>
      <c r="K34" s="1940">
        <f t="shared" ref="K34:K41" si="3">G34*F34*12</f>
        <v>647592</v>
      </c>
    </row>
    <row r="35" ht="20.1" customHeight="1" spans="1:11">
      <c r="A35" s="1950" t="s">
        <v>719</v>
      </c>
      <c r="B35" s="1951" t="s">
        <v>1738</v>
      </c>
      <c r="C35" s="1951" t="s">
        <v>1811</v>
      </c>
      <c r="D35" s="1951" t="s">
        <v>1815</v>
      </c>
      <c r="E35" s="1952" t="s">
        <v>1816</v>
      </c>
      <c r="F35" s="1953">
        <v>49.23</v>
      </c>
      <c r="G35" s="1953">
        <v>491</v>
      </c>
      <c r="H35" s="1955" t="s">
        <v>1778</v>
      </c>
      <c r="I35" s="1965" t="s">
        <v>725</v>
      </c>
      <c r="J35" s="1940">
        <f t="shared" si="2"/>
        <v>16.37</v>
      </c>
      <c r="K35" s="1940">
        <f t="shared" si="3"/>
        <v>290063.16</v>
      </c>
    </row>
    <row r="36" ht="20.1" customHeight="1" spans="1:11">
      <c r="A36" s="1950" t="s">
        <v>719</v>
      </c>
      <c r="B36" s="1951" t="s">
        <v>1738</v>
      </c>
      <c r="C36" s="1951" t="s">
        <v>1811</v>
      </c>
      <c r="D36" s="1951" t="s">
        <v>1817</v>
      </c>
      <c r="E36" s="1952" t="s">
        <v>1783</v>
      </c>
      <c r="F36" s="1953">
        <v>82</v>
      </c>
      <c r="G36" s="1953">
        <v>486.15</v>
      </c>
      <c r="H36" s="1955" t="s">
        <v>1784</v>
      </c>
      <c r="I36" s="1965" t="s">
        <v>725</v>
      </c>
      <c r="J36" s="1940">
        <f t="shared" si="2"/>
        <v>16.21</v>
      </c>
      <c r="K36" s="1940">
        <f t="shared" si="3"/>
        <v>478371.6</v>
      </c>
    </row>
    <row r="37" ht="20.1" customHeight="1" spans="1:11">
      <c r="A37" s="1950" t="s">
        <v>719</v>
      </c>
      <c r="B37" s="1951" t="s">
        <v>1738</v>
      </c>
      <c r="C37" s="1951" t="s">
        <v>1811</v>
      </c>
      <c r="D37" s="1951" t="s">
        <v>1818</v>
      </c>
      <c r="E37" s="1952" t="s">
        <v>1819</v>
      </c>
      <c r="F37" s="1953">
        <v>126.18</v>
      </c>
      <c r="G37" s="1953">
        <v>491</v>
      </c>
      <c r="H37" s="1955" t="s">
        <v>1778</v>
      </c>
      <c r="I37" s="1965" t="s">
        <v>725</v>
      </c>
      <c r="J37" s="1940">
        <f t="shared" si="2"/>
        <v>16.37</v>
      </c>
      <c r="K37" s="1940">
        <f t="shared" si="3"/>
        <v>743452.56</v>
      </c>
    </row>
    <row r="38" ht="20.1" customHeight="1" spans="1:11">
      <c r="A38" s="1950" t="s">
        <v>719</v>
      </c>
      <c r="B38" s="1951" t="s">
        <v>1738</v>
      </c>
      <c r="C38" s="1951" t="s">
        <v>1811</v>
      </c>
      <c r="D38" s="1951" t="s">
        <v>1820</v>
      </c>
      <c r="E38" s="1952" t="s">
        <v>1821</v>
      </c>
      <c r="F38" s="1953">
        <v>28.46</v>
      </c>
      <c r="G38" s="1953">
        <v>630</v>
      </c>
      <c r="H38" s="1955" t="s">
        <v>1822</v>
      </c>
      <c r="I38" s="1965" t="s">
        <v>801</v>
      </c>
      <c r="J38" s="1940">
        <f t="shared" si="2"/>
        <v>21</v>
      </c>
      <c r="K38" s="1940">
        <f t="shared" si="3"/>
        <v>215157.6</v>
      </c>
    </row>
    <row r="39" ht="20.1" customHeight="1" spans="1:11">
      <c r="A39" s="1950" t="s">
        <v>719</v>
      </c>
      <c r="B39" s="1951" t="s">
        <v>1738</v>
      </c>
      <c r="C39" s="1951" t="s">
        <v>1811</v>
      </c>
      <c r="D39" s="1951" t="s">
        <v>1823</v>
      </c>
      <c r="E39" s="1952" t="s">
        <v>1824</v>
      </c>
      <c r="F39" s="1953">
        <v>269.76</v>
      </c>
      <c r="G39" s="1953">
        <v>551</v>
      </c>
      <c r="H39" s="1955" t="s">
        <v>1825</v>
      </c>
      <c r="I39" s="1965" t="s">
        <v>725</v>
      </c>
      <c r="J39" s="1940">
        <f t="shared" si="2"/>
        <v>18.37</v>
      </c>
      <c r="K39" s="1940">
        <f t="shared" si="3"/>
        <v>1783653.12</v>
      </c>
    </row>
    <row r="40" ht="20.1" customHeight="1" spans="1:11">
      <c r="A40" s="1950" t="s">
        <v>719</v>
      </c>
      <c r="B40" s="1951" t="s">
        <v>1738</v>
      </c>
      <c r="C40" s="1951" t="s">
        <v>1811</v>
      </c>
      <c r="D40" s="1951" t="s">
        <v>1826</v>
      </c>
      <c r="E40" s="1952" t="s">
        <v>1827</v>
      </c>
      <c r="F40" s="1953">
        <v>297.37</v>
      </c>
      <c r="G40" s="1953">
        <v>450</v>
      </c>
      <c r="H40" s="1955" t="s">
        <v>1828</v>
      </c>
      <c r="I40" s="1965" t="s">
        <v>725</v>
      </c>
      <c r="J40" s="1940">
        <f t="shared" si="2"/>
        <v>15</v>
      </c>
      <c r="K40" s="1940">
        <f t="shared" si="3"/>
        <v>1605798</v>
      </c>
    </row>
    <row r="41" ht="20.1" customHeight="1" spans="1:11">
      <c r="A41" s="1950" t="s">
        <v>719</v>
      </c>
      <c r="B41" s="1951" t="s">
        <v>1738</v>
      </c>
      <c r="C41" s="1951" t="s">
        <v>1811</v>
      </c>
      <c r="D41" s="1951" t="s">
        <v>1829</v>
      </c>
      <c r="E41" s="1952" t="s">
        <v>824</v>
      </c>
      <c r="F41" s="1953">
        <v>237.35</v>
      </c>
      <c r="G41" s="1956">
        <v>450</v>
      </c>
      <c r="H41" s="1955" t="s">
        <v>1830</v>
      </c>
      <c r="I41" s="1965" t="s">
        <v>725</v>
      </c>
      <c r="J41" s="1940">
        <f t="shared" si="2"/>
        <v>15</v>
      </c>
      <c r="K41" s="1940">
        <f t="shared" si="3"/>
        <v>1281690</v>
      </c>
    </row>
    <row r="42" ht="20.1" customHeight="1" spans="1:9">
      <c r="A42" s="1950" t="s">
        <v>719</v>
      </c>
      <c r="B42" s="1951" t="s">
        <v>1738</v>
      </c>
      <c r="C42" s="1951" t="s">
        <v>1811</v>
      </c>
      <c r="D42" s="1951" t="s">
        <v>1831</v>
      </c>
      <c r="E42" s="1952"/>
      <c r="F42" s="1953">
        <v>33</v>
      </c>
      <c r="G42" s="1953"/>
      <c r="H42" s="1953"/>
      <c r="I42" s="1965" t="s">
        <v>731</v>
      </c>
    </row>
    <row r="43" ht="20.1" customHeight="1" spans="1:11">
      <c r="A43" s="1950" t="s">
        <v>719</v>
      </c>
      <c r="B43" s="1951" t="s">
        <v>1738</v>
      </c>
      <c r="C43" s="1951" t="s">
        <v>1811</v>
      </c>
      <c r="D43" s="1951" t="s">
        <v>1832</v>
      </c>
      <c r="E43" s="1952" t="s">
        <v>1833</v>
      </c>
      <c r="F43" s="1953">
        <v>119.15</v>
      </c>
      <c r="G43" s="1953">
        <v>496.13</v>
      </c>
      <c r="H43" s="1955" t="s">
        <v>1778</v>
      </c>
      <c r="I43" s="1965" t="s">
        <v>725</v>
      </c>
      <c r="J43" s="1940">
        <f t="shared" ref="J43:J51" si="4">ROUND(G43/30,2)</f>
        <v>16.54</v>
      </c>
      <c r="K43" s="1940">
        <f t="shared" ref="K43:K51" si="5">G43*F43*12</f>
        <v>709366.674</v>
      </c>
    </row>
    <row r="44" ht="20.1" customHeight="1" spans="1:11">
      <c r="A44" s="1950" t="s">
        <v>719</v>
      </c>
      <c r="B44" s="1951" t="s">
        <v>1738</v>
      </c>
      <c r="C44" s="1951" t="s">
        <v>1811</v>
      </c>
      <c r="D44" s="1951" t="s">
        <v>1834</v>
      </c>
      <c r="E44" s="1952" t="s">
        <v>1835</v>
      </c>
      <c r="F44" s="1953">
        <v>154.76</v>
      </c>
      <c r="G44" s="1956">
        <v>530</v>
      </c>
      <c r="H44" s="1955" t="s">
        <v>1836</v>
      </c>
      <c r="I44" s="1965" t="s">
        <v>725</v>
      </c>
      <c r="J44" s="1940">
        <f t="shared" si="4"/>
        <v>17.67</v>
      </c>
      <c r="K44" s="1940">
        <f t="shared" si="5"/>
        <v>984273.6</v>
      </c>
    </row>
    <row r="45" ht="20.1" customHeight="1" spans="1:11">
      <c r="A45" s="1950" t="s">
        <v>719</v>
      </c>
      <c r="B45" s="1951" t="s">
        <v>1738</v>
      </c>
      <c r="C45" s="1951" t="s">
        <v>1811</v>
      </c>
      <c r="D45" s="1951" t="s">
        <v>1837</v>
      </c>
      <c r="E45" s="1952" t="s">
        <v>1838</v>
      </c>
      <c r="F45" s="1953">
        <v>118.66</v>
      </c>
      <c r="G45" s="1953">
        <v>452</v>
      </c>
      <c r="H45" s="1955" t="s">
        <v>1839</v>
      </c>
      <c r="I45" s="1965" t="s">
        <v>725</v>
      </c>
      <c r="J45" s="1940">
        <f t="shared" si="4"/>
        <v>15.07</v>
      </c>
      <c r="K45" s="1940">
        <f t="shared" si="5"/>
        <v>643611.84</v>
      </c>
    </row>
    <row r="46" ht="20.1" customHeight="1" spans="1:11">
      <c r="A46" s="1950" t="s">
        <v>719</v>
      </c>
      <c r="B46" s="1951" t="s">
        <v>1738</v>
      </c>
      <c r="C46" s="1951" t="s">
        <v>1811</v>
      </c>
      <c r="D46" s="1951" t="s">
        <v>1840</v>
      </c>
      <c r="E46" s="1952" t="s">
        <v>1841</v>
      </c>
      <c r="F46" s="1953">
        <v>29.32</v>
      </c>
      <c r="G46" s="1953">
        <v>500</v>
      </c>
      <c r="H46" s="1955" t="s">
        <v>1842</v>
      </c>
      <c r="I46" s="1965" t="s">
        <v>725</v>
      </c>
      <c r="J46" s="1940">
        <f t="shared" si="4"/>
        <v>16.67</v>
      </c>
      <c r="K46" s="1940">
        <f t="shared" si="5"/>
        <v>175920</v>
      </c>
    </row>
    <row r="47" ht="20.1" customHeight="1" spans="1:11">
      <c r="A47" s="1950" t="s">
        <v>719</v>
      </c>
      <c r="B47" s="1951" t="s">
        <v>1738</v>
      </c>
      <c r="C47" s="1951" t="s">
        <v>1811</v>
      </c>
      <c r="D47" s="1951" t="s">
        <v>1843</v>
      </c>
      <c r="E47" s="1952" t="s">
        <v>1844</v>
      </c>
      <c r="F47" s="1953">
        <v>219.03</v>
      </c>
      <c r="G47" s="1953">
        <v>173</v>
      </c>
      <c r="H47" s="1955" t="s">
        <v>1845</v>
      </c>
      <c r="I47" s="1965" t="s">
        <v>725</v>
      </c>
      <c r="J47" s="1940">
        <f t="shared" si="4"/>
        <v>5.77</v>
      </c>
      <c r="K47" s="1940">
        <f t="shared" si="5"/>
        <v>454706.28</v>
      </c>
    </row>
    <row r="48" ht="20.1" customHeight="1" spans="1:11">
      <c r="A48" s="1950" t="s">
        <v>719</v>
      </c>
      <c r="B48" s="1951" t="s">
        <v>1738</v>
      </c>
      <c r="C48" s="1951" t="s">
        <v>1811</v>
      </c>
      <c r="D48" s="1951" t="s">
        <v>1846</v>
      </c>
      <c r="E48" s="1952" t="s">
        <v>1847</v>
      </c>
      <c r="F48" s="1953">
        <v>91.31</v>
      </c>
      <c r="G48" s="1956">
        <v>600</v>
      </c>
      <c r="H48" s="1955" t="s">
        <v>876</v>
      </c>
      <c r="I48" s="1965" t="s">
        <v>725</v>
      </c>
      <c r="J48" s="1940">
        <f t="shared" si="4"/>
        <v>20</v>
      </c>
      <c r="K48" s="1940">
        <f t="shared" si="5"/>
        <v>657432</v>
      </c>
    </row>
    <row r="49" ht="20.1" customHeight="1" spans="1:11">
      <c r="A49" s="1950" t="s">
        <v>719</v>
      </c>
      <c r="B49" s="1951" t="s">
        <v>1738</v>
      </c>
      <c r="C49" s="1951" t="s">
        <v>1811</v>
      </c>
      <c r="D49" s="1951" t="s">
        <v>1848</v>
      </c>
      <c r="E49" s="1952" t="s">
        <v>1849</v>
      </c>
      <c r="F49" s="1953">
        <v>416.82</v>
      </c>
      <c r="G49" s="1956">
        <v>721</v>
      </c>
      <c r="H49" s="1955" t="s">
        <v>1850</v>
      </c>
      <c r="I49" s="1965" t="s">
        <v>725</v>
      </c>
      <c r="J49" s="1940">
        <f t="shared" si="4"/>
        <v>24.03</v>
      </c>
      <c r="K49" s="1940">
        <f t="shared" si="5"/>
        <v>3606326.64</v>
      </c>
    </row>
    <row r="50" ht="20.1" customHeight="1" spans="1:11">
      <c r="A50" s="1950" t="s">
        <v>719</v>
      </c>
      <c r="B50" s="1951" t="s">
        <v>1738</v>
      </c>
      <c r="C50" s="1951" t="s">
        <v>1811</v>
      </c>
      <c r="D50" s="1951" t="s">
        <v>1851</v>
      </c>
      <c r="E50" s="1952" t="s">
        <v>1852</v>
      </c>
      <c r="F50" s="1953">
        <v>109.05</v>
      </c>
      <c r="G50" s="1953">
        <v>583.2</v>
      </c>
      <c r="H50" s="1955" t="s">
        <v>1742</v>
      </c>
      <c r="I50" s="1965" t="s">
        <v>725</v>
      </c>
      <c r="J50" s="1940">
        <f t="shared" si="4"/>
        <v>19.44</v>
      </c>
      <c r="K50" s="1940">
        <f t="shared" si="5"/>
        <v>763175.52</v>
      </c>
    </row>
    <row r="51" ht="20.1" customHeight="1" spans="1:11">
      <c r="A51" s="1950" t="s">
        <v>719</v>
      </c>
      <c r="B51" s="1951" t="s">
        <v>1738</v>
      </c>
      <c r="C51" s="1951" t="s">
        <v>1811</v>
      </c>
      <c r="D51" s="1951" t="s">
        <v>1853</v>
      </c>
      <c r="E51" s="1952" t="s">
        <v>1854</v>
      </c>
      <c r="F51" s="1953">
        <v>152.26</v>
      </c>
      <c r="G51" s="1956">
        <v>350</v>
      </c>
      <c r="H51" s="1955" t="s">
        <v>1855</v>
      </c>
      <c r="I51" s="1965" t="s">
        <v>801</v>
      </c>
      <c r="J51" s="1940">
        <f t="shared" si="4"/>
        <v>11.67</v>
      </c>
      <c r="K51" s="1940">
        <f t="shared" si="5"/>
        <v>639492</v>
      </c>
    </row>
    <row r="52" ht="20.1" customHeight="1" spans="1:9">
      <c r="A52" s="1950" t="s">
        <v>719</v>
      </c>
      <c r="B52" s="1951" t="s">
        <v>1738</v>
      </c>
      <c r="C52" s="1951" t="s">
        <v>1811</v>
      </c>
      <c r="D52" s="1951" t="s">
        <v>1856</v>
      </c>
      <c r="E52" s="1952"/>
      <c r="F52" s="1957">
        <v>50</v>
      </c>
      <c r="G52" s="1957"/>
      <c r="H52" s="1957"/>
      <c r="I52" s="1965" t="s">
        <v>731</v>
      </c>
    </row>
    <row r="53" ht="20.1" customHeight="1" spans="1:15">
      <c r="A53" s="1950" t="s">
        <v>719</v>
      </c>
      <c r="B53" s="1951" t="s">
        <v>1738</v>
      </c>
      <c r="C53" s="1951" t="s">
        <v>1811</v>
      </c>
      <c r="D53" s="1951" t="s">
        <v>1857</v>
      </c>
      <c r="E53" s="1952" t="s">
        <v>1858</v>
      </c>
      <c r="F53" s="1957">
        <v>15.92</v>
      </c>
      <c r="G53" s="1957">
        <v>600</v>
      </c>
      <c r="H53" s="1957" t="s">
        <v>1859</v>
      </c>
      <c r="I53" s="1965" t="s">
        <v>725</v>
      </c>
      <c r="J53" s="1940">
        <f>ROUND(G53/30,2)</f>
        <v>20</v>
      </c>
      <c r="K53" s="1940">
        <f>G53*F53*12</f>
        <v>114624</v>
      </c>
      <c r="M53" s="1940" t="s">
        <v>1860</v>
      </c>
      <c r="N53" s="1940" t="s">
        <v>1861</v>
      </c>
      <c r="O53" s="1940" t="s">
        <v>1862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719</v>
      </c>
      <c r="B55" s="1951" t="s">
        <v>1738</v>
      </c>
      <c r="C55" s="1951" t="s">
        <v>1863</v>
      </c>
      <c r="D55" s="1951" t="s">
        <v>1864</v>
      </c>
      <c r="E55" s="1952"/>
      <c r="F55" s="1953">
        <v>65.89</v>
      </c>
      <c r="G55" s="1956"/>
      <c r="H55" s="1956"/>
      <c r="I55" s="1965" t="s">
        <v>731</v>
      </c>
    </row>
    <row r="56" ht="20.1" customHeight="1" spans="1:9">
      <c r="A56" s="1950" t="s">
        <v>719</v>
      </c>
      <c r="B56" s="1951" t="s">
        <v>1738</v>
      </c>
      <c r="C56" s="1951" t="s">
        <v>1863</v>
      </c>
      <c r="D56" s="1951" t="s">
        <v>1865</v>
      </c>
      <c r="E56" s="1952"/>
      <c r="F56" s="1953">
        <v>174.86</v>
      </c>
      <c r="G56" s="1956"/>
      <c r="H56" s="1956"/>
      <c r="I56" s="1965" t="s">
        <v>731</v>
      </c>
    </row>
    <row r="57" ht="20.1" customHeight="1" spans="1:9">
      <c r="A57" s="1950" t="s">
        <v>719</v>
      </c>
      <c r="B57" s="1951" t="s">
        <v>1738</v>
      </c>
      <c r="C57" s="1951" t="s">
        <v>1863</v>
      </c>
      <c r="D57" s="1951" t="s">
        <v>1866</v>
      </c>
      <c r="E57" s="1952"/>
      <c r="F57" s="1953">
        <v>150.36</v>
      </c>
      <c r="G57" s="1956"/>
      <c r="H57" s="1956"/>
      <c r="I57" s="1965" t="s">
        <v>731</v>
      </c>
    </row>
    <row r="58" ht="20.1" customHeight="1" spans="1:11">
      <c r="A58" s="1950" t="s">
        <v>719</v>
      </c>
      <c r="B58" s="1951" t="s">
        <v>1738</v>
      </c>
      <c r="C58" s="1951" t="s">
        <v>1863</v>
      </c>
      <c r="D58" s="1951" t="s">
        <v>1867</v>
      </c>
      <c r="E58" s="1952" t="s">
        <v>1868</v>
      </c>
      <c r="F58" s="1953">
        <v>26.83</v>
      </c>
      <c r="G58" s="1956">
        <v>480</v>
      </c>
      <c r="H58" s="1956" t="s">
        <v>1869</v>
      </c>
      <c r="I58" s="1965" t="s">
        <v>801</v>
      </c>
      <c r="J58" s="1940">
        <f t="shared" ref="J58:J72" si="6">ROUND(G58/30,2)</f>
        <v>16</v>
      </c>
      <c r="K58" s="1940">
        <f t="shared" ref="K58:K72" si="7">G58*F58*12</f>
        <v>154540.8</v>
      </c>
    </row>
    <row r="59" ht="20.1" customHeight="1" spans="1:11">
      <c r="A59" s="1950" t="s">
        <v>719</v>
      </c>
      <c r="B59" s="1951" t="s">
        <v>1738</v>
      </c>
      <c r="C59" s="1951" t="s">
        <v>1863</v>
      </c>
      <c r="D59" s="1951" t="s">
        <v>1870</v>
      </c>
      <c r="E59" s="1952" t="s">
        <v>1871</v>
      </c>
      <c r="F59" s="1953">
        <v>25.77</v>
      </c>
      <c r="G59" s="1953">
        <v>420</v>
      </c>
      <c r="H59" s="1955" t="s">
        <v>1872</v>
      </c>
      <c r="I59" s="1965" t="s">
        <v>725</v>
      </c>
      <c r="J59" s="1940">
        <f t="shared" si="6"/>
        <v>14</v>
      </c>
      <c r="K59" s="1940">
        <f t="shared" si="7"/>
        <v>129880.8</v>
      </c>
    </row>
    <row r="60" ht="20.1" customHeight="1" spans="1:11">
      <c r="A60" s="1950" t="s">
        <v>719</v>
      </c>
      <c r="B60" s="1951" t="s">
        <v>1738</v>
      </c>
      <c r="C60" s="1951" t="s">
        <v>1863</v>
      </c>
      <c r="D60" s="1951" t="s">
        <v>1873</v>
      </c>
      <c r="E60" s="1952" t="s">
        <v>1874</v>
      </c>
      <c r="F60" s="1953">
        <v>88.75</v>
      </c>
      <c r="G60" s="1956">
        <v>95</v>
      </c>
      <c r="H60" s="1955" t="s">
        <v>1875</v>
      </c>
      <c r="I60" s="1965" t="s">
        <v>725</v>
      </c>
      <c r="J60" s="1940">
        <f t="shared" si="6"/>
        <v>3.17</v>
      </c>
      <c r="K60" s="1940">
        <f t="shared" si="7"/>
        <v>101175</v>
      </c>
    </row>
    <row r="61" ht="20.1" customHeight="1" spans="1:11">
      <c r="A61" s="1950" t="s">
        <v>719</v>
      </c>
      <c r="B61" s="1951" t="s">
        <v>1738</v>
      </c>
      <c r="C61" s="1951" t="s">
        <v>1863</v>
      </c>
      <c r="D61" s="1951" t="s">
        <v>1876</v>
      </c>
      <c r="E61" s="1952" t="s">
        <v>1874</v>
      </c>
      <c r="F61" s="1953">
        <v>1020</v>
      </c>
      <c r="G61" s="1956">
        <v>82</v>
      </c>
      <c r="H61" s="1955" t="s">
        <v>1877</v>
      </c>
      <c r="I61" s="1965" t="s">
        <v>725</v>
      </c>
      <c r="J61" s="1940">
        <f t="shared" si="6"/>
        <v>2.73</v>
      </c>
      <c r="K61" s="1940">
        <f t="shared" si="7"/>
        <v>1003680</v>
      </c>
    </row>
    <row r="62" ht="20.1" customHeight="1" spans="1:11">
      <c r="A62" s="1950" t="s">
        <v>719</v>
      </c>
      <c r="B62" s="1951" t="s">
        <v>1738</v>
      </c>
      <c r="C62" s="1951" t="s">
        <v>1863</v>
      </c>
      <c r="D62" s="1951" t="s">
        <v>1878</v>
      </c>
      <c r="E62" s="1952" t="s">
        <v>1879</v>
      </c>
      <c r="F62" s="1953">
        <v>519.13</v>
      </c>
      <c r="G62" s="1953">
        <v>385.88</v>
      </c>
      <c r="H62" s="1955" t="s">
        <v>1825</v>
      </c>
      <c r="I62" s="1965" t="s">
        <v>725</v>
      </c>
      <c r="J62" s="1940">
        <f t="shared" si="6"/>
        <v>12.86</v>
      </c>
      <c r="K62" s="1940">
        <f t="shared" si="7"/>
        <v>2403862.6128</v>
      </c>
    </row>
    <row r="63" ht="20.1" customHeight="1" spans="1:11">
      <c r="A63" s="1950" t="s">
        <v>719</v>
      </c>
      <c r="B63" s="1951" t="s">
        <v>1738</v>
      </c>
      <c r="C63" s="1951" t="s">
        <v>1863</v>
      </c>
      <c r="D63" s="1951" t="s">
        <v>1880</v>
      </c>
      <c r="E63" s="1952" t="s">
        <v>1881</v>
      </c>
      <c r="F63" s="1953">
        <v>185.16</v>
      </c>
      <c r="G63" s="1953">
        <v>371</v>
      </c>
      <c r="H63" s="1955" t="s">
        <v>1882</v>
      </c>
      <c r="I63" s="1965" t="s">
        <v>725</v>
      </c>
      <c r="J63" s="1940">
        <f t="shared" si="6"/>
        <v>12.37</v>
      </c>
      <c r="K63" s="1940">
        <f t="shared" si="7"/>
        <v>824332.32</v>
      </c>
    </row>
    <row r="64" ht="20.1" customHeight="1" spans="1:11">
      <c r="A64" s="1950" t="s">
        <v>719</v>
      </c>
      <c r="B64" s="1951" t="s">
        <v>1738</v>
      </c>
      <c r="C64" s="1951" t="s">
        <v>1863</v>
      </c>
      <c r="D64" s="1951" t="s">
        <v>1883</v>
      </c>
      <c r="E64" s="1952" t="s">
        <v>1884</v>
      </c>
      <c r="F64" s="1953">
        <v>256.79</v>
      </c>
      <c r="G64" s="1956">
        <v>260</v>
      </c>
      <c r="H64" s="1955" t="s">
        <v>1885</v>
      </c>
      <c r="I64" s="1965" t="s">
        <v>725</v>
      </c>
      <c r="J64" s="1940">
        <f t="shared" si="6"/>
        <v>8.67</v>
      </c>
      <c r="K64" s="1940">
        <f t="shared" si="7"/>
        <v>801184.8</v>
      </c>
    </row>
    <row r="65" ht="20.1" customHeight="1" spans="1:11">
      <c r="A65" s="1950" t="s">
        <v>719</v>
      </c>
      <c r="B65" s="1951" t="s">
        <v>1738</v>
      </c>
      <c r="C65" s="1951" t="s">
        <v>1863</v>
      </c>
      <c r="D65" s="1951" t="s">
        <v>1886</v>
      </c>
      <c r="E65" s="1952" t="s">
        <v>1887</v>
      </c>
      <c r="F65" s="1953">
        <v>417</v>
      </c>
      <c r="G65" s="1956">
        <v>287</v>
      </c>
      <c r="H65" s="1955" t="s">
        <v>1888</v>
      </c>
      <c r="I65" s="1965" t="s">
        <v>725</v>
      </c>
      <c r="J65" s="1940">
        <f t="shared" si="6"/>
        <v>9.57</v>
      </c>
      <c r="K65" s="1940">
        <f t="shared" si="7"/>
        <v>1436148</v>
      </c>
    </row>
    <row r="66" ht="20.1" customHeight="1" spans="1:11">
      <c r="A66" s="1950" t="s">
        <v>719</v>
      </c>
      <c r="B66" s="1951" t="s">
        <v>1738</v>
      </c>
      <c r="C66" s="1951" t="s">
        <v>1863</v>
      </c>
      <c r="D66" s="1951" t="s">
        <v>1889</v>
      </c>
      <c r="E66" s="1952" t="s">
        <v>1890</v>
      </c>
      <c r="F66" s="1953">
        <v>409.78</v>
      </c>
      <c r="G66" s="1956">
        <v>270</v>
      </c>
      <c r="H66" s="1955" t="s">
        <v>1891</v>
      </c>
      <c r="I66" s="1965" t="s">
        <v>725</v>
      </c>
      <c r="J66" s="1940">
        <f t="shared" si="6"/>
        <v>9</v>
      </c>
      <c r="K66" s="1940">
        <f t="shared" si="7"/>
        <v>1327687.2</v>
      </c>
    </row>
    <row r="67" ht="20.1" customHeight="1" spans="1:11">
      <c r="A67" s="1950" t="s">
        <v>719</v>
      </c>
      <c r="B67" s="1951" t="s">
        <v>1738</v>
      </c>
      <c r="C67" s="1951" t="s">
        <v>1863</v>
      </c>
      <c r="D67" s="1951" t="s">
        <v>1892</v>
      </c>
      <c r="E67" s="1952" t="s">
        <v>1893</v>
      </c>
      <c r="F67" s="1953">
        <v>245.75</v>
      </c>
      <c r="G67" s="1956">
        <v>65</v>
      </c>
      <c r="H67" s="1955" t="s">
        <v>1894</v>
      </c>
      <c r="I67" s="1965" t="s">
        <v>725</v>
      </c>
      <c r="J67" s="1940">
        <f t="shared" si="6"/>
        <v>2.17</v>
      </c>
      <c r="K67" s="1940">
        <f t="shared" si="7"/>
        <v>191685</v>
      </c>
    </row>
    <row r="68" ht="20.1" customHeight="1" spans="1:11">
      <c r="A68" s="1950" t="s">
        <v>719</v>
      </c>
      <c r="B68" s="1951" t="s">
        <v>1738</v>
      </c>
      <c r="C68" s="1951" t="s">
        <v>1863</v>
      </c>
      <c r="D68" s="1951" t="s">
        <v>1895</v>
      </c>
      <c r="E68" s="1952" t="s">
        <v>1896</v>
      </c>
      <c r="F68" s="1953">
        <v>396.61</v>
      </c>
      <c r="G68" s="1956">
        <v>221</v>
      </c>
      <c r="H68" s="1955" t="s">
        <v>1882</v>
      </c>
      <c r="I68" s="1965" t="s">
        <v>725</v>
      </c>
      <c r="J68" s="1940">
        <f t="shared" si="6"/>
        <v>7.37</v>
      </c>
      <c r="K68" s="1940">
        <f t="shared" si="7"/>
        <v>1051809.72</v>
      </c>
    </row>
    <row r="69" ht="20.1" customHeight="1" spans="1:11">
      <c r="A69" s="1950" t="s">
        <v>719</v>
      </c>
      <c r="B69" s="1951" t="s">
        <v>1738</v>
      </c>
      <c r="C69" s="1951" t="s">
        <v>1863</v>
      </c>
      <c r="D69" s="1951" t="s">
        <v>1897</v>
      </c>
      <c r="E69" s="1952" t="s">
        <v>1898</v>
      </c>
      <c r="F69" s="1957">
        <v>47</v>
      </c>
      <c r="G69" s="1956">
        <v>368</v>
      </c>
      <c r="H69" s="1955" t="s">
        <v>910</v>
      </c>
      <c r="I69" s="1965" t="s">
        <v>725</v>
      </c>
      <c r="J69" s="1940">
        <f t="shared" si="6"/>
        <v>12.27</v>
      </c>
      <c r="K69" s="1940">
        <f t="shared" si="7"/>
        <v>207552</v>
      </c>
    </row>
    <row r="70" ht="20.1" customHeight="1" spans="1:9">
      <c r="A70" s="1950" t="s">
        <v>719</v>
      </c>
      <c r="B70" s="1951" t="s">
        <v>1790</v>
      </c>
      <c r="C70" s="1951" t="s">
        <v>1863</v>
      </c>
      <c r="D70" s="1951" t="s">
        <v>1899</v>
      </c>
      <c r="E70" s="1951"/>
      <c r="F70" s="1957">
        <v>15</v>
      </c>
      <c r="G70" s="1956"/>
      <c r="H70" s="1956"/>
      <c r="I70" s="1965" t="s">
        <v>731</v>
      </c>
    </row>
    <row r="71" ht="20.1" customHeight="1" spans="1:9">
      <c r="A71" s="1950" t="s">
        <v>719</v>
      </c>
      <c r="B71" s="1951" t="s">
        <v>1738</v>
      </c>
      <c r="C71" s="1951" t="s">
        <v>1863</v>
      </c>
      <c r="D71" s="1951" t="s">
        <v>1900</v>
      </c>
      <c r="E71" s="1951"/>
      <c r="F71" s="1957">
        <v>30</v>
      </c>
      <c r="G71" s="1956"/>
      <c r="H71" s="1956"/>
      <c r="I71" s="1965" t="s">
        <v>731</v>
      </c>
    </row>
    <row r="72" ht="20.1" customHeight="1" spans="1:15">
      <c r="A72" s="1950" t="s">
        <v>719</v>
      </c>
      <c r="B72" s="1951" t="s">
        <v>1738</v>
      </c>
      <c r="C72" s="1951" t="s">
        <v>1863</v>
      </c>
      <c r="D72" s="1951" t="s">
        <v>1901</v>
      </c>
      <c r="E72" s="1951" t="s">
        <v>1902</v>
      </c>
      <c r="F72" s="1957">
        <v>48.21</v>
      </c>
      <c r="G72" s="1956">
        <v>365</v>
      </c>
      <c r="H72" s="1955" t="s">
        <v>1903</v>
      </c>
      <c r="I72" s="1965" t="s">
        <v>725</v>
      </c>
      <c r="J72" s="1940">
        <f t="shared" si="6"/>
        <v>12.17</v>
      </c>
      <c r="K72" s="1940">
        <f t="shared" si="7"/>
        <v>211159.8</v>
      </c>
      <c r="M72" s="1940" t="s">
        <v>1904</v>
      </c>
      <c r="N72" s="1940" t="s">
        <v>1905</v>
      </c>
      <c r="O72" s="1940" t="s">
        <v>1906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719</v>
      </c>
      <c r="B74" s="1951" t="s">
        <v>1738</v>
      </c>
      <c r="C74" s="1951" t="s">
        <v>1907</v>
      </c>
      <c r="D74" s="1951" t="s">
        <v>1908</v>
      </c>
      <c r="E74" s="1952" t="s">
        <v>1909</v>
      </c>
      <c r="F74" s="1953">
        <v>167.36</v>
      </c>
      <c r="G74" s="1956">
        <v>314.21</v>
      </c>
      <c r="H74" s="1955" t="s">
        <v>1778</v>
      </c>
      <c r="I74" s="1965" t="s">
        <v>725</v>
      </c>
      <c r="J74" s="1940">
        <f t="shared" ref="J74:J79" si="8">ROUND(G74/30,2)</f>
        <v>10.47</v>
      </c>
      <c r="K74" s="1940">
        <f t="shared" ref="K74:K79" si="9">G74*F74*12</f>
        <v>631034.2272</v>
      </c>
    </row>
    <row r="75" ht="20.1" customHeight="1" spans="1:11">
      <c r="A75" s="1950" t="s">
        <v>719</v>
      </c>
      <c r="B75" s="1951" t="s">
        <v>1738</v>
      </c>
      <c r="C75" s="1951" t="s">
        <v>1907</v>
      </c>
      <c r="D75" s="1951" t="s">
        <v>1910</v>
      </c>
      <c r="E75" s="1952" t="s">
        <v>1911</v>
      </c>
      <c r="F75" s="1953">
        <v>140.54</v>
      </c>
      <c r="G75" s="1956">
        <v>308</v>
      </c>
      <c r="H75" s="1955" t="s">
        <v>1761</v>
      </c>
      <c r="I75" s="1965" t="s">
        <v>725</v>
      </c>
      <c r="J75" s="1940">
        <f t="shared" si="8"/>
        <v>10.27</v>
      </c>
      <c r="K75" s="1940">
        <f t="shared" si="9"/>
        <v>519435.84</v>
      </c>
    </row>
    <row r="76" ht="20.1" customHeight="1" spans="1:11">
      <c r="A76" s="1950" t="s">
        <v>719</v>
      </c>
      <c r="B76" s="1951" t="s">
        <v>1738</v>
      </c>
      <c r="C76" s="1951" t="s">
        <v>1907</v>
      </c>
      <c r="D76" s="1951" t="s">
        <v>1912</v>
      </c>
      <c r="E76" s="1952" t="s">
        <v>1913</v>
      </c>
      <c r="F76" s="1953">
        <v>64.04</v>
      </c>
      <c r="G76" s="1956">
        <v>220</v>
      </c>
      <c r="H76" s="1955" t="s">
        <v>1914</v>
      </c>
      <c r="I76" s="1965" t="s">
        <v>725</v>
      </c>
      <c r="J76" s="1940">
        <f t="shared" si="8"/>
        <v>7.33</v>
      </c>
      <c r="K76" s="1940">
        <f t="shared" si="9"/>
        <v>169065.6</v>
      </c>
    </row>
    <row r="77" ht="20.1" customHeight="1" spans="1:11">
      <c r="A77" s="1950" t="s">
        <v>719</v>
      </c>
      <c r="B77" s="1951" t="s">
        <v>1738</v>
      </c>
      <c r="C77" s="1951" t="s">
        <v>1907</v>
      </c>
      <c r="D77" s="1952" t="s">
        <v>1915</v>
      </c>
      <c r="E77" s="1952" t="s">
        <v>1913</v>
      </c>
      <c r="F77" s="1953">
        <v>1200</v>
      </c>
      <c r="G77" s="1953">
        <v>165</v>
      </c>
      <c r="H77" s="1955" t="s">
        <v>1916</v>
      </c>
      <c r="I77" s="1965" t="s">
        <v>725</v>
      </c>
      <c r="J77" s="1940">
        <f t="shared" si="8"/>
        <v>5.5</v>
      </c>
      <c r="K77" s="1940">
        <f t="shared" si="9"/>
        <v>2376000</v>
      </c>
    </row>
    <row r="78" ht="20.1" customHeight="1" spans="1:11">
      <c r="A78" s="1950" t="s">
        <v>719</v>
      </c>
      <c r="B78" s="1951" t="s">
        <v>1738</v>
      </c>
      <c r="C78" s="1951" t="s">
        <v>1907</v>
      </c>
      <c r="D78" s="1951" t="s">
        <v>1917</v>
      </c>
      <c r="E78" s="1952" t="s">
        <v>1918</v>
      </c>
      <c r="F78" s="1953">
        <v>219.12</v>
      </c>
      <c r="G78" s="1956">
        <v>402.41</v>
      </c>
      <c r="H78" s="1955" t="s">
        <v>1882</v>
      </c>
      <c r="I78" s="1965" t="s">
        <v>725</v>
      </c>
      <c r="J78" s="1940">
        <f t="shared" si="8"/>
        <v>13.41</v>
      </c>
      <c r="K78" s="1940">
        <f t="shared" si="9"/>
        <v>1058112.9504</v>
      </c>
    </row>
    <row r="79" ht="20.1" customHeight="1" spans="1:11">
      <c r="A79" s="1950" t="s">
        <v>719</v>
      </c>
      <c r="B79" s="1951" t="s">
        <v>1738</v>
      </c>
      <c r="C79" s="1951" t="s">
        <v>1907</v>
      </c>
      <c r="D79" s="1951" t="s">
        <v>1919</v>
      </c>
      <c r="E79" s="1952" t="s">
        <v>1920</v>
      </c>
      <c r="F79" s="1953">
        <v>308.74</v>
      </c>
      <c r="G79" s="1956">
        <v>231</v>
      </c>
      <c r="H79" s="1955" t="s">
        <v>1825</v>
      </c>
      <c r="I79" s="1965" t="s">
        <v>725</v>
      </c>
      <c r="J79" s="1940">
        <f t="shared" si="8"/>
        <v>7.7</v>
      </c>
      <c r="K79" s="1940">
        <f t="shared" si="9"/>
        <v>855827.28</v>
      </c>
    </row>
    <row r="80" ht="20.1" customHeight="1" spans="1:9">
      <c r="A80" s="1950" t="s">
        <v>719</v>
      </c>
      <c r="B80" s="1951" t="s">
        <v>1738</v>
      </c>
      <c r="C80" s="1951" t="s">
        <v>1907</v>
      </c>
      <c r="D80" s="1951" t="s">
        <v>1921</v>
      </c>
      <c r="E80" s="1952"/>
      <c r="F80" s="1953">
        <v>291.45</v>
      </c>
      <c r="G80" s="1956"/>
      <c r="H80" s="1956"/>
      <c r="I80" s="1965" t="s">
        <v>731</v>
      </c>
    </row>
    <row r="81" ht="20.1" customHeight="1" spans="1:11">
      <c r="A81" s="1950" t="s">
        <v>719</v>
      </c>
      <c r="B81" s="1951" t="s">
        <v>1738</v>
      </c>
      <c r="C81" s="1951" t="s">
        <v>1907</v>
      </c>
      <c r="D81" s="1951" t="s">
        <v>1922</v>
      </c>
      <c r="E81" s="1952" t="s">
        <v>1923</v>
      </c>
      <c r="F81" s="1953">
        <v>186.34</v>
      </c>
      <c r="G81" s="1956">
        <v>330</v>
      </c>
      <c r="H81" s="1955" t="s">
        <v>1924</v>
      </c>
      <c r="I81" s="1965" t="s">
        <v>725</v>
      </c>
      <c r="J81" s="1940">
        <f>ROUND(G81/30,2)</f>
        <v>11</v>
      </c>
      <c r="K81" s="1940">
        <f>G81*F81*12</f>
        <v>737906.4</v>
      </c>
    </row>
    <row r="82" ht="20.1" customHeight="1" spans="1:11">
      <c r="A82" s="1950" t="s">
        <v>719</v>
      </c>
      <c r="B82" s="1951" t="s">
        <v>1738</v>
      </c>
      <c r="C82" s="1951" t="s">
        <v>1907</v>
      </c>
      <c r="D82" s="1951" t="s">
        <v>1925</v>
      </c>
      <c r="E82" s="1952" t="s">
        <v>1923</v>
      </c>
      <c r="F82" s="1953">
        <v>290.78</v>
      </c>
      <c r="G82" s="1956">
        <v>261</v>
      </c>
      <c r="H82" s="1955" t="s">
        <v>1888</v>
      </c>
      <c r="I82" s="1965" t="s">
        <v>725</v>
      </c>
      <c r="J82" s="1940">
        <f>ROUND(G82/30,2)</f>
        <v>8.7</v>
      </c>
      <c r="K82" s="1940">
        <f>G82*F82*12</f>
        <v>910722.96</v>
      </c>
    </row>
    <row r="83" ht="20.1" customHeight="1" spans="1:9">
      <c r="A83" s="1950" t="s">
        <v>719</v>
      </c>
      <c r="B83" s="1951" t="s">
        <v>1738</v>
      </c>
      <c r="C83" s="1951" t="s">
        <v>1907</v>
      </c>
      <c r="D83" s="1951" t="s">
        <v>1926</v>
      </c>
      <c r="E83" s="1952" t="s">
        <v>1927</v>
      </c>
      <c r="F83" s="1953">
        <v>616.24</v>
      </c>
      <c r="G83" s="1956"/>
      <c r="H83" s="1955" t="s">
        <v>1924</v>
      </c>
      <c r="I83" s="1965" t="s">
        <v>731</v>
      </c>
    </row>
    <row r="84" ht="20.1" customHeight="1" spans="1:15">
      <c r="A84" s="1950" t="s">
        <v>719</v>
      </c>
      <c r="B84" s="1951" t="s">
        <v>1738</v>
      </c>
      <c r="C84" s="1951" t="s">
        <v>1907</v>
      </c>
      <c r="D84" s="1951" t="s">
        <v>1928</v>
      </c>
      <c r="E84" s="1952" t="s">
        <v>1929</v>
      </c>
      <c r="F84" s="1953">
        <v>495.92</v>
      </c>
      <c r="G84" s="1956">
        <v>320</v>
      </c>
      <c r="H84" s="1955" t="s">
        <v>1888</v>
      </c>
      <c r="I84" s="1965" t="s">
        <v>725</v>
      </c>
      <c r="J84" s="1940">
        <f>ROUND(G84/30,2)</f>
        <v>10.67</v>
      </c>
      <c r="K84" s="1940">
        <f>G84*F84*12</f>
        <v>1904332.8</v>
      </c>
      <c r="M84" s="1940" t="s">
        <v>1930</v>
      </c>
      <c r="N84" s="1940" t="s">
        <v>1931</v>
      </c>
      <c r="O84" s="1940" t="s">
        <v>1932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1933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1492</v>
      </c>
      <c r="B1" s="1039"/>
      <c r="C1" s="1530"/>
      <c r="D1" s="1531"/>
      <c r="E1" s="1532" t="s">
        <v>1493</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1494</v>
      </c>
      <c r="B2" s="1537" t="e">
        <f ca="1">C40+J29+L46</f>
        <v>#DIV/0!</v>
      </c>
      <c r="C2" s="1538" t="s">
        <v>1495</v>
      </c>
      <c r="D2" s="1538"/>
      <c r="E2" s="1540"/>
      <c r="F2" s="1541"/>
      <c r="G2" s="1542"/>
      <c r="H2" s="1543"/>
      <c r="I2" s="1543"/>
      <c r="J2" s="1543"/>
      <c r="K2" s="1709"/>
      <c r="L2" s="1543"/>
      <c r="M2" s="1543"/>
    </row>
    <row r="3" ht="18" customHeight="1" spans="1:13">
      <c r="A3" s="1544" t="s">
        <v>1496</v>
      </c>
      <c r="B3" s="1545">
        <f ca="1">IF(ISERROR(B2*10000/F43),0,ROUND(B2*10000/F43,0))</f>
        <v>0</v>
      </c>
      <c r="C3" s="1538" t="s">
        <v>1497</v>
      </c>
      <c r="D3" s="1538"/>
      <c r="E3" s="1540"/>
      <c r="F3" s="1541"/>
      <c r="G3" s="1542"/>
      <c r="H3" s="1546" t="s">
        <v>1498</v>
      </c>
      <c r="I3" s="1710"/>
      <c r="J3" s="1710"/>
      <c r="K3" s="1711"/>
      <c r="L3" s="1710"/>
      <c r="M3" s="1710"/>
    </row>
    <row r="4" ht="18" customHeight="1" spans="1:13">
      <c r="A4" s="1547" t="s">
        <v>1499</v>
      </c>
      <c r="B4" s="1548" t="s">
        <v>1500</v>
      </c>
      <c r="C4" s="1548" t="s">
        <v>1501</v>
      </c>
      <c r="D4" s="1548" t="s">
        <v>1502</v>
      </c>
      <c r="E4" s="1549" t="s">
        <v>1503</v>
      </c>
      <c r="F4" s="1550"/>
      <c r="G4" s="645"/>
      <c r="H4" s="1547" t="s">
        <v>1499</v>
      </c>
      <c r="I4" s="1548" t="s">
        <v>1500</v>
      </c>
      <c r="J4" s="1548" t="s">
        <v>1501</v>
      </c>
      <c r="K4" s="1548" t="s">
        <v>1502</v>
      </c>
      <c r="L4" s="1549" t="s">
        <v>1503</v>
      </c>
      <c r="M4" s="1550"/>
    </row>
    <row r="5" ht="18" customHeight="1" spans="1:13">
      <c r="A5" s="1551">
        <v>1</v>
      </c>
      <c r="B5" s="1552" t="s">
        <v>1504</v>
      </c>
      <c r="C5" s="1553">
        <f ca="1">C6+C10+C12</f>
        <v>0</v>
      </c>
      <c r="D5" s="1554" t="s">
        <v>1505</v>
      </c>
      <c r="E5" s="1555"/>
      <c r="F5" s="1556"/>
      <c r="G5" s="645"/>
      <c r="H5" s="1551">
        <v>1</v>
      </c>
      <c r="I5" s="1552" t="s">
        <v>1504</v>
      </c>
      <c r="J5" s="1553">
        <f ca="1">J6+J10+J12</f>
        <v>0</v>
      </c>
      <c r="K5" s="1554" t="s">
        <v>1505</v>
      </c>
      <c r="L5" s="1555"/>
      <c r="M5" s="1556"/>
    </row>
    <row r="6" ht="18" customHeight="1" spans="1:13">
      <c r="A6" s="1557" t="s">
        <v>1218</v>
      </c>
      <c r="B6" s="1558" t="s">
        <v>1506</v>
      </c>
      <c r="C6" s="1559">
        <f ca="1">ROUND(F6*F8*F7*(1-F9)/10000,0)</f>
        <v>0</v>
      </c>
      <c r="D6" s="1560" t="s">
        <v>1507</v>
      </c>
      <c r="E6" s="1561" t="s">
        <v>1508</v>
      </c>
      <c r="F6" s="1562">
        <f ca="1">INDIRECT("'数据-取费表'!u"&amp;$G$1)</f>
        <v>0</v>
      </c>
      <c r="G6" s="645"/>
      <c r="H6" s="1557" t="s">
        <v>1218</v>
      </c>
      <c r="I6" s="1558" t="s">
        <v>1506</v>
      </c>
      <c r="J6" s="1638">
        <f ca="1">ROUND(M6*M8*M7*(1-M9)/10000,0)</f>
        <v>0</v>
      </c>
      <c r="K6" s="1560" t="s">
        <v>1509</v>
      </c>
      <c r="L6" s="1561" t="s">
        <v>1508</v>
      </c>
      <c r="M6" s="1562">
        <f ca="1">INDIRECT("'数据-取费表'!z"&amp;$G$1)</f>
        <v>0</v>
      </c>
    </row>
    <row r="7" ht="18" customHeight="1" spans="1:13">
      <c r="A7" s="1563"/>
      <c r="B7" s="1564"/>
      <c r="C7" s="1565"/>
      <c r="D7" s="1566"/>
      <c r="E7" s="1567" t="s">
        <v>1510</v>
      </c>
      <c r="F7" s="1562">
        <f ca="1">IF(INDIRECT("'数据-取费表'!ah"&amp;$G$1)="",INDIRECT("'数据-取费表'!k"&amp;$G$1),INDIRECT("'数据-取费表'!ah"&amp;$G$1))</f>
        <v>0</v>
      </c>
      <c r="G7" s="645"/>
      <c r="H7" s="1568"/>
      <c r="I7" s="1564"/>
      <c r="J7" s="1569"/>
      <c r="K7" s="1566"/>
      <c r="L7" s="1561" t="s">
        <v>1510</v>
      </c>
      <c r="M7" s="1562">
        <f ca="1">F7</f>
        <v>0</v>
      </c>
    </row>
    <row r="8" ht="18" customHeight="1" spans="1:13">
      <c r="A8" s="1568"/>
      <c r="B8" s="1564"/>
      <c r="C8" s="1569"/>
      <c r="D8" s="1566"/>
      <c r="E8" s="1561" t="s">
        <v>1511</v>
      </c>
      <c r="F8" s="1562">
        <f ca="1">INDIRECT("'数据-取费表'!ai"&amp;$G$1)</f>
        <v>0</v>
      </c>
      <c r="G8" s="645"/>
      <c r="H8" s="1568"/>
      <c r="I8" s="1564"/>
      <c r="J8" s="1569"/>
      <c r="K8" s="1566"/>
      <c r="L8" s="1561" t="s">
        <v>1511</v>
      </c>
      <c r="M8" s="1562">
        <f ca="1">INDIRECT("'数据-取费表'!ai"&amp;$G$1)</f>
        <v>0</v>
      </c>
    </row>
    <row r="9" ht="18" customHeight="1" spans="1:13">
      <c r="A9" s="1568"/>
      <c r="B9" s="1570"/>
      <c r="C9" s="1569"/>
      <c r="D9" s="1566"/>
      <c r="E9" s="1561" t="s">
        <v>1512</v>
      </c>
      <c r="F9" s="1571">
        <f ca="1">INDIRECT("'数据-取费表'!w"&amp;$G$1)</f>
        <v>0</v>
      </c>
      <c r="G9" s="645"/>
      <c r="H9" s="1568"/>
      <c r="I9" s="1570"/>
      <c r="J9" s="1569"/>
      <c r="K9" s="1566"/>
      <c r="L9" s="1575" t="s">
        <v>1512</v>
      </c>
      <c r="M9" s="1580">
        <f ca="1">INDIRECT("'数据-取费表'!ab"&amp;$G$1)</f>
        <v>0</v>
      </c>
    </row>
    <row r="10" ht="18" customHeight="1" spans="1:13">
      <c r="A10" s="1557" t="s">
        <v>1222</v>
      </c>
      <c r="B10" s="1572" t="s">
        <v>1513</v>
      </c>
      <c r="C10" s="1573">
        <f ca="1">ROUND(IF(F10="押一",C6/12*F11,IF(F10="押二",C6/12*2*F11,IF(F10="押三",C6/12*3*F11,C11*F11))),0)</f>
        <v>0</v>
      </c>
      <c r="D10" s="1574" t="s">
        <v>1514</v>
      </c>
      <c r="E10" s="1575" t="s">
        <v>1515</v>
      </c>
      <c r="F10" s="1576"/>
      <c r="G10" s="645"/>
      <c r="H10" s="1557" t="s">
        <v>1222</v>
      </c>
      <c r="I10" s="1572" t="s">
        <v>1513</v>
      </c>
      <c r="J10" s="1638">
        <f ca="1">ROUND(IF(M10="押一",J6/12*M11,IF(M10="押二",J6/12*2*M11,IF(M10="押三",J6/12*3*M11,J11*M11))),0)</f>
        <v>0</v>
      </c>
      <c r="K10" s="1574" t="s">
        <v>1514</v>
      </c>
      <c r="L10" s="1575" t="s">
        <v>1515</v>
      </c>
      <c r="M10" s="1576" t="s">
        <v>1732</v>
      </c>
    </row>
    <row r="11" ht="18" customHeight="1" spans="1:13">
      <c r="A11" s="1577"/>
      <c r="B11" s="1578" t="s">
        <v>1517</v>
      </c>
      <c r="C11" s="1579"/>
      <c r="D11" s="1932"/>
      <c r="E11" s="1575" t="s">
        <v>1518</v>
      </c>
      <c r="F11" s="1580">
        <f ca="1">'数据-取费表'!B39</f>
        <v>0.015</v>
      </c>
      <c r="G11" s="645"/>
      <c r="H11" s="1581"/>
      <c r="I11" s="1578" t="s">
        <v>1517</v>
      </c>
      <c r="J11" s="1579"/>
      <c r="K11" s="1714"/>
      <c r="L11" s="1575" t="s">
        <v>1518</v>
      </c>
      <c r="M11" s="1715">
        <f ca="1">'数据-取费表'!B39</f>
        <v>0.015</v>
      </c>
    </row>
    <row r="12" ht="18" customHeight="1" spans="1:13">
      <c r="A12" s="1582" t="s">
        <v>1267</v>
      </c>
      <c r="B12" s="1583" t="s">
        <v>1519</v>
      </c>
      <c r="C12" s="1584"/>
      <c r="D12" s="1585"/>
      <c r="E12" s="1586"/>
      <c r="F12" s="1587"/>
      <c r="G12" s="645"/>
      <c r="H12" s="1582" t="s">
        <v>1267</v>
      </c>
      <c r="I12" s="1583" t="s">
        <v>1519</v>
      </c>
      <c r="J12" s="1584"/>
      <c r="K12" s="1716"/>
      <c r="L12" s="1586"/>
      <c r="M12" s="1717"/>
    </row>
    <row r="13" ht="18" customHeight="1" spans="1:13">
      <c r="A13" s="1588">
        <v>2</v>
      </c>
      <c r="B13" s="1589" t="s">
        <v>1520</v>
      </c>
      <c r="C13" s="1590">
        <f ca="1">ROUND(C29*F13,0)</f>
        <v>0</v>
      </c>
      <c r="D13" s="1591" t="s">
        <v>1521</v>
      </c>
      <c r="E13" s="1591" t="s">
        <v>1522</v>
      </c>
      <c r="F13" s="1592">
        <f ca="1">INDIRECT("'数据-取费表'!y"&amp;$G$1)</f>
        <v>0</v>
      </c>
      <c r="G13" s="645"/>
      <c r="H13" s="1588">
        <v>2</v>
      </c>
      <c r="I13" s="1589" t="s">
        <v>1520</v>
      </c>
      <c r="J13" s="1718">
        <f ca="1">ROUND(J14*J15,0)</f>
        <v>0</v>
      </c>
      <c r="K13" s="1616" t="s">
        <v>1521</v>
      </c>
      <c r="L13" s="1719"/>
      <c r="M13" s="1720"/>
    </row>
    <row r="14" ht="18" customHeight="1" spans="1:13">
      <c r="A14" s="1593" t="s">
        <v>1241</v>
      </c>
      <c r="B14" s="1561" t="s">
        <v>1523</v>
      </c>
      <c r="C14" s="1594">
        <f ca="1">INDIRECT("'数据-取费表'!m"&amp;$G$1)+INDIRECT("'数据-取费表'!t"&amp;$G$1)</f>
        <v>0</v>
      </c>
      <c r="D14" s="1595" t="s">
        <v>1524</v>
      </c>
      <c r="E14" s="1596"/>
      <c r="F14" s="1597"/>
      <c r="G14" s="645"/>
      <c r="H14" s="1593" t="s">
        <v>1218</v>
      </c>
      <c r="I14" s="1561" t="s">
        <v>1525</v>
      </c>
      <c r="J14" s="1598">
        <f ca="1">C29</f>
        <v>0</v>
      </c>
      <c r="K14" s="1721"/>
      <c r="L14" s="1722"/>
      <c r="M14" s="1723"/>
    </row>
    <row r="15" s="1526" customFormat="1" ht="18" customHeight="1" spans="1:37">
      <c r="A15" s="1593" t="s">
        <v>1245</v>
      </c>
      <c r="B15" s="1561" t="s">
        <v>1526</v>
      </c>
      <c r="C15" s="1598">
        <f ca="1">ROUND(C14*F15,0)</f>
        <v>0</v>
      </c>
      <c r="D15" s="1599" t="s">
        <v>1527</v>
      </c>
      <c r="E15" s="1599" t="s">
        <v>1528</v>
      </c>
      <c r="F15" s="1600">
        <f>'数据-取费表'!B33</f>
        <v>0.04</v>
      </c>
      <c r="G15" s="1601"/>
      <c r="H15" s="1602" t="s">
        <v>1222</v>
      </c>
      <c r="I15" s="1586" t="s">
        <v>1522</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1248</v>
      </c>
      <c r="B16" s="1561" t="s">
        <v>1529</v>
      </c>
      <c r="C16" s="1598">
        <f ca="1">ROUND(INDIRECT("'数据-取费表'!m"&amp;$G$1)*F16,0)</f>
        <v>0</v>
      </c>
      <c r="D16" s="1561" t="s">
        <v>1527</v>
      </c>
      <c r="E16" s="1561" t="s">
        <v>1528</v>
      </c>
      <c r="F16" s="1603">
        <f ca="1">IF(INDIRECT("'数据-取费表'!c"&amp;$G$1)="住宅",'数据-取费表'!B34,0)</f>
        <v>0</v>
      </c>
      <c r="G16" s="645"/>
      <c r="H16" s="1588" t="s">
        <v>532</v>
      </c>
      <c r="I16" s="1589" t="s">
        <v>1530</v>
      </c>
      <c r="J16" s="1590">
        <f ca="1">ROUND(J17+J22+J23+J24,0)</f>
        <v>0</v>
      </c>
      <c r="K16" s="1616" t="s">
        <v>1531</v>
      </c>
      <c r="L16" s="1617"/>
      <c r="M16" s="1556"/>
    </row>
    <row r="17" s="1526" customFormat="1" ht="18" customHeight="1" spans="1:37">
      <c r="A17" s="1593" t="s">
        <v>1532</v>
      </c>
      <c r="B17" s="1561" t="s">
        <v>1533</v>
      </c>
      <c r="C17" s="1598">
        <f ca="1">ROUND(F17*(F43+INDIRECT("'数据-取费表'!S"&amp;$G$1))/10000,0)</f>
        <v>0</v>
      </c>
      <c r="D17" s="1561" t="s">
        <v>1534</v>
      </c>
      <c r="E17" s="1561" t="s">
        <v>1535</v>
      </c>
      <c r="F17" s="1604">
        <f>'数据-取费表'!B35</f>
        <v>200</v>
      </c>
      <c r="G17" s="1601"/>
      <c r="H17" s="1593" t="s">
        <v>1218</v>
      </c>
      <c r="I17" s="1561" t="s">
        <v>1536</v>
      </c>
      <c r="J17" s="1619">
        <f ca="1">ROUND(IF(AND(项目基本情况!B11="自然人",项目基本情况!B10="北京市"),J6*M17/(1+'数据-取费表'!C42),J18+J19+J20),0)</f>
        <v>0</v>
      </c>
      <c r="K17" s="1595" t="s">
        <v>1537</v>
      </c>
      <c r="L17" s="1620" t="s">
        <v>1538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1539</v>
      </c>
      <c r="B18" s="1561" t="s">
        <v>1540</v>
      </c>
      <c r="C18" s="1598">
        <f ca="1">ROUND(C14*F18,0)</f>
        <v>0</v>
      </c>
      <c r="D18" s="1561" t="s">
        <v>1527</v>
      </c>
      <c r="E18" s="1561" t="s">
        <v>1528</v>
      </c>
      <c r="F18" s="1603">
        <f>'数据-取费表'!B36</f>
        <v>0.015</v>
      </c>
      <c r="G18" s="1601"/>
      <c r="H18" s="1593" t="s">
        <v>1241</v>
      </c>
      <c r="I18" s="1561" t="s">
        <v>1541</v>
      </c>
      <c r="J18" s="1598">
        <f ca="1">ROUND(J6*M18/(1+'数据-取费表'!C42),2)</f>
        <v>0</v>
      </c>
      <c r="K18" s="1620" t="s">
        <v>1542</v>
      </c>
      <c r="L18" s="1561" t="s">
        <v>1528</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1218</v>
      </c>
      <c r="B19" s="1561" t="s">
        <v>1543</v>
      </c>
      <c r="C19" s="1598">
        <f ca="1">SUM(C14:C18)</f>
        <v>0</v>
      </c>
      <c r="D19" s="1605" t="s">
        <v>1544</v>
      </c>
      <c r="E19" s="1606"/>
      <c r="F19" s="1604"/>
      <c r="G19" s="645"/>
      <c r="H19" s="1593" t="s">
        <v>1245</v>
      </c>
      <c r="I19" s="1561" t="s">
        <v>1545</v>
      </c>
      <c r="J19" s="1598">
        <f ca="1">IF(K19="按租金收入计税",ROUND(J6*M19/(1+'数据-取费表'!C42),2),ROUND(C29*M19*0.7,2))</f>
        <v>0</v>
      </c>
      <c r="K19" s="1623" t="s">
        <v>1660</v>
      </c>
      <c r="L19" s="1561" t="s">
        <v>1528</v>
      </c>
      <c r="M19" s="1603">
        <f>IF(K19="按租金收入计税",'数据-取费表'!B51,'数据-取费表'!B50)</f>
        <v>0.012</v>
      </c>
    </row>
    <row r="20" s="1526" customFormat="1" ht="18" customHeight="1" spans="1:37">
      <c r="A20" s="1593" t="s">
        <v>1222</v>
      </c>
      <c r="B20" s="1561" t="s">
        <v>1547</v>
      </c>
      <c r="C20" s="1598">
        <f ca="1">ROUND(C19*F20,0)</f>
        <v>0</v>
      </c>
      <c r="D20" s="1607" t="s">
        <v>1548</v>
      </c>
      <c r="E20" s="1561" t="s">
        <v>1528</v>
      </c>
      <c r="F20" s="1603">
        <f>'数据-取费表'!B37</f>
        <v>0.02</v>
      </c>
      <c r="G20" s="1601"/>
      <c r="H20" s="1593" t="s">
        <v>1248</v>
      </c>
      <c r="I20" s="1560" t="s">
        <v>1549</v>
      </c>
      <c r="J20" s="1625">
        <f ca="1">ROUND(M20*M21/10000,2)</f>
        <v>0</v>
      </c>
      <c r="K20" s="1626" t="s">
        <v>1550</v>
      </c>
      <c r="L20" s="1561" t="s">
        <v>1551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1267</v>
      </c>
      <c r="B21" s="1561" t="s">
        <v>1552</v>
      </c>
      <c r="C21" s="1598" t="s">
        <v>124</v>
      </c>
      <c r="D21" s="1607" t="s">
        <v>1553</v>
      </c>
      <c r="E21" s="1561" t="s">
        <v>1554</v>
      </c>
      <c r="F21" s="1603">
        <f>'数据-取费表'!B38</f>
        <v>0.02</v>
      </c>
      <c r="G21" s="1601"/>
      <c r="H21" s="1608"/>
      <c r="I21" s="1727"/>
      <c r="J21" s="1629"/>
      <c r="K21" s="1630"/>
      <c r="L21" s="1561" t="s">
        <v>1555</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1270</v>
      </c>
      <c r="B22" s="1561" t="s">
        <v>1556</v>
      </c>
      <c r="C22" s="1598"/>
      <c r="D22" s="1605" t="str">
        <f>IF(F23&lt;=1,"单利计息。","复利计息。")&amp;"建造成本、管理费用、销售费用产生的利息。"</f>
        <v>复利计息。建造成本、管理费用、销售费用产生的利息。</v>
      </c>
      <c r="E22" s="1606"/>
      <c r="F22" s="1604"/>
      <c r="G22" s="645"/>
      <c r="H22" s="1593" t="s">
        <v>1222</v>
      </c>
      <c r="I22" s="1561" t="s">
        <v>1557</v>
      </c>
      <c r="J22" s="1598">
        <f ca="1">ROUND(J14*M22,1)</f>
        <v>0</v>
      </c>
      <c r="K22" s="1620" t="s">
        <v>1558</v>
      </c>
      <c r="L22" s="1561" t="s">
        <v>1528</v>
      </c>
      <c r="M22" s="1632">
        <f ca="1">INDIRECT("'数据-取费表'!Ak"&amp;$G$1)</f>
        <v>0</v>
      </c>
    </row>
    <row r="23" s="1526" customFormat="1" ht="18" customHeight="1" spans="1:37">
      <c r="A23" s="1593" t="s">
        <v>1241</v>
      </c>
      <c r="B23" s="1561" t="s">
        <v>1559</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1560</v>
      </c>
      <c r="F23" s="1610">
        <f>'数据-取费表'!B20</f>
        <v>2</v>
      </c>
      <c r="G23" s="1601"/>
      <c r="H23" s="1593" t="s">
        <v>1267</v>
      </c>
      <c r="I23" s="1561" t="s">
        <v>1561</v>
      </c>
      <c r="J23" s="1598">
        <f ca="1">ROUND(J13*M23,1)</f>
        <v>0</v>
      </c>
      <c r="K23" s="1620" t="s">
        <v>1562</v>
      </c>
      <c r="L23" s="1561" t="s">
        <v>1528</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1245</v>
      </c>
      <c r="B24" s="1561" t="s">
        <v>1563</v>
      </c>
      <c r="C24" s="1598">
        <f ca="1">ROUND(IF('数据-取费表'!B22&lt;=1,F21*F24*F23/2,F21*(POWER((1+F24),F23/2)-1)),4)</f>
        <v>0.001</v>
      </c>
      <c r="D24" s="1609" t="str">
        <f>IF(F23&lt;=1,"销售费用×利率×(建设周期÷2)","销售费用×((1+利率)^(建设周期÷2)-1)")</f>
        <v>销售费用×((1+利率)^(建设周期÷2)-1)</v>
      </c>
      <c r="E24" s="1561" t="s">
        <v>1564</v>
      </c>
      <c r="F24" s="1611">
        <f ca="1">'数据-取费表'!B40</f>
        <v>0.0475</v>
      </c>
      <c r="G24" s="1601"/>
      <c r="H24" s="1602" t="s">
        <v>1270</v>
      </c>
      <c r="I24" s="1586" t="s">
        <v>1547</v>
      </c>
      <c r="J24" s="1612">
        <f ca="1">ROUND(J5*M24,1)</f>
        <v>0</v>
      </c>
      <c r="K24" s="1613" t="s">
        <v>1565</v>
      </c>
      <c r="L24" s="1586" t="s">
        <v>1528</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1274</v>
      </c>
      <c r="B25" s="1561" t="s">
        <v>1566</v>
      </c>
      <c r="C25" s="1598"/>
      <c r="D25" s="1605" t="s">
        <v>1567</v>
      </c>
      <c r="E25" s="1606"/>
      <c r="F25" s="1604"/>
      <c r="G25" s="645"/>
      <c r="H25" s="1588" t="s">
        <v>1568</v>
      </c>
      <c r="I25" s="1634" t="s">
        <v>1569</v>
      </c>
      <c r="J25" s="1590">
        <f ca="1">J5-J16</f>
        <v>0</v>
      </c>
      <c r="K25" s="1635" t="s">
        <v>1570</v>
      </c>
      <c r="L25" s="1636"/>
      <c r="M25" s="1637"/>
    </row>
    <row r="26" spans="1:13">
      <c r="A26" s="1593" t="s">
        <v>1241</v>
      </c>
      <c r="B26" s="1561" t="s">
        <v>1571</v>
      </c>
      <c r="C26" s="1598">
        <f ca="1">ROUND((C19+C20)*F26,0)</f>
        <v>0</v>
      </c>
      <c r="D26" s="1607" t="s">
        <v>1572</v>
      </c>
      <c r="E26" s="1575" t="s">
        <v>1573</v>
      </c>
      <c r="F26" s="1571">
        <f ca="1">INDIRECT("'数据-取费表'!q"&amp;$G$1)</f>
        <v>0</v>
      </c>
      <c r="G26" s="645"/>
      <c r="H26" s="1551" t="s">
        <v>1574</v>
      </c>
      <c r="I26" s="1552" t="s">
        <v>1575</v>
      </c>
      <c r="J26" s="1638">
        <f ca="1">IF(J5&lt;&gt;0,ROUND(J25*(1-((1+M28)/(1+M26))^M27)/(M26-M28),0),0)</f>
        <v>0</v>
      </c>
      <c r="K26" s="1626" t="s">
        <v>1576</v>
      </c>
      <c r="L26" s="1561" t="s">
        <v>1577</v>
      </c>
      <c r="M26" s="1571">
        <f ca="1">INDIRECT("'数据-取费表'!I"&amp;$G$1)</f>
        <v>0</v>
      </c>
    </row>
    <row r="27" ht="18" customHeight="1" spans="1:13">
      <c r="A27" s="1593" t="s">
        <v>1245</v>
      </c>
      <c r="B27" s="1561" t="s">
        <v>1578</v>
      </c>
      <c r="C27" s="1598">
        <f ca="1">ROUND(F21*F26,4)</f>
        <v>0</v>
      </c>
      <c r="D27" s="1607" t="s">
        <v>1579</v>
      </c>
      <c r="E27" s="1599"/>
      <c r="F27" s="1600"/>
      <c r="G27" s="645"/>
      <c r="H27" s="1568"/>
      <c r="I27" s="1640"/>
      <c r="J27" s="1569"/>
      <c r="K27" s="1641" t="s">
        <v>1580</v>
      </c>
      <c r="L27" s="1561" t="s">
        <v>1581</v>
      </c>
      <c r="M27" s="1642">
        <f ca="1">INDIRECT("'数据-取费表'!ag"&amp;$G$1)</f>
        <v>0</v>
      </c>
    </row>
    <row r="28" s="1526" customFormat="1" ht="18" customHeight="1" spans="1:37">
      <c r="A28" s="1593" t="s">
        <v>1275</v>
      </c>
      <c r="B28" s="1561" t="s">
        <v>1582</v>
      </c>
      <c r="C28" s="1598">
        <f>ROUND(F28/(1+'数据-取费表'!C42),4)</f>
        <v>0.0533</v>
      </c>
      <c r="D28" s="1607" t="s">
        <v>1583</v>
      </c>
      <c r="E28" s="1561" t="s">
        <v>1528</v>
      </c>
      <c r="F28" s="1603">
        <f>'数据-取费表'!B41</f>
        <v>0.056</v>
      </c>
      <c r="G28" s="1601"/>
      <c r="H28" s="1577"/>
      <c r="I28" s="1644"/>
      <c r="J28" s="1590"/>
      <c r="K28" s="1630"/>
      <c r="L28" s="1561" t="s">
        <v>1584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1585</v>
      </c>
      <c r="B29" s="1586" t="s">
        <v>1586</v>
      </c>
      <c r="C29" s="1612">
        <f ca="1">ROUND((C19+C20+C23+C26)/(1-F21-C24-C27-C28),0)</f>
        <v>0</v>
      </c>
      <c r="D29" s="1613"/>
      <c r="E29" s="1586"/>
      <c r="F29" s="1614"/>
      <c r="G29" s="1601"/>
      <c r="H29" s="1615" t="s">
        <v>1587</v>
      </c>
      <c r="I29" s="1645" t="s">
        <v>1588</v>
      </c>
      <c r="J29" s="1646">
        <f ca="1">ROUND(J26/(1+F40)^F41,0)</f>
        <v>0</v>
      </c>
      <c r="K29" s="1647" t="s">
        <v>1589</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1530</v>
      </c>
      <c r="C30" s="1590">
        <f ca="1">ROUND(C31+C36+C37+C38,0)</f>
        <v>0</v>
      </c>
      <c r="D30" s="1616" t="s">
        <v>1531</v>
      </c>
      <c r="E30" s="1617"/>
      <c r="F30" s="1556"/>
      <c r="G30" s="645"/>
      <c r="H30" s="1618"/>
      <c r="I30" s="1728"/>
      <c r="J30" s="1729"/>
      <c r="K30" s="1730"/>
      <c r="L30" s="1731"/>
      <c r="M30" s="1732"/>
    </row>
    <row r="31" ht="18" customHeight="1" spans="1:13">
      <c r="A31" s="1593" t="s">
        <v>1218</v>
      </c>
      <c r="B31" s="1561" t="s">
        <v>1536</v>
      </c>
      <c r="C31" s="1619">
        <f ca="1">ROUND(IF(AND(项目基本情况!B11="自然人",项目基本情况!B10="北京市"),C6*F31/(1+'数据-取费表'!C42),C32+C33+C34),0)</f>
        <v>0</v>
      </c>
      <c r="D31" s="1595" t="s">
        <v>1537</v>
      </c>
      <c r="E31" s="1620" t="s">
        <v>1538</v>
      </c>
      <c r="F31" s="1621" t="str">
        <f ca="1">IF(项目基本情况!B11="企业","——",IF('数据-取费表'!B10="住宅",IF(F6*F7*F8/12/(1+'数据-取费表'!F30)&gt;100000,4%,2.5%),IF(F6*F7*F8/12/(1+'数据-取费表'!F30)&gt;100000,12%,7%)))</f>
        <v>——</v>
      </c>
      <c r="G31" s="645"/>
      <c r="H31" s="1622" t="s">
        <v>1590</v>
      </c>
      <c r="I31" s="1728"/>
      <c r="J31" s="1729"/>
      <c r="K31" s="1730"/>
      <c r="L31" s="1731"/>
      <c r="M31" s="1732"/>
    </row>
    <row r="32" ht="18" customHeight="1" spans="1:13">
      <c r="A32" s="1593" t="s">
        <v>1241</v>
      </c>
      <c r="B32" s="1561" t="s">
        <v>1541</v>
      </c>
      <c r="C32" s="1598">
        <f ca="1">IF(项目基本情况!B11="自然人","——",ROUND(C6*F32/(1+'数据-取费表'!C42),2))</f>
        <v>0</v>
      </c>
      <c r="D32" s="1620" t="s">
        <v>1542</v>
      </c>
      <c r="E32" s="1561" t="s">
        <v>1528</v>
      </c>
      <c r="F32" s="1611">
        <f>'数据-取费表'!B41</f>
        <v>0.056</v>
      </c>
      <c r="G32" s="645"/>
      <c r="H32" s="1618"/>
      <c r="I32" s="1728"/>
      <c r="J32" s="1729"/>
      <c r="K32" s="1730"/>
      <c r="L32" s="1731"/>
      <c r="M32" s="1732"/>
    </row>
    <row r="33" ht="18" customHeight="1" spans="1:13">
      <c r="A33" s="1593" t="s">
        <v>1245</v>
      </c>
      <c r="B33" s="1561" t="s">
        <v>1545</v>
      </c>
      <c r="C33" s="1598">
        <f ca="1">IF(项目基本情况!B11="自然人","——",IF(D33="按租金收入计税",ROUND(C6*F33/(1+'数据-取费表'!C42),2),IF(D33="按房产原值计税",ROUND(C29*F33*0.7,2),INDIRECT("'数据-取费表'!Aj"&amp;$G$1))))</f>
        <v>0</v>
      </c>
      <c r="D33" s="1623" t="s">
        <v>1660</v>
      </c>
      <c r="E33" s="1561" t="s">
        <v>1528</v>
      </c>
      <c r="F33" s="1603">
        <f>IF(D33="按票据","——",IF(D33="按租金收入计税",'数据-取费表'!B51,'数据-取费表'!B50))</f>
        <v>0.012</v>
      </c>
      <c r="G33" s="645"/>
      <c r="H33" s="1624"/>
      <c r="I33" s="1728"/>
      <c r="J33" s="1729"/>
      <c r="K33" s="1733"/>
      <c r="L33" s="1624"/>
      <c r="M33" s="1624"/>
    </row>
    <row r="34" ht="18" customHeight="1" spans="1:13">
      <c r="A34" s="1557" t="s">
        <v>1248</v>
      </c>
      <c r="B34" s="1560" t="s">
        <v>1549</v>
      </c>
      <c r="C34" s="1625">
        <f ca="1">IF(项目基本情况!B11="自然人","——",ROUND(F34*F35/10000,2))</f>
        <v>0</v>
      </c>
      <c r="D34" s="1626" t="s">
        <v>1550</v>
      </c>
      <c r="E34" s="1561" t="s">
        <v>1551</v>
      </c>
      <c r="F34" s="1610">
        <f>'数据-取费表'!B52</f>
        <v>18</v>
      </c>
      <c r="G34" s="645"/>
      <c r="H34" s="1618"/>
      <c r="I34" s="1728"/>
      <c r="J34" s="1729"/>
      <c r="K34" s="1734"/>
      <c r="L34" s="1735"/>
      <c r="M34" s="1735"/>
    </row>
    <row r="35" ht="18" customHeight="1" spans="1:13">
      <c r="A35" s="1627"/>
      <c r="B35" s="1628"/>
      <c r="C35" s="1629"/>
      <c r="D35" s="1630"/>
      <c r="E35" s="1561" t="s">
        <v>1555</v>
      </c>
      <c r="F35" s="1562">
        <f ca="1">INDIRECT("'数据-取费表'!r"&amp;$G$1)</f>
        <v>0</v>
      </c>
      <c r="G35" s="645"/>
      <c r="H35" s="1618"/>
      <c r="I35" s="1728"/>
      <c r="J35" s="1729"/>
      <c r="K35" s="1733"/>
      <c r="L35" s="1624"/>
      <c r="M35" s="1624"/>
    </row>
    <row r="36" ht="18" customHeight="1" spans="1:13">
      <c r="A36" s="1631" t="s">
        <v>1222</v>
      </c>
      <c r="B36" s="1561" t="s">
        <v>1557</v>
      </c>
      <c r="C36" s="1598">
        <f ca="1">ROUND(C29*F36,1)</f>
        <v>0</v>
      </c>
      <c r="D36" s="1620" t="s">
        <v>1591</v>
      </c>
      <c r="E36" s="1561" t="s">
        <v>1528</v>
      </c>
      <c r="F36" s="1632">
        <f ca="1">INDIRECT("'数据-取费表'!Ak"&amp;$G$1)</f>
        <v>0</v>
      </c>
      <c r="G36" s="645"/>
      <c r="H36" s="1624"/>
      <c r="I36" s="1728"/>
      <c r="J36" s="1729"/>
      <c r="K36" s="1736"/>
      <c r="L36" s="1624"/>
      <c r="M36" s="1624"/>
    </row>
    <row r="37" ht="18" customHeight="1" spans="1:13">
      <c r="A37" s="1593" t="s">
        <v>1267</v>
      </c>
      <c r="B37" s="1561" t="s">
        <v>1561</v>
      </c>
      <c r="C37" s="1598">
        <f ca="1">ROUND(C13*F37,1)</f>
        <v>0</v>
      </c>
      <c r="D37" s="1620" t="s">
        <v>1562</v>
      </c>
      <c r="E37" s="1561" t="s">
        <v>1528</v>
      </c>
      <c r="F37" s="1633">
        <f ca="1">INDIRECT("'数据-取费表'!Al"&amp;$G$1)</f>
        <v>0</v>
      </c>
      <c r="G37" s="645"/>
      <c r="H37" s="1624"/>
      <c r="I37" s="1728"/>
      <c r="J37" s="1729"/>
      <c r="K37" s="1736"/>
      <c r="L37" s="1624"/>
      <c r="M37" s="1624"/>
    </row>
    <row r="38" ht="18" customHeight="1" spans="1:13">
      <c r="A38" s="1602" t="s">
        <v>1270</v>
      </c>
      <c r="B38" s="1586" t="s">
        <v>1547</v>
      </c>
      <c r="C38" s="1612">
        <f ca="1">ROUND(C5*F38,1)</f>
        <v>0</v>
      </c>
      <c r="D38" s="1613" t="s">
        <v>1565</v>
      </c>
      <c r="E38" s="1586" t="s">
        <v>1528</v>
      </c>
      <c r="F38" s="1587">
        <f ca="1">INDIRECT("'数据-取费表'!Am"&amp;$G$1)</f>
        <v>0</v>
      </c>
      <c r="G38" s="645"/>
      <c r="H38" s="1624"/>
      <c r="I38" s="1728"/>
      <c r="J38" s="1729"/>
      <c r="K38" s="1737"/>
      <c r="L38" s="1624"/>
      <c r="M38" s="1624"/>
    </row>
    <row r="39" ht="24.6" customHeight="1" spans="1:13">
      <c r="A39" s="1588" t="s">
        <v>1568</v>
      </c>
      <c r="B39" s="1634" t="s">
        <v>1569</v>
      </c>
      <c r="C39" s="1590">
        <f ca="1">C5-C30</f>
        <v>0</v>
      </c>
      <c r="D39" s="1635" t="s">
        <v>1570</v>
      </c>
      <c r="E39" s="1636"/>
      <c r="F39" s="1637"/>
      <c r="G39" s="645"/>
      <c r="H39" s="1624"/>
      <c r="I39" s="1728"/>
      <c r="J39" s="1729"/>
      <c r="K39" s="1737"/>
      <c r="L39" s="1624"/>
      <c r="M39" s="1624"/>
    </row>
    <row r="40" ht="18" customHeight="1" spans="1:13">
      <c r="A40" s="1551" t="s">
        <v>1574</v>
      </c>
      <c r="B40" s="1552" t="s">
        <v>1592</v>
      </c>
      <c r="C40" s="1638" t="e">
        <f ca="1">ROUND(C39*(1-((1+F42)/(1+F40))^F41)/(F40-F42),0)</f>
        <v>#DIV/0!</v>
      </c>
      <c r="D40" s="1626" t="s">
        <v>1576</v>
      </c>
      <c r="E40" s="1561" t="s">
        <v>1577</v>
      </c>
      <c r="F40" s="1571">
        <f ca="1">INDIRECT("'数据-取费表'!I"&amp;$G$1)</f>
        <v>0</v>
      </c>
      <c r="G40" s="645"/>
      <c r="H40" s="1639"/>
      <c r="I40" s="1728"/>
      <c r="J40" s="1729"/>
      <c r="K40" s="1737"/>
      <c r="L40" s="1639"/>
      <c r="M40" s="1639"/>
    </row>
    <row r="41" ht="18" customHeight="1" spans="1:13">
      <c r="A41" s="1568"/>
      <c r="B41" s="1640"/>
      <c r="C41" s="1569"/>
      <c r="D41" s="1641" t="s">
        <v>1580</v>
      </c>
      <c r="E41" s="1561" t="s">
        <v>1581</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1584</v>
      </c>
      <c r="F42" s="1571">
        <f ca="1">INDIRECT("'数据-取费表'!v"&amp;$G$1)</f>
        <v>0</v>
      </c>
      <c r="G42" s="645"/>
      <c r="H42" s="1643"/>
      <c r="I42" s="1728"/>
      <c r="J42" s="1729"/>
      <c r="K42" s="1736"/>
      <c r="L42" s="1643"/>
      <c r="M42" s="1643"/>
    </row>
    <row r="43" ht="18" customHeight="1" spans="1:13">
      <c r="A43" s="1615" t="s">
        <v>1587</v>
      </c>
      <c r="B43" s="1645" t="s">
        <v>1593</v>
      </c>
      <c r="C43" s="1646" t="e">
        <f ca="1">ROUND(C40*10000/F43,0)</f>
        <v>#DIV/0!</v>
      </c>
      <c r="D43" s="1647" t="s">
        <v>1594</v>
      </c>
      <c r="E43" s="1648" t="s">
        <v>1595</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1596</v>
      </c>
      <c r="P45" s="1639"/>
      <c r="Q45" s="1639"/>
      <c r="R45" s="1639"/>
    </row>
    <row r="46" s="645" customFormat="1" ht="13.5" spans="1:18">
      <c r="A46" s="1654" t="s">
        <v>1597</v>
      </c>
      <c r="C46" s="1655" t="e">
        <f ca="1">C68-C40</f>
        <v>#DIV/0!</v>
      </c>
      <c r="D46" s="1656" t="str">
        <f>C2</f>
        <v>万元</v>
      </c>
      <c r="E46" s="1650"/>
      <c r="F46" s="1650"/>
      <c r="I46" s="1740" t="s">
        <v>1598</v>
      </c>
      <c r="J46" s="1741"/>
      <c r="K46" s="1742"/>
      <c r="L46" s="1743" t="e">
        <f ca="1">IF(M47="住宅",0,IF(L48&gt;J51,L60,J60))</f>
        <v>#DIV/0!</v>
      </c>
      <c r="O46" s="1744" t="s">
        <v>1599</v>
      </c>
      <c r="P46" s="1745" t="s">
        <v>1600</v>
      </c>
      <c r="Q46" s="1791" t="s">
        <v>1601</v>
      </c>
      <c r="R46" s="1791" t="s">
        <v>1602</v>
      </c>
    </row>
    <row r="47" s="645" customFormat="1" ht="13.5" spans="1:18">
      <c r="A47" s="1657" t="s">
        <v>1499</v>
      </c>
      <c r="B47" s="1658" t="s">
        <v>1500</v>
      </c>
      <c r="C47" s="1933" t="s">
        <v>1501</v>
      </c>
      <c r="D47" s="1658" t="s">
        <v>1502</v>
      </c>
      <c r="E47" s="1659" t="s">
        <v>1503</v>
      </c>
      <c r="F47" s="1660"/>
      <c r="G47" s="1661"/>
      <c r="I47" s="1746" t="s">
        <v>1603</v>
      </c>
      <c r="J47" s="1747"/>
      <c r="K47" s="1748" t="s">
        <v>1604</v>
      </c>
      <c r="L47" s="1749">
        <f ca="1">INDIRECT("'数据-取费表'!d"&amp;$G$1)</f>
        <v>0</v>
      </c>
      <c r="M47" s="1750" t="str">
        <f>IF(ISNUMBER(FIND("住宅",C1)),"住宅","非住宅")</f>
        <v>非住宅</v>
      </c>
      <c r="O47" s="1751" t="s">
        <v>1605</v>
      </c>
      <c r="P47" s="1752" t="s">
        <v>1606</v>
      </c>
      <c r="Q47" s="1792" t="e">
        <f ca="1">C40+J29</f>
        <v>#DIV/0!</v>
      </c>
      <c r="R47" s="1792" t="s">
        <v>1607</v>
      </c>
    </row>
    <row r="48" s="645" customFormat="1" ht="26.25" spans="1:18">
      <c r="A48" s="1662" t="s">
        <v>1608</v>
      </c>
      <c r="B48" s="1552" t="s">
        <v>1504</v>
      </c>
      <c r="C48" s="1663">
        <f ca="1">C49+C53+C55</f>
        <v>0</v>
      </c>
      <c r="D48" s="1664"/>
      <c r="E48" s="1665"/>
      <c r="F48" s="1666"/>
      <c r="G48" s="1661"/>
      <c r="H48" s="1667"/>
      <c r="I48" s="707" t="s">
        <v>1609</v>
      </c>
      <c r="J48" s="1753"/>
      <c r="K48" s="1754" t="s">
        <v>1611</v>
      </c>
      <c r="L48" s="1755">
        <f ca="1">INDIRECT("'数据-取费表'!f"&amp;$G$1)</f>
        <v>0</v>
      </c>
      <c r="O48" s="1751" t="s">
        <v>1612</v>
      </c>
      <c r="P48" s="1752" t="s">
        <v>1613</v>
      </c>
      <c r="Q48" s="1792" t="e">
        <f ca="1">J60</f>
        <v>#DIV/0!</v>
      </c>
      <c r="R48" s="1792" t="s">
        <v>1614</v>
      </c>
    </row>
    <row r="49" s="645" customFormat="1" ht="13.5" spans="1:18">
      <c r="A49" s="1668" t="s">
        <v>1615</v>
      </c>
      <c r="B49" s="1669" t="s">
        <v>1616</v>
      </c>
      <c r="C49" s="1670">
        <f ca="1">ROUND(F49*F51*F50*(1-F52)/10000,0)</f>
        <v>0</v>
      </c>
      <c r="D49" s="1671" t="s">
        <v>1509</v>
      </c>
      <c r="E49" s="1672" t="s">
        <v>1617</v>
      </c>
      <c r="F49" s="1673"/>
      <c r="G49" s="1674"/>
      <c r="H49" s="1667"/>
      <c r="I49" s="707" t="s">
        <v>1618</v>
      </c>
      <c r="J49" s="1756"/>
      <c r="K49" s="1754" t="s">
        <v>1619</v>
      </c>
      <c r="L49" s="1757"/>
      <c r="O49" s="1758" t="s">
        <v>1620</v>
      </c>
      <c r="P49" s="1752" t="s">
        <v>1621</v>
      </c>
      <c r="Q49" s="1792">
        <f ca="1">C29</f>
        <v>0</v>
      </c>
      <c r="R49" s="1792" t="s">
        <v>1607</v>
      </c>
    </row>
    <row r="50" s="645" customFormat="1" ht="13.5" spans="1:18">
      <c r="A50" s="1675"/>
      <c r="B50" s="1676"/>
      <c r="C50" s="1934"/>
      <c r="D50" s="1678"/>
      <c r="E50" s="1679" t="s">
        <v>1510</v>
      </c>
      <c r="F50" s="1680">
        <f ca="1">F7</f>
        <v>0</v>
      </c>
      <c r="H50" s="1667"/>
      <c r="I50" s="707" t="s">
        <v>1622</v>
      </c>
      <c r="J50" s="1759">
        <f>SUMPRODUCT((I63:I65=J47)*(J62:L62=J48)*(J63:L65))</f>
        <v>0</v>
      </c>
      <c r="K50" s="1754" t="s">
        <v>1623</v>
      </c>
      <c r="L50" s="1757"/>
      <c r="M50" s="1760"/>
      <c r="O50" s="1758" t="s">
        <v>1624</v>
      </c>
      <c r="P50" s="1752" t="s">
        <v>1625</v>
      </c>
      <c r="Q50" s="1793" t="e">
        <f ca="1">J58</f>
        <v>#DIV/0!</v>
      </c>
      <c r="R50" s="1792"/>
    </row>
    <row r="51" s="645" customFormat="1" ht="13.5" spans="1:18">
      <c r="A51" s="1681"/>
      <c r="B51" s="1676"/>
      <c r="C51" s="1677"/>
      <c r="D51" s="1678"/>
      <c r="E51" s="1682" t="s">
        <v>1511</v>
      </c>
      <c r="F51" s="1562">
        <f ca="1">F8</f>
        <v>0</v>
      </c>
      <c r="I51" s="1761" t="s">
        <v>1626</v>
      </c>
      <c r="J51" s="1762">
        <f>IF(J49="",J50,J49+J50-YEAR('数据-取费表'!B2))</f>
        <v>0</v>
      </c>
      <c r="K51" s="1763" t="s">
        <v>1627</v>
      </c>
      <c r="L51" s="1764">
        <f ca="1">ROUND(-PV(INDIRECT("'数据-取费表'!h"&amp;$G$1),J51,(C39-C13*C76),0),0)</f>
        <v>0</v>
      </c>
      <c r="M51" s="1765"/>
      <c r="O51" s="1758" t="s">
        <v>1628</v>
      </c>
      <c r="P51" s="1752" t="s">
        <v>1629</v>
      </c>
      <c r="Q51" s="1793">
        <f>J52</f>
        <v>0</v>
      </c>
      <c r="R51" s="1792"/>
    </row>
    <row r="52" s="645" customFormat="1" ht="13.5" spans="1:18">
      <c r="A52" s="1681"/>
      <c r="B52" s="1676"/>
      <c r="C52" s="1677"/>
      <c r="D52" s="1678"/>
      <c r="E52" s="1682" t="s">
        <v>1512</v>
      </c>
      <c r="F52" s="1683"/>
      <c r="I52" s="1766" t="s">
        <v>1630</v>
      </c>
      <c r="J52" s="1767"/>
      <c r="K52" s="1766" t="s">
        <v>1631</v>
      </c>
      <c r="L52" s="1767"/>
      <c r="O52" s="1758" t="s">
        <v>1632</v>
      </c>
      <c r="P52" s="1752" t="s">
        <v>1633</v>
      </c>
      <c r="Q52" s="1792">
        <f ca="1">J53</f>
        <v>0</v>
      </c>
      <c r="R52" s="1792" t="s">
        <v>1634</v>
      </c>
    </row>
    <row r="53" s="645" customFormat="1" ht="24.75" spans="1:18">
      <c r="A53" s="1935" t="s">
        <v>1635</v>
      </c>
      <c r="B53" s="1936" t="s">
        <v>1513</v>
      </c>
      <c r="C53" s="1573">
        <f ca="1">ROUND(IF(F53="押一",C49/12*F11,IF(F53="押二",C49/12*2*F11,IF(F53="押三",C49/12*3*F11,C54*F11))),0)</f>
        <v>0</v>
      </c>
      <c r="D53" s="1574" t="s">
        <v>1514</v>
      </c>
      <c r="E53" s="1575" t="s">
        <v>1515</v>
      </c>
      <c r="F53" s="1576"/>
      <c r="I53" s="1768" t="s">
        <v>1636</v>
      </c>
      <c r="J53" s="1769">
        <f ca="1">IF(M47="住宅",IF(D1="——",MAX(J51,L48),MAX(J51,L48-'数据-取费表'!B24)),IF(D1="——",MIN(J51,L48),MIN(J51,L48-'数据-取费表'!B24)))</f>
        <v>0</v>
      </c>
      <c r="K53" s="1770" t="s">
        <v>1637</v>
      </c>
      <c r="L53" s="1771"/>
      <c r="O53" s="1751" t="s">
        <v>1638</v>
      </c>
      <c r="P53" s="1752" t="s">
        <v>1639</v>
      </c>
      <c r="Q53" s="1792" t="e">
        <f ca="1">Q47+Q48</f>
        <v>#DIV/0!</v>
      </c>
      <c r="R53" s="1792" t="s">
        <v>1640</v>
      </c>
    </row>
    <row r="54" s="645" customFormat="1" ht="13.5" spans="1:18">
      <c r="A54" s="1937"/>
      <c r="B54" s="1578" t="s">
        <v>1517</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1641</v>
      </c>
      <c r="P54" s="1774"/>
      <c r="Q54" s="1774"/>
      <c r="R54" s="1774"/>
    </row>
    <row r="55" s="645" customFormat="1" ht="13.5" spans="1:18">
      <c r="A55" s="1582" t="s">
        <v>1267</v>
      </c>
      <c r="B55" s="1583" t="s">
        <v>1519</v>
      </c>
      <c r="C55" s="1584"/>
      <c r="D55" s="1574"/>
      <c r="E55" s="1686"/>
      <c r="F55" s="1687"/>
      <c r="I55" s="1775" t="s">
        <v>1642</v>
      </c>
      <c r="J55" s="1776" t="e">
        <f ca="1">ROUND(IF(J47="钢混",J57/J50,1-(1-2%)*(J50-J57)/J50),3)</f>
        <v>#DIV/0!</v>
      </c>
      <c r="K55" s="1777" t="s">
        <v>1643</v>
      </c>
      <c r="L55" s="1778" t="s">
        <v>1644</v>
      </c>
      <c r="O55" s="1744" t="s">
        <v>1599</v>
      </c>
      <c r="P55" s="1745" t="s">
        <v>1600</v>
      </c>
      <c r="Q55" s="1791" t="s">
        <v>1601</v>
      </c>
      <c r="R55" s="1791" t="s">
        <v>1602</v>
      </c>
    </row>
    <row r="56" s="645" customFormat="1" ht="25.5" spans="1:18">
      <c r="A56" s="1688">
        <v>2</v>
      </c>
      <c r="B56" s="1689" t="s">
        <v>1520</v>
      </c>
      <c r="C56" s="183">
        <f ca="1">C13</f>
        <v>0</v>
      </c>
      <c r="D56" s="1690"/>
      <c r="E56" s="1691"/>
      <c r="F56" s="1687"/>
      <c r="I56" s="1779" t="s">
        <v>1645</v>
      </c>
      <c r="J56" s="1780"/>
      <c r="K56" s="707" t="s">
        <v>1646</v>
      </c>
      <c r="L56" s="1755">
        <f ca="1">IF(L48&lt;J51,"——",L48-J53)</f>
        <v>0</v>
      </c>
      <c r="O56" s="1751" t="s">
        <v>1605</v>
      </c>
      <c r="P56" s="1752" t="s">
        <v>1606</v>
      </c>
      <c r="Q56" s="1792" t="e">
        <f ca="1">C40+J29</f>
        <v>#DIV/0!</v>
      </c>
      <c r="R56" s="1792" t="s">
        <v>1607</v>
      </c>
    </row>
    <row r="57" s="645" customFormat="1" ht="24.75" spans="1:18">
      <c r="A57" s="1692"/>
      <c r="B57" s="1693" t="s">
        <v>1586</v>
      </c>
      <c r="C57" s="193">
        <f ca="1">C29</f>
        <v>0</v>
      </c>
      <c r="D57" s="1694"/>
      <c r="E57" s="1695"/>
      <c r="F57" s="1696"/>
      <c r="I57" s="1781" t="s">
        <v>1647</v>
      </c>
      <c r="J57" s="1782">
        <f ca="1">IF(OR(M47="住宅",J51&lt;L48,J56="是"),"——",J51-L48)</f>
        <v>0</v>
      </c>
      <c r="K57" s="707" t="s">
        <v>1648</v>
      </c>
      <c r="L57" s="1755">
        <f ca="1">IF(L48&lt;J51,"——",IF(L55="比较法",L49,IF(L55="基准地价",L50,L51)))</f>
        <v>0</v>
      </c>
      <c r="O57" s="1751" t="s">
        <v>1612</v>
      </c>
      <c r="P57" s="1752" t="s">
        <v>1649</v>
      </c>
      <c r="Q57" s="1792" t="e">
        <f ca="1">L60</f>
        <v>#DIV/0!</v>
      </c>
      <c r="R57" s="1792" t="s">
        <v>1650</v>
      </c>
    </row>
    <row r="58" s="645" customFormat="1" ht="24.75" spans="1:18">
      <c r="A58" s="1697" t="s">
        <v>532</v>
      </c>
      <c r="B58" s="1689" t="s">
        <v>1530</v>
      </c>
      <c r="C58" s="1573">
        <f ca="1">ROUND(C59+C64+C65+C66,0)</f>
        <v>0</v>
      </c>
      <c r="D58" s="1698" t="s">
        <v>1531</v>
      </c>
      <c r="E58" s="1699"/>
      <c r="F58" s="1666"/>
      <c r="I58" s="1781" t="s">
        <v>1651</v>
      </c>
      <c r="J58" s="1783" t="e">
        <f ca="1">IF(J55&lt;0.4,0.4,J55)</f>
        <v>#DIV/0!</v>
      </c>
      <c r="K58" s="1763" t="s">
        <v>1652</v>
      </c>
      <c r="L58" s="1755" t="e">
        <f ca="1">ROUND(POWER(1+L52,L47-L48)*(POWER(1+L52,L48)-1)/(POWER(1+L52,L47)-1),4)</f>
        <v>#DIV/0!</v>
      </c>
      <c r="O58" s="1758" t="s">
        <v>1620</v>
      </c>
      <c r="P58" s="1752" t="s">
        <v>1653</v>
      </c>
      <c r="Q58" s="1792">
        <f>IF(L55="比较法",L49,IF(L55="基准地价",L50,0))</f>
        <v>0</v>
      </c>
      <c r="R58" s="1792" t="s">
        <v>1607</v>
      </c>
    </row>
    <row r="59" s="645" customFormat="1" ht="24.75" spans="1:18">
      <c r="A59" s="1593" t="s">
        <v>1218</v>
      </c>
      <c r="B59" s="1693" t="s">
        <v>1536</v>
      </c>
      <c r="C59" s="1619">
        <f ca="1">ROUND(IF(AND(项目基本情况!B11="自然人",项目基本情况!B10="北京市"),C49*F59/(1+'数据-取费表'!C42),C60+C61+C62),0)</f>
        <v>0</v>
      </c>
      <c r="D59" s="1700" t="s">
        <v>1537</v>
      </c>
      <c r="E59" s="1701" t="s">
        <v>1538</v>
      </c>
      <c r="F59" s="1621" t="str">
        <f ca="1">IF(项目基本情况!B11="企业","——",IF('数据-取费表'!B10="住宅",IF(F49*F50*F51/12/(1+'数据-取费表'!F30)&gt;100000,4%,2.5%),IF(F49*F50*F51/12/(1+'数据-取费表'!F30)&gt;100000,12%,7%)))</f>
        <v>——</v>
      </c>
      <c r="I59" s="1781" t="s">
        <v>1654</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1624</v>
      </c>
      <c r="P59" s="1752" t="s">
        <v>1655</v>
      </c>
      <c r="Q59" s="1793">
        <f>L52</f>
        <v>0</v>
      </c>
      <c r="R59" s="1792"/>
    </row>
    <row r="60" s="645" customFormat="1" ht="17.25" spans="1:18">
      <c r="A60" s="1593" t="s">
        <v>1241</v>
      </c>
      <c r="B60" s="1693" t="s">
        <v>1541</v>
      </c>
      <c r="C60" s="1598">
        <f ca="1">IF(项目基本情况!B11="自然人","——",ROUND(C48*F60/(1+'数据-取费表'!C42),2))</f>
        <v>0</v>
      </c>
      <c r="D60" s="1701" t="s">
        <v>1542</v>
      </c>
      <c r="E60" s="1693" t="s">
        <v>1528</v>
      </c>
      <c r="F60" s="1611">
        <f t="shared" ref="F60:F66" si="0">F32</f>
        <v>0.056</v>
      </c>
      <c r="I60" s="1784" t="s">
        <v>1656</v>
      </c>
      <c r="J60" s="1785" t="e">
        <f ca="1">IF(OR(M47="住宅",J51&lt;L48,J56="是"),"0",ROUND(J59/(1+J52)^J53,0))</f>
        <v>#DIV/0!</v>
      </c>
      <c r="K60" s="1786" t="s">
        <v>1657</v>
      </c>
      <c r="L60" s="1785" t="e">
        <f ca="1">IF(OR(M47="住宅",L48&lt;J51),0,ROUND(L57*(L58/L59-1),0))</f>
        <v>#DIV/0!</v>
      </c>
      <c r="O60" s="1758" t="s">
        <v>1628</v>
      </c>
      <c r="P60" s="1752" t="s">
        <v>1658</v>
      </c>
      <c r="Q60" s="1792" t="e">
        <f ca="1">L58</f>
        <v>#DIV/0!</v>
      </c>
      <c r="R60" s="1792" t="s">
        <v>1659</v>
      </c>
    </row>
    <row r="61" s="645" customFormat="1" ht="13.5" spans="1:18">
      <c r="A61" s="1593" t="s">
        <v>1245</v>
      </c>
      <c r="B61" s="1693" t="s">
        <v>1545</v>
      </c>
      <c r="C61" s="1598">
        <f ca="1">IF(项目基本情况!B11="自然人","——",IF(D61="按租金收入计税",ROUND(C48*F61,2),IF(D61="按房产原值计税",ROUND(C57*F61*0.7,2),INDIRECT("'数据-取费表'!Aj"&amp;$G$1))))</f>
        <v>0</v>
      </c>
      <c r="D61" s="1623" t="s">
        <v>1660</v>
      </c>
      <c r="E61" s="1693" t="s">
        <v>1528</v>
      </c>
      <c r="F61" s="1603">
        <f t="shared" si="0"/>
        <v>0.012</v>
      </c>
      <c r="I61" s="1639"/>
      <c r="J61" s="1639"/>
      <c r="K61" s="1639"/>
      <c r="L61" s="1639"/>
      <c r="O61" s="1758" t="s">
        <v>1632</v>
      </c>
      <c r="P61" s="1752" t="str">
        <f>K59</f>
        <v>建设期及建筑物耐用年限下的土地年期修正系数Kn</v>
      </c>
      <c r="Q61" s="1792" t="e">
        <f ca="1">L59</f>
        <v>#DIV/0!</v>
      </c>
      <c r="R61" s="1792" t="s">
        <v>1661</v>
      </c>
    </row>
    <row r="62" s="645" customFormat="1" ht="13.5" spans="1:18">
      <c r="A62" s="1593" t="s">
        <v>1248</v>
      </c>
      <c r="B62" s="1702" t="s">
        <v>1549</v>
      </c>
      <c r="C62" s="1625">
        <f ca="1">IF(项目基本情况!B11="自然人","——",ROUND(F62*F63/10000,2))</f>
        <v>0</v>
      </c>
      <c r="D62" s="1703" t="s">
        <v>1550</v>
      </c>
      <c r="E62" s="1693" t="s">
        <v>1551</v>
      </c>
      <c r="F62" s="1610">
        <f t="shared" si="0"/>
        <v>18</v>
      </c>
      <c r="I62" s="1787" t="s">
        <v>1662</v>
      </c>
      <c r="J62" s="1788" t="s">
        <v>1663</v>
      </c>
      <c r="K62" s="1788" t="s">
        <v>1664</v>
      </c>
      <c r="L62" s="1788" t="s">
        <v>1665</v>
      </c>
      <c r="M62" s="1789" t="s">
        <v>1666</v>
      </c>
      <c r="O62" s="1751" t="s">
        <v>1638</v>
      </c>
      <c r="P62" s="1752" t="s">
        <v>1639</v>
      </c>
      <c r="Q62" s="1792" t="e">
        <f ca="1">Q56+Q57</f>
        <v>#DIV/0!</v>
      </c>
      <c r="R62" s="1792" t="s">
        <v>1640</v>
      </c>
    </row>
    <row r="63" s="645" customFormat="1" ht="13.5" spans="1:18">
      <c r="A63" s="1608"/>
      <c r="B63" s="1704"/>
      <c r="C63" s="1629"/>
      <c r="D63" s="1705"/>
      <c r="E63" s="1693" t="s">
        <v>1555</v>
      </c>
      <c r="F63" s="1562">
        <f ca="1" t="shared" si="0"/>
        <v>0</v>
      </c>
      <c r="I63" s="1787" t="s">
        <v>1667</v>
      </c>
      <c r="J63" s="1788">
        <v>70</v>
      </c>
      <c r="K63" s="1788">
        <v>50</v>
      </c>
      <c r="L63" s="1788">
        <v>80</v>
      </c>
      <c r="M63" s="1790">
        <v>0.02</v>
      </c>
      <c r="O63" s="1739" t="s">
        <v>1668</v>
      </c>
      <c r="P63" s="1774"/>
      <c r="Q63" s="1774"/>
      <c r="R63" s="1774"/>
    </row>
    <row r="64" s="645" customFormat="1" ht="13.5" spans="1:18">
      <c r="A64" s="1593" t="s">
        <v>1222</v>
      </c>
      <c r="B64" s="1693" t="s">
        <v>1557</v>
      </c>
      <c r="C64" s="1598">
        <f ca="1">ROUND(C57*F64,1)</f>
        <v>0</v>
      </c>
      <c r="D64" s="1701" t="s">
        <v>1591</v>
      </c>
      <c r="E64" s="1693" t="s">
        <v>1528</v>
      </c>
      <c r="F64" s="1632">
        <f ca="1" t="shared" si="0"/>
        <v>0</v>
      </c>
      <c r="I64" s="1787" t="s">
        <v>1669</v>
      </c>
      <c r="J64" s="1788">
        <v>50</v>
      </c>
      <c r="K64" s="1788">
        <v>35</v>
      </c>
      <c r="L64" s="1788">
        <v>60</v>
      </c>
      <c r="M64" s="1789">
        <v>0</v>
      </c>
      <c r="O64" s="1744" t="s">
        <v>1599</v>
      </c>
      <c r="P64" s="1745" t="s">
        <v>1600</v>
      </c>
      <c r="Q64" s="1791" t="s">
        <v>1601</v>
      </c>
      <c r="R64" s="1791" t="s">
        <v>1602</v>
      </c>
    </row>
    <row r="65" s="645" customFormat="1" ht="13.5" spans="1:18">
      <c r="A65" s="1593" t="s">
        <v>1267</v>
      </c>
      <c r="B65" s="1693" t="s">
        <v>1561</v>
      </c>
      <c r="C65" s="1598">
        <f ca="1">ROUND(C56*F65,1)</f>
        <v>0</v>
      </c>
      <c r="D65" s="1701" t="s">
        <v>1562</v>
      </c>
      <c r="E65" s="1693" t="s">
        <v>1528</v>
      </c>
      <c r="F65" s="1633">
        <f ca="1" t="shared" si="0"/>
        <v>0</v>
      </c>
      <c r="I65" s="1787" t="s">
        <v>1670</v>
      </c>
      <c r="J65" s="1788">
        <v>40</v>
      </c>
      <c r="K65" s="1788">
        <v>30</v>
      </c>
      <c r="L65" s="1788">
        <v>50</v>
      </c>
      <c r="M65" s="1790">
        <v>0.02</v>
      </c>
      <c r="O65" s="1751" t="s">
        <v>1605</v>
      </c>
      <c r="P65" s="1752" t="s">
        <v>1606</v>
      </c>
      <c r="Q65" s="1792" t="e">
        <f ca="1">C40+J29</f>
        <v>#DIV/0!</v>
      </c>
      <c r="R65" s="1792" t="s">
        <v>1607</v>
      </c>
    </row>
    <row r="66" s="645" customFormat="1" ht="17.25" spans="1:18">
      <c r="A66" s="1593" t="s">
        <v>1270</v>
      </c>
      <c r="B66" s="1693" t="s">
        <v>1547</v>
      </c>
      <c r="C66" s="1598">
        <f ca="1">ROUND(C48*F66,1)</f>
        <v>0</v>
      </c>
      <c r="D66" s="1701" t="s">
        <v>1565</v>
      </c>
      <c r="E66" s="1693" t="s">
        <v>1528</v>
      </c>
      <c r="F66" s="1571">
        <f ca="1" t="shared" si="0"/>
        <v>0</v>
      </c>
      <c r="O66" s="1751" t="s">
        <v>1612</v>
      </c>
      <c r="P66" s="1752" t="s">
        <v>1649</v>
      </c>
      <c r="Q66" s="1792" t="e">
        <f ca="1">L60</f>
        <v>#DIV/0!</v>
      </c>
      <c r="R66" s="1792" t="s">
        <v>1650</v>
      </c>
    </row>
    <row r="67" s="645" customFormat="1" ht="17.25" spans="1:18">
      <c r="A67" s="1688" t="s">
        <v>1568</v>
      </c>
      <c r="B67" s="1794" t="s">
        <v>1569</v>
      </c>
      <c r="C67" s="1573">
        <f ca="1">C48-C58</f>
        <v>0</v>
      </c>
      <c r="D67" s="1700" t="s">
        <v>1570</v>
      </c>
      <c r="E67" s="1795"/>
      <c r="F67" s="1796"/>
      <c r="O67" s="1758" t="s">
        <v>1620</v>
      </c>
      <c r="P67" s="1752" t="s">
        <v>1653</v>
      </c>
      <c r="Q67" s="1817">
        <f ca="1">L51</f>
        <v>0</v>
      </c>
      <c r="R67" s="1792" t="s">
        <v>1671</v>
      </c>
    </row>
    <row r="68" s="645" customFormat="1" ht="17.25" spans="1:18">
      <c r="A68" s="1797" t="s">
        <v>1574</v>
      </c>
      <c r="B68" s="1798" t="s">
        <v>1592</v>
      </c>
      <c r="C68" s="1638" t="e">
        <f ca="1">ROUND(C67*(1-((1+F70)/(1+F68))^F69)/(F68-F70),0)</f>
        <v>#DIV/0!</v>
      </c>
      <c r="D68" s="1703" t="s">
        <v>1576</v>
      </c>
      <c r="E68" s="1693" t="s">
        <v>1577</v>
      </c>
      <c r="F68" s="1571">
        <f ca="1">F40</f>
        <v>0</v>
      </c>
      <c r="O68" s="1758" t="s">
        <v>1624</v>
      </c>
      <c r="P68" s="1816" t="s">
        <v>1672</v>
      </c>
      <c r="Q68" s="1792">
        <f ca="1">ROUND(Q69-Q70*Q71,0)</f>
        <v>0</v>
      </c>
      <c r="R68" s="1792" t="s">
        <v>1673</v>
      </c>
    </row>
    <row r="69" s="645" customFormat="1" ht="13.5" spans="1:18">
      <c r="A69" s="1799"/>
      <c r="B69" s="1800"/>
      <c r="C69" s="1569"/>
      <c r="D69" s="1801" t="s">
        <v>1580</v>
      </c>
      <c r="E69" s="1693" t="s">
        <v>1581</v>
      </c>
      <c r="F69" s="1642">
        <f ca="1">F41</f>
        <v>0</v>
      </c>
      <c r="O69" s="1758" t="s">
        <v>1674</v>
      </c>
      <c r="P69" s="1816" t="s">
        <v>1675</v>
      </c>
      <c r="Q69" s="1792">
        <f ca="1">C39</f>
        <v>0</v>
      </c>
      <c r="R69" s="1792" t="s">
        <v>1607</v>
      </c>
    </row>
    <row r="70" s="645" customFormat="1" ht="13.5" spans="1:18">
      <c r="A70" s="1802"/>
      <c r="B70" s="1803"/>
      <c r="C70" s="1590"/>
      <c r="D70" s="1705"/>
      <c r="E70" s="1693" t="s">
        <v>1584</v>
      </c>
      <c r="F70" s="1683"/>
      <c r="O70" s="1758" t="s">
        <v>1676</v>
      </c>
      <c r="P70" s="1816" t="s">
        <v>1677</v>
      </c>
      <c r="Q70" s="1792">
        <f ca="1">C13</f>
        <v>0</v>
      </c>
      <c r="R70" s="1792" t="s">
        <v>1607</v>
      </c>
    </row>
    <row r="71" s="645" customFormat="1" ht="13.5" spans="1:18">
      <c r="A71" s="1804" t="s">
        <v>1587</v>
      </c>
      <c r="B71" s="1805" t="s">
        <v>1593</v>
      </c>
      <c r="C71" s="1646" t="e">
        <f ca="1">ROUND(C68*10000/F71,0)</f>
        <v>#DIV/0!</v>
      </c>
      <c r="D71" s="1806" t="s">
        <v>1594</v>
      </c>
      <c r="E71" s="1807" t="s">
        <v>1595</v>
      </c>
      <c r="F71" s="1649">
        <f ca="1">F43</f>
        <v>0</v>
      </c>
      <c r="O71" s="1758" t="s">
        <v>1678</v>
      </c>
      <c r="P71" s="1816" t="s">
        <v>1679</v>
      </c>
      <c r="Q71" s="1793">
        <f ca="1">C76</f>
        <v>0</v>
      </c>
      <c r="R71" s="1792"/>
    </row>
    <row r="72" s="645" customFormat="1" ht="13.5" spans="2:18">
      <c r="B72" s="1808"/>
      <c r="C72" s="1808"/>
      <c r="O72" s="1758" t="s">
        <v>1628</v>
      </c>
      <c r="P72" s="1752" t="s">
        <v>1655</v>
      </c>
      <c r="Q72" s="1793">
        <f>L52</f>
        <v>0</v>
      </c>
      <c r="R72" s="1792"/>
    </row>
    <row r="73" ht="17.25" spans="1:18">
      <c r="A73" s="645"/>
      <c r="B73" s="1808"/>
      <c r="C73" s="1808"/>
      <c r="D73" s="645"/>
      <c r="E73" s="645"/>
      <c r="F73" s="645"/>
      <c r="O73" s="1758" t="s">
        <v>1632</v>
      </c>
      <c r="P73" s="1752" t="s">
        <v>1658</v>
      </c>
      <c r="Q73" s="1792" t="e">
        <f ca="1">L58</f>
        <v>#DIV/0!</v>
      </c>
      <c r="R73" s="1792" t="s">
        <v>1659</v>
      </c>
    </row>
    <row r="74" ht="13.5" spans="1:18">
      <c r="A74" s="645"/>
      <c r="B74" s="228" t="s">
        <v>1680</v>
      </c>
      <c r="C74" s="1809"/>
      <c r="D74" s="645"/>
      <c r="E74" s="645"/>
      <c r="F74" s="645"/>
      <c r="O74" s="1758" t="s">
        <v>1681</v>
      </c>
      <c r="P74" s="1752" t="str">
        <f>K59</f>
        <v>建设期及建筑物耐用年限下的土地年期修正系数Kn</v>
      </c>
      <c r="Q74" s="1792" t="e">
        <f ca="1">L59</f>
        <v>#DIV/0!</v>
      </c>
      <c r="R74" s="1792" t="s">
        <v>1661</v>
      </c>
    </row>
    <row r="75" ht="13.5" spans="1:18">
      <c r="A75" s="645"/>
      <c r="B75" s="1810" t="s">
        <v>1682</v>
      </c>
      <c r="C75" s="1811">
        <f ca="1">ROUND(C13*C76,0)</f>
        <v>0</v>
      </c>
      <c r="D75" s="645"/>
      <c r="E75" s="645"/>
      <c r="F75" s="645"/>
      <c r="K75" s="1738"/>
      <c r="L75" s="645"/>
      <c r="O75" s="1751" t="s">
        <v>1638</v>
      </c>
      <c r="P75" s="1752" t="s">
        <v>1639</v>
      </c>
      <c r="Q75" s="1792" t="e">
        <f ca="1">Q65+Q66</f>
        <v>#DIV/0!</v>
      </c>
      <c r="R75" s="1792" t="s">
        <v>1640</v>
      </c>
    </row>
    <row r="76" spans="2:12">
      <c r="B76" s="450" t="s">
        <v>1683</v>
      </c>
      <c r="C76" s="1812">
        <f ca="1">INDIRECT("'数据-取费表'!j"&amp;$G$1)</f>
        <v>0</v>
      </c>
      <c r="I76" s="645"/>
      <c r="J76" s="645"/>
      <c r="K76" s="1738"/>
      <c r="L76" s="645"/>
    </row>
    <row r="77" spans="2:12">
      <c r="B77" s="1813" t="s">
        <v>1684</v>
      </c>
      <c r="C77" s="1814"/>
      <c r="I77" s="645"/>
      <c r="J77" s="645"/>
      <c r="K77" s="1738"/>
      <c r="L77" s="645"/>
    </row>
    <row r="78" spans="2:3">
      <c r="B78" s="226" t="s">
        <v>1685</v>
      </c>
      <c r="C78" s="1815"/>
    </row>
    <row r="79" spans="2:3">
      <c r="B79" s="1810" t="s">
        <v>1686</v>
      </c>
      <c r="C79" s="229" t="e">
        <f ca="1">1-C80</f>
        <v>#DIV/0!</v>
      </c>
    </row>
    <row r="80" spans="2:3">
      <c r="B80" s="1810" t="s">
        <v>1687</v>
      </c>
      <c r="C80" s="229" t="e">
        <f ca="1">ROUND(C75/C39,3)</f>
        <v>#DIV/0!</v>
      </c>
    </row>
    <row r="81" spans="2:3">
      <c r="B81" s="226" t="s">
        <v>1688</v>
      </c>
      <c r="C81" s="193"/>
    </row>
    <row r="82" spans="2:3">
      <c r="B82" s="228" t="s">
        <v>1689</v>
      </c>
      <c r="C82" s="230" t="e">
        <f ca="1">1-C83</f>
        <v>#DIV/0!</v>
      </c>
    </row>
    <row r="83" spans="2:3">
      <c r="B83" s="228" t="s">
        <v>1690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1934</v>
      </c>
      <c r="B1" s="1915"/>
      <c r="C1" s="145"/>
      <c r="D1" s="145"/>
      <c r="E1" s="145"/>
      <c r="F1" s="145"/>
      <c r="G1" s="1917">
        <f>MATCH(B1,'数据-取费表'!A6:A16,0)+5</f>
        <v>8</v>
      </c>
    </row>
    <row r="2" s="135" customFormat="1" ht="18" customHeight="1" spans="1:7">
      <c r="A2" s="147" t="s">
        <v>1312</v>
      </c>
      <c r="B2" s="148">
        <f ca="1">IF(D2="——",C52,C52-E2)</f>
        <v>32258</v>
      </c>
      <c r="C2" s="146" t="s">
        <v>1313</v>
      </c>
      <c r="D2" s="1918" t="s">
        <v>124</v>
      </c>
      <c r="E2" s="1919" t="e">
        <f ca="1">SUMIF(INDIRECT("'"&amp;G2&amp;"'"&amp;"!A:A"),"承租人权益价值",INDIRECT("'"&amp;G2&amp;"'"&amp;"!c:c"))</f>
        <v>#REF!</v>
      </c>
      <c r="F2" s="1920" t="s">
        <v>1313</v>
      </c>
      <c r="G2" s="1921"/>
    </row>
    <row r="3" s="135" customFormat="1" ht="18" customHeight="1" spans="1:7">
      <c r="A3" s="150" t="s">
        <v>1314</v>
      </c>
      <c r="B3" s="151">
        <f ca="1">ROUND(B2*10000/(IF(B1="",'数据-汇总表'!E3,INDIRECT("'数据-取费表'!k"&amp;$G$1))),0)</f>
        <v>4855</v>
      </c>
      <c r="C3" s="146" t="s">
        <v>1935</v>
      </c>
      <c r="D3" s="146"/>
      <c r="E3" s="146"/>
      <c r="F3" s="146"/>
      <c r="G3" s="146"/>
    </row>
    <row r="4" s="136" customFormat="1" ht="15.75" spans="1:7">
      <c r="A4" s="152" t="s">
        <v>1936</v>
      </c>
      <c r="B4" s="153"/>
      <c r="C4" s="153"/>
      <c r="D4" s="153"/>
      <c r="E4" s="153"/>
      <c r="F4" s="153"/>
      <c r="G4" s="154"/>
    </row>
    <row r="5" s="137" customFormat="1" ht="13.5" customHeight="1" spans="1:7">
      <c r="A5" s="155" t="s">
        <v>1937</v>
      </c>
      <c r="B5" s="156" t="s">
        <v>1938</v>
      </c>
      <c r="C5" s="157">
        <f ca="1">C6+C7+C8</f>
        <v>0</v>
      </c>
      <c r="D5" s="157" t="s">
        <v>1939</v>
      </c>
      <c r="E5" s="158" t="s">
        <v>1940</v>
      </c>
      <c r="F5" s="158" t="s">
        <v>1213</v>
      </c>
      <c r="G5" s="159"/>
    </row>
    <row r="6" s="137" customFormat="1" ht="13.5" customHeight="1" spans="1:7">
      <c r="A6" s="160" t="s">
        <v>1941</v>
      </c>
      <c r="B6" s="161" t="s">
        <v>1942</v>
      </c>
      <c r="C6" s="162"/>
      <c r="D6" s="163"/>
      <c r="E6" s="164"/>
      <c r="F6" s="164"/>
      <c r="G6" s="165"/>
    </row>
    <row r="7" s="137" customFormat="1" ht="13.5" customHeight="1" spans="1:7">
      <c r="A7" s="160" t="s">
        <v>1943</v>
      </c>
      <c r="B7" s="161" t="s">
        <v>1944</v>
      </c>
      <c r="C7" s="166">
        <f>ROUND(C6*F7,0)</f>
        <v>0</v>
      </c>
      <c r="D7" s="166"/>
      <c r="E7" s="164"/>
      <c r="F7" s="167">
        <f>IF(项目基本情况!B8="出让",0,'数据-取费表'!B48+'数据-取费表'!B49)</f>
        <v>0.0305</v>
      </c>
      <c r="G7" s="165"/>
    </row>
    <row r="8" s="138" customFormat="1" spans="1:7">
      <c r="A8" s="160" t="s">
        <v>1945</v>
      </c>
      <c r="B8" s="161" t="s">
        <v>1946</v>
      </c>
      <c r="C8" s="166">
        <f ca="1">IF(G8="已包含在土地购买价格中","0",IF(B1="",'数据-取费表'!B29,IF(G9="全部缴纳",C9+C10,H9)))</f>
        <v>0</v>
      </c>
      <c r="D8" s="168"/>
      <c r="E8" s="166"/>
      <c r="F8" s="167"/>
      <c r="G8" s="1922"/>
    </row>
    <row r="9" s="137" customFormat="1" ht="13.5" customHeight="1" spans="1:9">
      <c r="A9" s="170" t="s">
        <v>1605</v>
      </c>
      <c r="B9" s="171" t="s">
        <v>1947</v>
      </c>
      <c r="C9" s="172">
        <f ca="1">ROUND(D9*E9/10000,0)</f>
        <v>0</v>
      </c>
      <c r="D9" s="173">
        <f ca="1">IF(B1="",'数据-汇总表'!E5,IF(INDIRECT("'数据-取费表'!c"&amp;$G$1)="住宅",INDIRECT("'数据-取费表'!k"&amp;$G$1),0))</f>
        <v>0</v>
      </c>
      <c r="E9" s="172">
        <f>'数据-取费表'!B27</f>
        <v>160</v>
      </c>
      <c r="F9" s="167"/>
      <c r="G9" s="1929"/>
      <c r="H9" s="1930"/>
      <c r="I9" s="1931" t="s">
        <v>1948</v>
      </c>
    </row>
    <row r="10" s="137" customFormat="1" ht="13.5" customHeight="1" spans="1:7">
      <c r="A10" s="170" t="s">
        <v>1612</v>
      </c>
      <c r="B10" s="171" t="s">
        <v>1949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1950</v>
      </c>
      <c r="B11" s="161" t="s">
        <v>1951</v>
      </c>
      <c r="C11" s="157"/>
      <c r="D11" s="176"/>
      <c r="E11" s="164"/>
      <c r="F11" s="164"/>
      <c r="G11" s="165"/>
    </row>
    <row r="12" s="137" customFormat="1" ht="13.5" hidden="1" customHeight="1" spans="1:7">
      <c r="A12" s="175" t="s">
        <v>1952</v>
      </c>
      <c r="B12" s="161" t="s">
        <v>1249</v>
      </c>
      <c r="C12" s="157">
        <v>0</v>
      </c>
      <c r="D12" s="176"/>
      <c r="E12" s="177"/>
      <c r="F12" s="167">
        <v>0.0305</v>
      </c>
      <c r="G12" s="165"/>
    </row>
    <row r="13" s="137" customFormat="1" ht="13.5" hidden="1" customHeight="1" spans="1:7">
      <c r="A13" s="175" t="s">
        <v>1953</v>
      </c>
      <c r="B13" s="161" t="s">
        <v>1954</v>
      </c>
      <c r="C13" s="157"/>
      <c r="D13" s="176"/>
      <c r="E13" s="164"/>
      <c r="F13" s="164"/>
      <c r="G13" s="165"/>
    </row>
    <row r="14" s="137" customFormat="1" ht="13.5" hidden="1" customHeight="1" spans="1:7">
      <c r="A14" s="175" t="s">
        <v>1955</v>
      </c>
      <c r="B14" s="161" t="s">
        <v>1946</v>
      </c>
      <c r="C14" s="157"/>
      <c r="D14" s="176"/>
      <c r="E14" s="164"/>
      <c r="F14" s="164"/>
      <c r="G14" s="165" t="s">
        <v>1956</v>
      </c>
    </row>
    <row r="15" s="137" customFormat="1" ht="13.5" hidden="1" customHeight="1" spans="1:7">
      <c r="A15" s="175" t="s">
        <v>1957</v>
      </c>
      <c r="B15" s="161" t="s">
        <v>1958</v>
      </c>
      <c r="C15" s="166"/>
      <c r="D15" s="176"/>
      <c r="E15" s="164"/>
      <c r="F15" s="164"/>
      <c r="G15" s="165" t="s">
        <v>1959</v>
      </c>
    </row>
    <row r="16" s="137" customFormat="1" ht="13.5" hidden="1" customHeight="1" spans="1:7">
      <c r="A16" s="175" t="s">
        <v>1960</v>
      </c>
      <c r="B16" s="161" t="s">
        <v>1946</v>
      </c>
      <c r="C16" s="166"/>
      <c r="D16" s="176"/>
      <c r="E16" s="164"/>
      <c r="F16" s="164"/>
      <c r="G16" s="165"/>
    </row>
    <row r="17" s="137" customFormat="1" ht="13.5" hidden="1" customHeight="1" spans="1:7">
      <c r="A17" s="175" t="s">
        <v>1961</v>
      </c>
      <c r="B17" s="161" t="s">
        <v>1962</v>
      </c>
      <c r="C17" s="178"/>
      <c r="D17" s="179"/>
      <c r="E17" s="178"/>
      <c r="F17" s="178"/>
      <c r="G17" s="165" t="s">
        <v>1959</v>
      </c>
    </row>
    <row r="18" s="137" customFormat="1" ht="13.5" hidden="1" customHeight="1" spans="1:7">
      <c r="A18" s="175" t="s">
        <v>1963</v>
      </c>
      <c r="B18" s="161" t="s">
        <v>1964</v>
      </c>
      <c r="C18" s="166">
        <v>0</v>
      </c>
      <c r="D18" s="176"/>
      <c r="E18" s="164"/>
      <c r="F18" s="167">
        <v>0.0305</v>
      </c>
      <c r="G18" s="165" t="s">
        <v>1965</v>
      </c>
    </row>
    <row r="19" s="138" customFormat="1" ht="13.5" customHeight="1" spans="1:7">
      <c r="A19" s="155" t="s">
        <v>1966</v>
      </c>
      <c r="B19" s="156" t="s">
        <v>1967</v>
      </c>
      <c r="C19" s="157">
        <f ca="1">IF(G19="已包含在土地取得成本中","0",ROUND(D19*E19/10000,0))</f>
        <v>1329</v>
      </c>
      <c r="D19" s="181">
        <f ca="1">D9+D10</f>
        <v>66448.33</v>
      </c>
      <c r="E19" s="157">
        <f>'数据-取费表'!B31</f>
        <v>200</v>
      </c>
      <c r="F19" s="182"/>
      <c r="G19" s="1922"/>
    </row>
    <row r="20" s="137" customFormat="1" ht="13.5" customHeight="1" spans="1:7">
      <c r="A20" s="155" t="s">
        <v>1968</v>
      </c>
      <c r="B20" s="156" t="s">
        <v>1969</v>
      </c>
      <c r="C20" s="183">
        <f ca="1">ROUND((C5+C19)*F20,0)</f>
        <v>27</v>
      </c>
      <c r="D20" s="183"/>
      <c r="E20" s="183"/>
      <c r="F20" s="184">
        <f>'数据-取费表'!B37</f>
        <v>0.02</v>
      </c>
      <c r="G20" s="188" t="s">
        <v>1970</v>
      </c>
    </row>
    <row r="21" s="137" customFormat="1" ht="13.5" customHeight="1" spans="1:7">
      <c r="A21" s="155" t="s">
        <v>1971</v>
      </c>
      <c r="B21" s="156" t="s">
        <v>1972</v>
      </c>
      <c r="C21" s="186">
        <f>F21</f>
        <v>0.02</v>
      </c>
      <c r="D21" s="187" t="s">
        <v>1973</v>
      </c>
      <c r="E21" s="183"/>
      <c r="F21" s="184">
        <f>'数据-取费表'!B38</f>
        <v>0.02</v>
      </c>
      <c r="G21" s="188" t="s">
        <v>1974</v>
      </c>
    </row>
    <row r="22" s="137" customFormat="1" ht="13.5" customHeight="1" spans="1:7">
      <c r="A22" s="155" t="s">
        <v>1975</v>
      </c>
      <c r="B22" s="156" t="s">
        <v>1976</v>
      </c>
      <c r="C22" s="189">
        <f ca="1">ROUND(SUM(C23:C25),0)</f>
        <v>130</v>
      </c>
      <c r="D22" s="186">
        <f ca="1">C26</f>
        <v>0.001</v>
      </c>
      <c r="E22" s="187" t="s">
        <v>1973</v>
      </c>
      <c r="F22" s="190">
        <f ca="1">'数据-取费表'!B40</f>
        <v>0.0475</v>
      </c>
      <c r="G22" s="188" t="str">
        <f>IF('数据-取费表'!B22&lt;=1,"单利计息","复利计息")</f>
        <v>复利计息</v>
      </c>
    </row>
    <row r="23" s="137" customFormat="1" ht="13.5" customHeight="1" spans="1:7">
      <c r="A23" s="191" t="s">
        <v>1941</v>
      </c>
      <c r="B23" s="161" t="s">
        <v>1977</v>
      </c>
      <c r="C23" s="192">
        <f ca="1">ROUND(IF('数据-取费表'!B22&lt;=1,C5*F22*'数据-取费表'!B23,C5*(POWER((1+F22),'数据-取费表'!B23)-1)),0)</f>
        <v>0</v>
      </c>
      <c r="D23" s="193"/>
      <c r="E23" s="193"/>
      <c r="F23" s="194"/>
      <c r="G23" s="195" t="s">
        <v>1978</v>
      </c>
    </row>
    <row r="24" s="137" customFormat="1" ht="13.5" customHeight="1" spans="1:7">
      <c r="A24" s="191" t="s">
        <v>1943</v>
      </c>
      <c r="B24" s="161" t="s">
        <v>1979</v>
      </c>
      <c r="C24" s="192">
        <f ca="1">ROUND(IF('数据-取费表'!B22&lt;=1,C19*F22*('数据-取费表'!B19/2+'数据-取费表'!B21),C19*(POWER((1+F22),('数据-取费表'!B19/2+'数据-取费表'!B21))-1)),0)</f>
        <v>129</v>
      </c>
      <c r="D24" s="193"/>
      <c r="E24" s="193"/>
      <c r="F24" s="194"/>
      <c r="G24" s="195" t="s">
        <v>1980</v>
      </c>
    </row>
    <row r="25" s="137" customFormat="1" ht="24" spans="1:7">
      <c r="A25" s="191" t="s">
        <v>1945</v>
      </c>
      <c r="B25" s="161" t="s">
        <v>1981</v>
      </c>
      <c r="C25" s="192">
        <f ca="1">ROUND(IF('数据-取费表'!B22&lt;=1,C20*F22*'数据-取费表'!B23/2,C20*(POWER((1+F22),'数据-取费表'!B23/2)-1)),0)</f>
        <v>1</v>
      </c>
      <c r="D25" s="193"/>
      <c r="E25" s="196"/>
      <c r="F25" s="194"/>
      <c r="G25" s="197" t="s">
        <v>1982</v>
      </c>
    </row>
    <row r="26" s="137" customFormat="1" spans="1:7">
      <c r="A26" s="191" t="s">
        <v>1983</v>
      </c>
      <c r="B26" s="161" t="s">
        <v>1984</v>
      </c>
      <c r="C26" s="193">
        <f ca="1">ROUND(IF('数据-取费表'!B22&lt;=1,F21*F22*'数据-取费表'!B23/2,F21*(POWER((1+F22),'数据-取费表'!B23/2)-1)),4)</f>
        <v>0.001</v>
      </c>
      <c r="D26" s="193"/>
      <c r="E26" s="196"/>
      <c r="F26" s="194"/>
      <c r="G26" s="198"/>
    </row>
    <row r="27" s="137" customFormat="1" ht="24.75" spans="1:7">
      <c r="A27" s="155" t="s">
        <v>1985</v>
      </c>
      <c r="B27" s="199" t="s">
        <v>1986</v>
      </c>
      <c r="C27" s="200">
        <f ca="1">C28</f>
        <v>271</v>
      </c>
      <c r="D27" s="186">
        <f ca="1">C29</f>
        <v>0.004</v>
      </c>
      <c r="E27" s="187" t="s">
        <v>1973</v>
      </c>
      <c r="F27" s="201">
        <f ca="1">IF(B1="",'数据-取费表'!Q16,INDIRECT("'数据-取费表'!q"&amp;$G$1))</f>
        <v>0.2</v>
      </c>
      <c r="G27" s="202" t="s">
        <v>1987</v>
      </c>
    </row>
    <row r="28" s="137" customFormat="1" ht="13.5" customHeight="1" spans="1:7">
      <c r="A28" s="191" t="s">
        <v>1941</v>
      </c>
      <c r="B28" s="203" t="s">
        <v>1988</v>
      </c>
      <c r="C28" s="204">
        <f ca="1">ROUND((C5+C19+C20)*F27*'数据-取费表'!B21/'数据-取费表'!B20,0)</f>
        <v>271</v>
      </c>
      <c r="D28" s="186"/>
      <c r="E28" s="187"/>
      <c r="F28" s="201"/>
      <c r="G28" s="202"/>
    </row>
    <row r="29" s="137" customFormat="1" ht="13.5" customHeight="1" spans="1:7">
      <c r="A29" s="191" t="s">
        <v>1943</v>
      </c>
      <c r="B29" s="203" t="s">
        <v>1989</v>
      </c>
      <c r="C29" s="193">
        <f ca="1">ROUND(C21*F27*'数据-取费表'!B21/'数据-取费表'!B20,4)</f>
        <v>0.004</v>
      </c>
      <c r="D29" s="186"/>
      <c r="E29" s="187"/>
      <c r="F29" s="201"/>
      <c r="G29" s="202"/>
    </row>
    <row r="30" s="137" customFormat="1" ht="13.5" customHeight="1" spans="1:7">
      <c r="A30" s="155" t="s">
        <v>1990</v>
      </c>
      <c r="B30" s="156" t="s">
        <v>1991</v>
      </c>
      <c r="C30" s="186">
        <f>ROUND(F30/(1+'数据-取费表'!C42),4)</f>
        <v>0.0533</v>
      </c>
      <c r="D30" s="187" t="s">
        <v>1973</v>
      </c>
      <c r="E30" s="196"/>
      <c r="F30" s="190">
        <f>'数据-取费表'!B41</f>
        <v>0.056</v>
      </c>
      <c r="G30" s="188" t="s">
        <v>1992</v>
      </c>
    </row>
    <row r="31" ht="16.5" customHeight="1" spans="1:7">
      <c r="A31" s="205">
        <v>1</v>
      </c>
      <c r="B31" s="156" t="s">
        <v>1993</v>
      </c>
      <c r="C31" s="157">
        <f ca="1">ROUND((C5+C19+C20+C22+C27)/(1-C21-D22-D27-C30),0)</f>
        <v>1906</v>
      </c>
      <c r="D31" s="206"/>
      <c r="E31" s="157"/>
      <c r="F31" s="207"/>
      <c r="G31" s="188" t="s">
        <v>1994</v>
      </c>
    </row>
    <row r="32" s="136" customFormat="1" ht="15.75" spans="1:7">
      <c r="A32" s="208" t="s">
        <v>1995</v>
      </c>
      <c r="B32" s="209"/>
      <c r="C32" s="209"/>
      <c r="D32" s="209"/>
      <c r="E32" s="209"/>
      <c r="F32" s="209"/>
      <c r="G32" s="210"/>
    </row>
    <row r="33" s="137" customFormat="1" ht="13.5" customHeight="1" spans="1:7">
      <c r="A33" s="155" t="s">
        <v>1937</v>
      </c>
      <c r="B33" s="156" t="s">
        <v>1996</v>
      </c>
      <c r="C33" s="211">
        <f ca="1">SUM(C34:C38)</f>
        <v>25865</v>
      </c>
      <c r="D33" s="183"/>
      <c r="E33" s="158"/>
      <c r="F33" s="196"/>
      <c r="G33" s="188"/>
    </row>
    <row r="34" s="139" customFormat="1" ht="13.5" customHeight="1" spans="1:7">
      <c r="A34" s="191" t="s">
        <v>1941</v>
      </c>
      <c r="B34" s="161" t="s">
        <v>1997</v>
      </c>
      <c r="C34" s="166">
        <f ca="1">IF(B1="",IF(F34=100%,'数据-取费表'!M16,'数据-取费表'!O16),IF(F34=100%,INDIRECT("'数据-取费表'!m"&amp;$G$1)+INDIRECT("'数据-取费表'!t"&amp;$G$1),INDIRECT("'数据-取费表'!o"&amp;$G$1)+INDIRECT("'数据-取费表'!aq"&amp;$G$1)))</f>
        <v>23257</v>
      </c>
      <c r="D34" s="163"/>
      <c r="E34" s="166"/>
      <c r="F34" s="212">
        <f ca="1">IF('数据-取费表'!B24=0,1,IF(B1="",'数据-取费表'!N16,INDIRECT("'数据-取费表'!n"&amp;$G$1)))</f>
        <v>1</v>
      </c>
      <c r="G34" s="165" t="s">
        <v>1998</v>
      </c>
    </row>
    <row r="35" ht="13.5" customHeight="1" spans="1:7">
      <c r="A35" s="191" t="s">
        <v>1943</v>
      </c>
      <c r="B35" s="161" t="s">
        <v>1999</v>
      </c>
      <c r="C35" s="166">
        <f ca="1">ROUND(C34*F35,0)</f>
        <v>930</v>
      </c>
      <c r="D35" s="166"/>
      <c r="E35" s="166"/>
      <c r="F35" s="213">
        <f>'数据-取费表'!B33</f>
        <v>0.04</v>
      </c>
      <c r="G35" s="165" t="s">
        <v>2000</v>
      </c>
    </row>
    <row r="36" ht="24" spans="1:7">
      <c r="A36" s="191" t="s">
        <v>1945</v>
      </c>
      <c r="B36" s="161" t="s">
        <v>2001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2002</v>
      </c>
    </row>
    <row r="37" s="139" customFormat="1" ht="13.5" customHeight="1" spans="1:7">
      <c r="A37" s="191" t="s">
        <v>1983</v>
      </c>
      <c r="B37" s="161" t="s">
        <v>2003</v>
      </c>
      <c r="C37" s="204">
        <f ca="1">ROUND(E37*D37*F34/10000,0)</f>
        <v>1329</v>
      </c>
      <c r="D37" s="163">
        <f ca="1">D19</f>
        <v>66448.33</v>
      </c>
      <c r="E37" s="204">
        <f>'数据-取费表'!B35</f>
        <v>200</v>
      </c>
      <c r="F37" s="213"/>
      <c r="G37" s="215" t="s">
        <v>2004</v>
      </c>
    </row>
    <row r="38" ht="13.5" customHeight="1" spans="1:7">
      <c r="A38" s="191" t="s">
        <v>2005</v>
      </c>
      <c r="B38" s="161" t="s">
        <v>1249</v>
      </c>
      <c r="C38" s="166">
        <f ca="1">ROUND(C34*F38,0)</f>
        <v>349</v>
      </c>
      <c r="D38" s="166"/>
      <c r="E38" s="166"/>
      <c r="F38" s="213">
        <f>'数据-取费表'!B36</f>
        <v>0.015</v>
      </c>
      <c r="G38" s="165" t="s">
        <v>2000</v>
      </c>
    </row>
    <row r="39" s="137" customFormat="1" ht="13.5" customHeight="1" spans="1:7">
      <c r="A39" s="155" t="s">
        <v>1966</v>
      </c>
      <c r="B39" s="156" t="s">
        <v>1969</v>
      </c>
      <c r="C39" s="183">
        <f ca="1">ROUND(C33*F20,0)</f>
        <v>517</v>
      </c>
      <c r="D39" s="183"/>
      <c r="E39" s="183"/>
      <c r="F39" s="1925">
        <f>F20</f>
        <v>0.02</v>
      </c>
      <c r="G39" s="188" t="s">
        <v>2006</v>
      </c>
    </row>
    <row r="40" s="137" customFormat="1" ht="13.5" customHeight="1" spans="1:7">
      <c r="A40" s="155" t="s">
        <v>1968</v>
      </c>
      <c r="B40" s="156" t="s">
        <v>1972</v>
      </c>
      <c r="C40" s="1926">
        <f>F21</f>
        <v>0.02</v>
      </c>
      <c r="D40" s="187" t="s">
        <v>2007</v>
      </c>
      <c r="E40" s="183"/>
      <c r="F40" s="1925">
        <f>F21</f>
        <v>0.02</v>
      </c>
      <c r="G40" s="188" t="s">
        <v>2008</v>
      </c>
    </row>
    <row r="41" s="137" customFormat="1" ht="13.5" customHeight="1" spans="1:7">
      <c r="A41" s="155" t="s">
        <v>1971</v>
      </c>
      <c r="B41" s="156" t="s">
        <v>1976</v>
      </c>
      <c r="C41" s="183">
        <f ca="1">ROUND(SUM(C42:C43),0)</f>
        <v>1254</v>
      </c>
      <c r="D41" s="186">
        <f ca="1">C44</f>
        <v>0.001</v>
      </c>
      <c r="E41" s="187" t="s">
        <v>2007</v>
      </c>
      <c r="F41" s="1927">
        <f ca="1">F22</f>
        <v>0.0475</v>
      </c>
      <c r="G41" s="188" t="str">
        <f>IF('数据-取费表'!B22&lt;=1,"单利计息","复利计息")</f>
        <v>复利计息</v>
      </c>
    </row>
    <row r="42" ht="13.5" customHeight="1" spans="1:7">
      <c r="A42" s="191" t="s">
        <v>1941</v>
      </c>
      <c r="B42" s="161" t="s">
        <v>1977</v>
      </c>
      <c r="C42" s="193">
        <f ca="1">ROUND(IF('数据-取费表'!B22&lt;=1,C33*F22*'数据-取费表'!B21/2,C33*(POWER((1+F22),'数据-取费表'!B21/2)-1)),0)</f>
        <v>1229</v>
      </c>
      <c r="D42" s="193"/>
      <c r="E42" s="193"/>
      <c r="F42" s="194"/>
      <c r="G42" s="217" t="s">
        <v>2009</v>
      </c>
    </row>
    <row r="43" ht="13.5" customHeight="1" spans="1:7">
      <c r="A43" s="191" t="s">
        <v>1943</v>
      </c>
      <c r="B43" s="161" t="s">
        <v>1979</v>
      </c>
      <c r="C43" s="193">
        <f ca="1">ROUND(IF('数据-取费表'!B22&lt;=1,C39*F22*'数据-取费表'!B21/2,C39*(POWER((1+F22),'数据-取费表'!B21/2)-1)),0)</f>
        <v>25</v>
      </c>
      <c r="D43" s="193"/>
      <c r="E43" s="193"/>
      <c r="F43" s="194"/>
      <c r="G43" s="218"/>
    </row>
    <row r="44" ht="13.5" customHeight="1" spans="1:7">
      <c r="A44" s="191" t="s">
        <v>1945</v>
      </c>
      <c r="B44" s="161" t="s">
        <v>1981</v>
      </c>
      <c r="C44" s="193">
        <f ca="1">ROUND(IF('数据-取费表'!B22&lt;=1,C40*F22*'数据-取费表'!B21/2,C40*(POWER((1+F22),'数据-取费表'!B21/2)-1)),4)</f>
        <v>0.001</v>
      </c>
      <c r="D44" s="193"/>
      <c r="E44" s="193"/>
      <c r="F44" s="194"/>
      <c r="G44" s="219"/>
    </row>
    <row r="45" s="137" customFormat="1" ht="13.5" customHeight="1" spans="1:7">
      <c r="A45" s="155" t="s">
        <v>1975</v>
      </c>
      <c r="B45" s="199" t="s">
        <v>1986</v>
      </c>
      <c r="C45" s="200">
        <f ca="1">C46</f>
        <v>5276</v>
      </c>
      <c r="D45" s="186">
        <f ca="1">C47</f>
        <v>0.004</v>
      </c>
      <c r="E45" s="187" t="s">
        <v>2007</v>
      </c>
      <c r="F45" s="1928">
        <f ca="1">F27</f>
        <v>0.2</v>
      </c>
      <c r="G45" s="202" t="s">
        <v>2010</v>
      </c>
    </row>
    <row r="46" s="137" customFormat="1" ht="13.5" customHeight="1" spans="1:7">
      <c r="A46" s="191" t="s">
        <v>1941</v>
      </c>
      <c r="B46" s="203" t="s">
        <v>2011</v>
      </c>
      <c r="C46" s="204">
        <f ca="1">ROUND((C33+C39)*F27,0)</f>
        <v>5276</v>
      </c>
      <c r="D46" s="220"/>
      <c r="E46" s="187"/>
      <c r="F46" s="201"/>
      <c r="G46" s="202"/>
    </row>
    <row r="47" s="137" customFormat="1" ht="13.5" customHeight="1" spans="1:7">
      <c r="A47" s="191" t="s">
        <v>1943</v>
      </c>
      <c r="B47" s="203" t="s">
        <v>2012</v>
      </c>
      <c r="C47" s="193">
        <f ca="1">ROUND(C40*F27,4)</f>
        <v>0.004</v>
      </c>
      <c r="D47" s="220"/>
      <c r="E47" s="187"/>
      <c r="F47" s="201"/>
      <c r="G47" s="202"/>
    </row>
    <row r="48" s="137" customFormat="1" ht="13.5" customHeight="1" spans="1:7">
      <c r="A48" s="155" t="s">
        <v>1985</v>
      </c>
      <c r="B48" s="156" t="s">
        <v>1991</v>
      </c>
      <c r="C48" s="1926">
        <f>ROUND(F30/(1+'数据-取费表'!C42),4)</f>
        <v>0.0533</v>
      </c>
      <c r="D48" s="187" t="s">
        <v>2007</v>
      </c>
      <c r="E48" s="183"/>
      <c r="F48" s="1927">
        <f>F30</f>
        <v>0.056</v>
      </c>
      <c r="G48" s="188" t="s">
        <v>2013</v>
      </c>
    </row>
    <row r="49" ht="16.5" customHeight="1" spans="1:7">
      <c r="A49" s="155" t="s">
        <v>1990</v>
      </c>
      <c r="B49" s="156" t="s">
        <v>2014</v>
      </c>
      <c r="C49" s="183">
        <f ca="1">ROUND((C33+C39+C41+C45)/(1-C40-D41-D45-C48),0)</f>
        <v>35708</v>
      </c>
      <c r="D49" s="183"/>
      <c r="E49" s="183"/>
      <c r="F49" s="221"/>
      <c r="G49" s="188" t="s">
        <v>2015</v>
      </c>
    </row>
    <row r="50" s="139" customFormat="1" ht="24" spans="1:7">
      <c r="A50" s="155" t="s">
        <v>2016</v>
      </c>
      <c r="B50" s="156" t="s">
        <v>2017</v>
      </c>
      <c r="C50" s="183"/>
      <c r="D50" s="183"/>
      <c r="E50" s="183"/>
      <c r="F50" s="221">
        <f>IF('数据-取费表'!B24=0,'数据-取费表'!N16,1)</f>
        <v>0.85</v>
      </c>
      <c r="G50" s="202" t="s">
        <v>2018</v>
      </c>
    </row>
    <row r="51" ht="16.5" customHeight="1" spans="1:7">
      <c r="A51" s="155" t="s">
        <v>2019</v>
      </c>
      <c r="B51" s="156" t="s">
        <v>2020</v>
      </c>
      <c r="C51" s="183">
        <f ca="1">ROUND(C49*F50,0)</f>
        <v>30352</v>
      </c>
      <c r="D51" s="183"/>
      <c r="E51" s="183"/>
      <c r="F51" s="221"/>
      <c r="G51" s="188" t="s">
        <v>2021</v>
      </c>
    </row>
    <row r="52" s="136" customFormat="1" ht="16.5" spans="1:7">
      <c r="A52" s="222" t="s">
        <v>2022</v>
      </c>
      <c r="B52" s="223"/>
      <c r="C52" s="224">
        <f ca="1">C31+C51</f>
        <v>32258</v>
      </c>
      <c r="D52" s="223"/>
      <c r="E52" s="223"/>
      <c r="F52" s="223"/>
      <c r="G52" s="225"/>
    </row>
    <row r="55" ht="15" spans="2:3">
      <c r="B55" s="226" t="s">
        <v>2023</v>
      </c>
      <c r="C55" s="227"/>
    </row>
    <row r="56" spans="2:3">
      <c r="B56" s="228" t="s">
        <v>1689</v>
      </c>
      <c r="C56" s="230">
        <f ca="1">1-C57</f>
        <v>0.0590000000000001</v>
      </c>
    </row>
    <row r="57" spans="2:3">
      <c r="B57" s="228" t="s">
        <v>1690</v>
      </c>
      <c r="C57" s="229">
        <f ca="1">ROUND(C51/C52,3)</f>
        <v>0.941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1934</v>
      </c>
      <c r="B1" s="1915"/>
      <c r="C1" s="1916" t="s">
        <v>2024</v>
      </c>
      <c r="D1" s="145"/>
      <c r="E1" s="145"/>
      <c r="F1" s="145"/>
      <c r="G1" s="1917">
        <f>MATCH(B1,'数据-取费表'!A6:A16,0)+5</f>
        <v>8</v>
      </c>
      <c r="H1" s="1427" t="str">
        <f>IF(ISERROR(FIND("住宅",B1)),"非住宅","住宅")</f>
        <v>非住宅</v>
      </c>
    </row>
    <row r="2" s="135" customFormat="1" ht="18" customHeight="1" spans="1:7">
      <c r="A2" s="147" t="s">
        <v>1312</v>
      </c>
      <c r="B2" s="148">
        <f ca="1">ROUND(IF(D2="——",C52/10000,C52/10000-E2),0)</f>
        <v>34165</v>
      </c>
      <c r="C2" s="146" t="s">
        <v>1313</v>
      </c>
      <c r="D2" s="1918" t="s">
        <v>124</v>
      </c>
      <c r="E2" s="1919" t="e">
        <f ca="1">SUMIF(INDIRECT("'"&amp;G2&amp;"'"&amp;"!A:A"),"承租人权益价值",INDIRECT("'"&amp;G2&amp;"'"&amp;"!c:c"))</f>
        <v>#REF!</v>
      </c>
      <c r="F2" s="1920" t="s">
        <v>1313</v>
      </c>
      <c r="G2" s="1921"/>
    </row>
    <row r="3" s="135" customFormat="1" ht="18" customHeight="1" spans="1:7">
      <c r="A3" s="150" t="s">
        <v>1314</v>
      </c>
      <c r="B3" s="151">
        <f ca="1">ROUND(B2*10000/(IF(B1="",'数据-汇总表'!E3,INDIRECT("'数据-取费表'!k"&amp;$G$1))),0)</f>
        <v>5142</v>
      </c>
      <c r="C3" s="146" t="s">
        <v>1935</v>
      </c>
      <c r="D3" s="146"/>
      <c r="E3" s="146"/>
      <c r="F3" s="146"/>
      <c r="G3" s="146"/>
    </row>
    <row r="4" s="136" customFormat="1" ht="15.75" spans="1:7">
      <c r="A4" s="152" t="s">
        <v>1936</v>
      </c>
      <c r="B4" s="153"/>
      <c r="C4" s="153"/>
      <c r="D4" s="153"/>
      <c r="E4" s="153"/>
      <c r="F4" s="153"/>
      <c r="G4" s="154"/>
    </row>
    <row r="5" s="137" customFormat="1" ht="13.5" customHeight="1" spans="1:7">
      <c r="A5" s="155" t="s">
        <v>1937</v>
      </c>
      <c r="B5" s="156" t="s">
        <v>1938</v>
      </c>
      <c r="C5" s="157">
        <f ca="1">C6+C7+C8</f>
        <v>13289666</v>
      </c>
      <c r="D5" s="157" t="s">
        <v>1939</v>
      </c>
      <c r="E5" s="158" t="s">
        <v>1940</v>
      </c>
      <c r="F5" s="158" t="s">
        <v>1213</v>
      </c>
      <c r="G5" s="159"/>
    </row>
    <row r="6" s="137" customFormat="1" ht="13.5" customHeight="1" spans="1:7">
      <c r="A6" s="160" t="s">
        <v>1941</v>
      </c>
      <c r="B6" s="161" t="s">
        <v>1942</v>
      </c>
      <c r="C6" s="162"/>
      <c r="D6" s="163"/>
      <c r="E6" s="164"/>
      <c r="F6" s="164"/>
      <c r="G6" s="165"/>
    </row>
    <row r="7" s="137" customFormat="1" ht="13.5" customHeight="1" spans="1:7">
      <c r="A7" s="160" t="s">
        <v>1943</v>
      </c>
      <c r="B7" s="161" t="s">
        <v>1944</v>
      </c>
      <c r="C7" s="166">
        <f>ROUND(C6*F7,0)</f>
        <v>0</v>
      </c>
      <c r="D7" s="166"/>
      <c r="E7" s="164"/>
      <c r="F7" s="167">
        <f>IF(项目基本情况!B8="出让",0,'数据-取费表'!B48+'数据-取费表'!B49)</f>
        <v>0.0305</v>
      </c>
      <c r="G7" s="165"/>
    </row>
    <row r="8" s="138" customFormat="1" spans="1:7">
      <c r="A8" s="160" t="s">
        <v>1945</v>
      </c>
      <c r="B8" s="161" t="s">
        <v>1946</v>
      </c>
      <c r="C8" s="166">
        <f ca="1">IF(G8="已包含在土地购买价格中",0,C9+C10)</f>
        <v>13289666</v>
      </c>
      <c r="D8" s="168"/>
      <c r="E8" s="166"/>
      <c r="F8" s="167"/>
      <c r="G8" s="1922"/>
    </row>
    <row r="9" s="137" customFormat="1" ht="13.5" customHeight="1" spans="1:7">
      <c r="A9" s="170" t="s">
        <v>1605</v>
      </c>
      <c r="B9" s="171" t="s">
        <v>1947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1612</v>
      </c>
      <c r="B10" s="171" t="s">
        <v>1949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1950</v>
      </c>
      <c r="B11" s="161" t="s">
        <v>1951</v>
      </c>
      <c r="C11" s="157"/>
      <c r="D11" s="176"/>
      <c r="E11" s="164"/>
      <c r="F11" s="164"/>
      <c r="G11" s="165"/>
    </row>
    <row r="12" s="137" customFormat="1" ht="13.5" hidden="1" customHeight="1" spans="1:7">
      <c r="A12" s="175" t="s">
        <v>1952</v>
      </c>
      <c r="B12" s="161" t="s">
        <v>1249</v>
      </c>
      <c r="C12" s="157">
        <v>0</v>
      </c>
      <c r="D12" s="176"/>
      <c r="E12" s="177"/>
      <c r="F12" s="167">
        <v>0.0305</v>
      </c>
      <c r="G12" s="165"/>
    </row>
    <row r="13" s="137" customFormat="1" ht="13.5" hidden="1" customHeight="1" spans="1:7">
      <c r="A13" s="175" t="s">
        <v>1953</v>
      </c>
      <c r="B13" s="161" t="s">
        <v>1954</v>
      </c>
      <c r="C13" s="157"/>
      <c r="D13" s="176"/>
      <c r="E13" s="164"/>
      <c r="F13" s="164"/>
      <c r="G13" s="165"/>
    </row>
    <row r="14" s="137" customFormat="1" ht="13.5" hidden="1" customHeight="1" spans="1:7">
      <c r="A14" s="175" t="s">
        <v>1955</v>
      </c>
      <c r="B14" s="161" t="s">
        <v>1946</v>
      </c>
      <c r="C14" s="157"/>
      <c r="D14" s="176"/>
      <c r="E14" s="164"/>
      <c r="F14" s="164"/>
      <c r="G14" s="165" t="s">
        <v>1956</v>
      </c>
    </row>
    <row r="15" s="137" customFormat="1" ht="13.5" hidden="1" customHeight="1" spans="1:7">
      <c r="A15" s="175" t="s">
        <v>1957</v>
      </c>
      <c r="B15" s="161" t="s">
        <v>1958</v>
      </c>
      <c r="C15" s="166"/>
      <c r="D15" s="176"/>
      <c r="E15" s="164"/>
      <c r="F15" s="164"/>
      <c r="G15" s="165" t="s">
        <v>1959</v>
      </c>
    </row>
    <row r="16" s="137" customFormat="1" ht="13.5" hidden="1" customHeight="1" spans="1:7">
      <c r="A16" s="175" t="s">
        <v>1960</v>
      </c>
      <c r="B16" s="161" t="s">
        <v>1946</v>
      </c>
      <c r="C16" s="166"/>
      <c r="D16" s="176"/>
      <c r="E16" s="164"/>
      <c r="F16" s="164"/>
      <c r="G16" s="165"/>
    </row>
    <row r="17" s="137" customFormat="1" ht="13.5" hidden="1" customHeight="1" spans="1:7">
      <c r="A17" s="175" t="s">
        <v>1961</v>
      </c>
      <c r="B17" s="161" t="s">
        <v>1962</v>
      </c>
      <c r="C17" s="178"/>
      <c r="D17" s="179"/>
      <c r="E17" s="178"/>
      <c r="F17" s="178"/>
      <c r="G17" s="165" t="s">
        <v>1959</v>
      </c>
    </row>
    <row r="18" s="137" customFormat="1" ht="13.5" hidden="1" customHeight="1" spans="1:7">
      <c r="A18" s="175" t="s">
        <v>1963</v>
      </c>
      <c r="B18" s="161" t="s">
        <v>1964</v>
      </c>
      <c r="C18" s="166">
        <v>0</v>
      </c>
      <c r="D18" s="176"/>
      <c r="E18" s="164"/>
      <c r="F18" s="167">
        <v>0.0305</v>
      </c>
      <c r="G18" s="165" t="s">
        <v>1965</v>
      </c>
    </row>
    <row r="19" s="138" customFormat="1" ht="13.5" customHeight="1" spans="1:7">
      <c r="A19" s="155" t="s">
        <v>1966</v>
      </c>
      <c r="B19" s="156" t="s">
        <v>1967</v>
      </c>
      <c r="C19" s="157">
        <f ca="1">IF(G19="已包含在土地取得成本中","0",ROUND(D19*E19,0))</f>
        <v>13289666</v>
      </c>
      <c r="D19" s="181">
        <f ca="1">D9+D10</f>
        <v>66448.33</v>
      </c>
      <c r="E19" s="157">
        <f>'数据-取费表'!B31</f>
        <v>200</v>
      </c>
      <c r="F19" s="182"/>
      <c r="G19" s="1922"/>
    </row>
    <row r="20" s="137" customFormat="1" ht="13.5" customHeight="1" spans="1:7">
      <c r="A20" s="155" t="s">
        <v>1968</v>
      </c>
      <c r="B20" s="156" t="s">
        <v>1969</v>
      </c>
      <c r="C20" s="183">
        <f ca="1">ROUND((C5+C19)*F20,0)</f>
        <v>531587</v>
      </c>
      <c r="D20" s="183"/>
      <c r="E20" s="183"/>
      <c r="F20" s="184">
        <f>'数据-取费表'!B37</f>
        <v>0.02</v>
      </c>
      <c r="G20" s="188" t="s">
        <v>1970</v>
      </c>
    </row>
    <row r="21" s="137" customFormat="1" ht="13.5" customHeight="1" spans="1:7">
      <c r="A21" s="155" t="s">
        <v>1971</v>
      </c>
      <c r="B21" s="156" t="s">
        <v>1972</v>
      </c>
      <c r="C21" s="186">
        <f>F21</f>
        <v>0.02</v>
      </c>
      <c r="D21" s="187" t="s">
        <v>1973</v>
      </c>
      <c r="E21" s="183"/>
      <c r="F21" s="184">
        <f>'数据-取费表'!B38</f>
        <v>0.02</v>
      </c>
      <c r="G21" s="188" t="s">
        <v>1974</v>
      </c>
    </row>
    <row r="22" s="137" customFormat="1" ht="13.5" customHeight="1" spans="1:7">
      <c r="A22" s="155" t="s">
        <v>1975</v>
      </c>
      <c r="B22" s="156" t="s">
        <v>1976</v>
      </c>
      <c r="C22" s="1923">
        <f ca="1">ROUND(SUM(C23:C25),0)</f>
        <v>2610256</v>
      </c>
      <c r="D22" s="186">
        <f ca="1">C26</f>
        <v>0.001</v>
      </c>
      <c r="E22" s="187" t="s">
        <v>1973</v>
      </c>
      <c r="F22" s="190">
        <f ca="1">'数据-取费表'!B40</f>
        <v>0.0475</v>
      </c>
      <c r="G22" s="188" t="str">
        <f>IF('数据-取费表'!B22&lt;=1,"单利计息","复利计息")</f>
        <v>复利计息</v>
      </c>
    </row>
    <row r="23" s="137" customFormat="1" ht="13.5" customHeight="1" spans="1:7">
      <c r="A23" s="191" t="s">
        <v>1941</v>
      </c>
      <c r="B23" s="161" t="s">
        <v>1977</v>
      </c>
      <c r="C23" s="1924">
        <f ca="1">ROUND(IF('数据-取费表'!B22&lt;=1,C5*F22*'数据-取费表'!B22,C5*(POWER((1+F22),'数据-取费表'!B22)-1)),0)</f>
        <v>1292503</v>
      </c>
      <c r="D23" s="193"/>
      <c r="E23" s="193"/>
      <c r="F23" s="194"/>
      <c r="G23" s="195" t="s">
        <v>1978</v>
      </c>
    </row>
    <row r="24" s="137" customFormat="1" ht="13.5" customHeight="1" spans="1:7">
      <c r="A24" s="191" t="s">
        <v>1943</v>
      </c>
      <c r="B24" s="161" t="s">
        <v>1979</v>
      </c>
      <c r="C24" s="1924">
        <f ca="1">ROUND(IF('数据-取费表'!B22&lt;=1,C19*F22*('数据-取费表'!B19/2+'数据-取费表'!B20),C19*(POWER((1+F22),('数据-取费表'!B19/2+'数据-取费表'!B20))-1)),0)</f>
        <v>1292503</v>
      </c>
      <c r="D24" s="193"/>
      <c r="E24" s="193"/>
      <c r="F24" s="194"/>
      <c r="G24" s="195" t="s">
        <v>1980</v>
      </c>
    </row>
    <row r="25" s="137" customFormat="1" ht="24" spans="1:7">
      <c r="A25" s="191" t="s">
        <v>1945</v>
      </c>
      <c r="B25" s="161" t="s">
        <v>1981</v>
      </c>
      <c r="C25" s="1924">
        <f ca="1">ROUND(IF('数据-取费表'!B22&lt;=1,C20*F22*'数据-取费表'!B22/2,C20*(POWER((1+F22),'数据-取费表'!B22/2)-1)),0)</f>
        <v>25250</v>
      </c>
      <c r="D25" s="193"/>
      <c r="E25" s="196"/>
      <c r="F25" s="194"/>
      <c r="G25" s="197" t="s">
        <v>1982</v>
      </c>
    </row>
    <row r="26" s="137" customFormat="1" spans="1:7">
      <c r="A26" s="191" t="s">
        <v>1983</v>
      </c>
      <c r="B26" s="161" t="s">
        <v>1984</v>
      </c>
      <c r="C26" s="193">
        <f ca="1">ROUND(IF('数据-取费表'!B22&lt;=1,F21*F22*'数据-取费表'!B22/2,F21*(POWER((1+F22),'数据-取费表'!B22/2)-1)),4)</f>
        <v>0.001</v>
      </c>
      <c r="D26" s="193"/>
      <c r="E26" s="196"/>
      <c r="F26" s="194"/>
      <c r="G26" s="198"/>
    </row>
    <row r="27" s="137" customFormat="1" ht="24.75" spans="1:7">
      <c r="A27" s="155" t="s">
        <v>1985</v>
      </c>
      <c r="B27" s="199" t="s">
        <v>1986</v>
      </c>
      <c r="C27" s="200">
        <f ca="1">C28</f>
        <v>5422184</v>
      </c>
      <c r="D27" s="186">
        <f ca="1">C29</f>
        <v>0.004</v>
      </c>
      <c r="E27" s="187" t="s">
        <v>1973</v>
      </c>
      <c r="F27" s="201">
        <f ca="1">IF(B1="",'数据-取费表'!Q16,INDIRECT("'数据-取费表'!q"&amp;$G$1))</f>
        <v>0.2</v>
      </c>
      <c r="G27" s="202" t="s">
        <v>1987</v>
      </c>
    </row>
    <row r="28" s="137" customFormat="1" ht="13.5" customHeight="1" spans="1:7">
      <c r="A28" s="191" t="s">
        <v>1941</v>
      </c>
      <c r="B28" s="203" t="s">
        <v>1988</v>
      </c>
      <c r="C28" s="204">
        <f ca="1">ROUND((C5+C19+C20)*F27,0)</f>
        <v>5422184</v>
      </c>
      <c r="D28" s="186"/>
      <c r="E28" s="187"/>
      <c r="F28" s="201"/>
      <c r="G28" s="202"/>
    </row>
    <row r="29" s="137" customFormat="1" ht="13.5" customHeight="1" spans="1:7">
      <c r="A29" s="191" t="s">
        <v>1943</v>
      </c>
      <c r="B29" s="203" t="s">
        <v>1989</v>
      </c>
      <c r="C29" s="193">
        <f ca="1">ROUND(C21*F27,4)</f>
        <v>0.004</v>
      </c>
      <c r="D29" s="186"/>
      <c r="E29" s="187"/>
      <c r="F29" s="201"/>
      <c r="G29" s="202"/>
    </row>
    <row r="30" s="137" customFormat="1" ht="13.5" customHeight="1" spans="1:7">
      <c r="A30" s="155" t="s">
        <v>1990</v>
      </c>
      <c r="B30" s="156" t="s">
        <v>1991</v>
      </c>
      <c r="C30" s="186">
        <f>ROUND(F30/(1+'数据-取费表'!C42),4)</f>
        <v>0.0533</v>
      </c>
      <c r="D30" s="187" t="s">
        <v>1973</v>
      </c>
      <c r="E30" s="196"/>
      <c r="F30" s="190">
        <f>'数据-取费表'!B41</f>
        <v>0.056</v>
      </c>
      <c r="G30" s="188" t="s">
        <v>1992</v>
      </c>
    </row>
    <row r="31" ht="16.5" customHeight="1" spans="1:7">
      <c r="A31" s="205">
        <v>1</v>
      </c>
      <c r="B31" s="156" t="s">
        <v>1993</v>
      </c>
      <c r="C31" s="157">
        <f ca="1">ROUND((C5+C19+C20+C22+C27)/(1-C21-D22-D27-C30),0)</f>
        <v>38128848</v>
      </c>
      <c r="D31" s="206"/>
      <c r="E31" s="157"/>
      <c r="F31" s="207"/>
      <c r="G31" s="188" t="s">
        <v>1994</v>
      </c>
    </row>
    <row r="32" s="136" customFormat="1" ht="15.75" spans="1:7">
      <c r="A32" s="208" t="s">
        <v>2025</v>
      </c>
      <c r="B32" s="209"/>
      <c r="C32" s="209"/>
      <c r="D32" s="209"/>
      <c r="E32" s="209"/>
      <c r="F32" s="209"/>
      <c r="G32" s="210"/>
    </row>
    <row r="33" s="137" customFormat="1" ht="13.5" customHeight="1" spans="1:7">
      <c r="A33" s="155" t="s">
        <v>1937</v>
      </c>
      <c r="B33" s="156" t="s">
        <v>2026</v>
      </c>
      <c r="C33" s="211">
        <f ca="1">SUM(C34:C38)</f>
        <v>258650124</v>
      </c>
      <c r="D33" s="183"/>
      <c r="E33" s="158"/>
      <c r="F33" s="196"/>
      <c r="G33" s="188"/>
    </row>
    <row r="34" s="139" customFormat="1" ht="13.5" customHeight="1" spans="1:7">
      <c r="A34" s="191" t="s">
        <v>1941</v>
      </c>
      <c r="B34" s="161" t="s">
        <v>1997</v>
      </c>
      <c r="C34" s="166">
        <f ca="1">ROUND(IF(B1="",SUMPRODUCT('数据-取费表'!K6:K14,'数据-取费表'!L6:L14),INDIRECT("'数据-取费表'!l"&amp;$G$1)*INDIRECT("'数据-取费表'!k"&amp;$G$1)+'数据-取费表'!L14*INDIRECT("'数据-取费表'!S"&amp;$G$1)),0)</f>
        <v>232569155</v>
      </c>
      <c r="D34" s="163"/>
      <c r="E34" s="166"/>
      <c r="F34" s="212"/>
      <c r="G34" s="165"/>
    </row>
    <row r="35" ht="13.5" customHeight="1" spans="1:7">
      <c r="A35" s="191" t="s">
        <v>1943</v>
      </c>
      <c r="B35" s="161" t="s">
        <v>1999</v>
      </c>
      <c r="C35" s="166">
        <f ca="1">ROUND(C34*F35,0)</f>
        <v>9302766</v>
      </c>
      <c r="D35" s="166"/>
      <c r="E35" s="166"/>
      <c r="F35" s="213">
        <f>'数据-取费表'!B33</f>
        <v>0.04</v>
      </c>
      <c r="G35" s="165" t="s">
        <v>2000</v>
      </c>
    </row>
    <row r="36" ht="24" spans="1:7">
      <c r="A36" s="191" t="s">
        <v>1945</v>
      </c>
      <c r="B36" s="161" t="s">
        <v>2001</v>
      </c>
      <c r="C36" s="166">
        <f ca="1">ROUND(IF(B1="",SUM('数据-取费表'!AP6:AP13)*F36,IF(INDIRECT("'数据-取费表'!c"&amp;$G$1)="住宅",INDIRECT("'数据-取费表'!k"&amp;$G$1)*INDIRECT("'数据-取费表'!l"&amp;$G$1)*F36,0)),0)</f>
        <v>0</v>
      </c>
      <c r="D36" s="166"/>
      <c r="E36" s="166"/>
      <c r="F36" s="213">
        <f>'数据-取费表'!B34</f>
        <v>0</v>
      </c>
      <c r="G36" s="214" t="s">
        <v>2002</v>
      </c>
    </row>
    <row r="37" s="139" customFormat="1" ht="13.5" customHeight="1" spans="1:7">
      <c r="A37" s="191" t="s">
        <v>1983</v>
      </c>
      <c r="B37" s="161" t="s">
        <v>2003</v>
      </c>
      <c r="C37" s="204">
        <f ca="1">ROUND(E37*D37,0)</f>
        <v>13289666</v>
      </c>
      <c r="D37" s="163">
        <f ca="1">D19</f>
        <v>66448.33</v>
      </c>
      <c r="E37" s="204">
        <f>'数据-取费表'!B35</f>
        <v>200</v>
      </c>
      <c r="F37" s="213"/>
      <c r="G37" s="215"/>
    </row>
    <row r="38" ht="13.5" customHeight="1" spans="1:7">
      <c r="A38" s="191" t="s">
        <v>2005</v>
      </c>
      <c r="B38" s="161" t="s">
        <v>1249</v>
      </c>
      <c r="C38" s="166">
        <f ca="1">ROUND(C34*F38,0)</f>
        <v>3488537</v>
      </c>
      <c r="D38" s="166"/>
      <c r="E38" s="166"/>
      <c r="F38" s="213">
        <f>'数据-取费表'!B36</f>
        <v>0.015</v>
      </c>
      <c r="G38" s="165" t="s">
        <v>2000</v>
      </c>
    </row>
    <row r="39" s="137" customFormat="1" ht="13.5" customHeight="1" spans="1:7">
      <c r="A39" s="155" t="s">
        <v>1966</v>
      </c>
      <c r="B39" s="156" t="s">
        <v>1969</v>
      </c>
      <c r="C39" s="183">
        <f ca="1">ROUND(C33*F20,0)</f>
        <v>5173002</v>
      </c>
      <c r="D39" s="183"/>
      <c r="E39" s="183"/>
      <c r="F39" s="1925">
        <f>F20</f>
        <v>0.02</v>
      </c>
      <c r="G39" s="188" t="s">
        <v>2006</v>
      </c>
    </row>
    <row r="40" s="137" customFormat="1" ht="13.5" customHeight="1" spans="1:7">
      <c r="A40" s="155" t="s">
        <v>1968</v>
      </c>
      <c r="B40" s="156" t="s">
        <v>1972</v>
      </c>
      <c r="C40" s="1926">
        <f>F21</f>
        <v>0.02</v>
      </c>
      <c r="D40" s="187" t="s">
        <v>2007</v>
      </c>
      <c r="E40" s="183"/>
      <c r="F40" s="1925">
        <f>F21</f>
        <v>0.02</v>
      </c>
      <c r="G40" s="188" t="s">
        <v>2008</v>
      </c>
    </row>
    <row r="41" s="137" customFormat="1" ht="13.5" customHeight="1" spans="1:7">
      <c r="A41" s="155" t="s">
        <v>1971</v>
      </c>
      <c r="B41" s="156" t="s">
        <v>1976</v>
      </c>
      <c r="C41" s="183">
        <f ca="1">ROUND(SUM(C42:C43),0)</f>
        <v>12531599</v>
      </c>
      <c r="D41" s="186">
        <f ca="1">C44</f>
        <v>0.001</v>
      </c>
      <c r="E41" s="187" t="s">
        <v>2007</v>
      </c>
      <c r="F41" s="1927">
        <f ca="1">F22</f>
        <v>0.0475</v>
      </c>
      <c r="G41" s="188" t="str">
        <f>IF('数据-取费表'!B22&lt;=1,"单利计息","复利计息")</f>
        <v>复利计息</v>
      </c>
    </row>
    <row r="42" ht="13.5" customHeight="1" spans="1:7">
      <c r="A42" s="191" t="s">
        <v>1941</v>
      </c>
      <c r="B42" s="161" t="s">
        <v>1977</v>
      </c>
      <c r="C42" s="193">
        <f ca="1">ROUND(IF('数据-取费表'!B22&lt;=1,C33*F22*'数据-取费表'!B20/2,C33*(POWER((1+F22),'数据-取费表'!B20/2)-1)),0)</f>
        <v>12285881</v>
      </c>
      <c r="D42" s="193"/>
      <c r="E42" s="193"/>
      <c r="F42" s="194"/>
      <c r="G42" s="217" t="s">
        <v>2027</v>
      </c>
    </row>
    <row r="43" ht="13.5" customHeight="1" spans="1:7">
      <c r="A43" s="191" t="s">
        <v>1943</v>
      </c>
      <c r="B43" s="161" t="s">
        <v>1979</v>
      </c>
      <c r="C43" s="193">
        <f ca="1">ROUND(IF('数据-取费表'!B22&lt;=1,C39*F22*'数据-取费表'!B20/2,C39*(POWER((1+F22),'数据-取费表'!B20/2)-1)),0)</f>
        <v>245718</v>
      </c>
      <c r="D43" s="193"/>
      <c r="E43" s="193"/>
      <c r="F43" s="194"/>
      <c r="G43" s="218"/>
    </row>
    <row r="44" ht="13.5" customHeight="1" spans="1:7">
      <c r="A44" s="191" t="s">
        <v>1945</v>
      </c>
      <c r="B44" s="161" t="s">
        <v>1981</v>
      </c>
      <c r="C44" s="193">
        <f ca="1">ROUND(IF('数据-取费表'!B22&lt;=1,C40*F22*'数据-取费表'!B20/2,C40*(POWER((1+F22),'数据-取费表'!B20/2)-1)),4)</f>
        <v>0.001</v>
      </c>
      <c r="D44" s="193"/>
      <c r="E44" s="193"/>
      <c r="F44" s="194"/>
      <c r="G44" s="219"/>
    </row>
    <row r="45" s="137" customFormat="1" ht="13.5" customHeight="1" spans="1:7">
      <c r="A45" s="155" t="s">
        <v>1975</v>
      </c>
      <c r="B45" s="199" t="s">
        <v>1986</v>
      </c>
      <c r="C45" s="200">
        <f ca="1">C46</f>
        <v>52764625</v>
      </c>
      <c r="D45" s="186">
        <f ca="1">C47</f>
        <v>0.004</v>
      </c>
      <c r="E45" s="187" t="s">
        <v>2007</v>
      </c>
      <c r="F45" s="1928">
        <f ca="1">F27</f>
        <v>0.2</v>
      </c>
      <c r="G45" s="202" t="s">
        <v>2010</v>
      </c>
    </row>
    <row r="46" s="137" customFormat="1" ht="13.5" customHeight="1" spans="1:7">
      <c r="A46" s="191" t="s">
        <v>1941</v>
      </c>
      <c r="B46" s="203" t="s">
        <v>2011</v>
      </c>
      <c r="C46" s="204">
        <f ca="1">ROUND((C33+C39)*F27,0)</f>
        <v>52764625</v>
      </c>
      <c r="D46" s="220"/>
      <c r="E46" s="187"/>
      <c r="F46" s="201"/>
      <c r="G46" s="202"/>
    </row>
    <row r="47" s="137" customFormat="1" ht="13.5" customHeight="1" spans="1:7">
      <c r="A47" s="191" t="s">
        <v>1943</v>
      </c>
      <c r="B47" s="203" t="s">
        <v>2012</v>
      </c>
      <c r="C47" s="193">
        <f ca="1">ROUND(C40*F27,4)</f>
        <v>0.004</v>
      </c>
      <c r="D47" s="220"/>
      <c r="E47" s="187"/>
      <c r="F47" s="201"/>
      <c r="G47" s="202"/>
    </row>
    <row r="48" s="137" customFormat="1" ht="13.5" customHeight="1" spans="1:7">
      <c r="A48" s="155" t="s">
        <v>1985</v>
      </c>
      <c r="B48" s="156" t="s">
        <v>1991</v>
      </c>
      <c r="C48" s="216">
        <f>ROUND(F30/(1+'数据-取费表'!C42),4)</f>
        <v>0.0533</v>
      </c>
      <c r="D48" s="187" t="s">
        <v>2007</v>
      </c>
      <c r="E48" s="183"/>
      <c r="F48" s="1927">
        <f>F30</f>
        <v>0.056</v>
      </c>
      <c r="G48" s="188" t="s">
        <v>2013</v>
      </c>
    </row>
    <row r="49" ht="16.5" customHeight="1" spans="1:7">
      <c r="A49" s="155" t="s">
        <v>1990</v>
      </c>
      <c r="B49" s="156" t="s">
        <v>2028</v>
      </c>
      <c r="C49" s="183">
        <f ca="1">ROUND((C33+C39+C41+C45)/(1-C40-D41-D45-C48),0)</f>
        <v>357078605</v>
      </c>
      <c r="D49" s="183"/>
      <c r="E49" s="183"/>
      <c r="F49" s="221"/>
      <c r="G49" s="188" t="s">
        <v>2015</v>
      </c>
    </row>
    <row r="50" s="139" customFormat="1" spans="1:7">
      <c r="A50" s="155" t="s">
        <v>2016</v>
      </c>
      <c r="B50" s="156" t="s">
        <v>2017</v>
      </c>
      <c r="C50" s="183"/>
      <c r="D50" s="183"/>
      <c r="E50" s="183"/>
      <c r="F50" s="221">
        <f>IF('数据-取费表'!B24=0,'数据-取费表'!N16,1)</f>
        <v>0.85</v>
      </c>
      <c r="G50" s="202"/>
    </row>
    <row r="51" ht="16.5" customHeight="1" spans="1:7">
      <c r="A51" s="155" t="s">
        <v>2019</v>
      </c>
      <c r="B51" s="156" t="s">
        <v>2029</v>
      </c>
      <c r="C51" s="183">
        <f ca="1">ROUND(C49*F50,0)</f>
        <v>303516814</v>
      </c>
      <c r="D51" s="183"/>
      <c r="E51" s="183"/>
      <c r="F51" s="221"/>
      <c r="G51" s="188" t="s">
        <v>2021</v>
      </c>
    </row>
    <row r="52" s="136" customFormat="1" ht="16.5" spans="1:7">
      <c r="A52" s="222" t="s">
        <v>2022</v>
      </c>
      <c r="B52" s="223"/>
      <c r="C52" s="224">
        <f ca="1">C31+C51</f>
        <v>341645662</v>
      </c>
      <c r="D52" s="223"/>
      <c r="E52" s="223"/>
      <c r="F52" s="223"/>
      <c r="G52" s="225"/>
    </row>
    <row r="55" ht="15" spans="2:3">
      <c r="B55" s="226" t="s">
        <v>2023</v>
      </c>
      <c r="C55" s="227"/>
    </row>
    <row r="56" spans="2:3">
      <c r="B56" s="228" t="s">
        <v>1689</v>
      </c>
      <c r="C56" s="230">
        <f ca="1">1-C57</f>
        <v>0.112</v>
      </c>
    </row>
    <row r="57" spans="2:3">
      <c r="B57" s="228" t="s">
        <v>1690</v>
      </c>
      <c r="C57" s="229">
        <f ca="1">ROUND(C51/C52,3)</f>
        <v>0.888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2030</v>
      </c>
      <c r="B1" s="1643"/>
      <c r="C1" s="1830"/>
      <c r="D1" s="1831"/>
      <c r="E1" s="1832"/>
      <c r="F1" s="1832"/>
      <c r="G1" s="1833"/>
      <c r="H1" s="1832"/>
      <c r="I1" s="1832"/>
      <c r="J1" s="1832"/>
      <c r="K1" s="1902">
        <f>MATCH(C1,'数据-取费表'!A6:A16,0)+5</f>
        <v>8</v>
      </c>
    </row>
    <row r="2" ht="18" customHeight="1" spans="1:11">
      <c r="A2" s="147" t="s">
        <v>1312</v>
      </c>
      <c r="B2" s="151">
        <f ca="1">C32</f>
        <v>-1581</v>
      </c>
      <c r="C2" s="1834" t="s">
        <v>2031</v>
      </c>
      <c r="D2" s="1834"/>
      <c r="E2" s="1832"/>
      <c r="F2" s="1832"/>
      <c r="G2" s="1832"/>
      <c r="H2" s="1832"/>
      <c r="I2" s="1832"/>
      <c r="J2" s="1832"/>
      <c r="K2" s="1832"/>
    </row>
    <row r="3" ht="18" customHeight="1" spans="1:11">
      <c r="A3" s="150" t="s">
        <v>1314</v>
      </c>
      <c r="B3" s="151">
        <f ca="1">ROUND(B2*10000/IF(C1="",'数据-汇总表'!E3,INDIRECT("'数据-取费表'!K"&amp;$K$1)),0)</f>
        <v>-238</v>
      </c>
      <c r="C3" s="1834" t="s">
        <v>2032</v>
      </c>
      <c r="D3" s="1834"/>
      <c r="E3" s="1832"/>
      <c r="F3" s="1832"/>
      <c r="G3" s="1832"/>
      <c r="H3" s="1832"/>
      <c r="I3" s="1832"/>
      <c r="J3" s="1832"/>
      <c r="K3" s="1832"/>
    </row>
    <row r="4" s="1818" customFormat="1" ht="16.5" customHeight="1" spans="1:11">
      <c r="A4" s="1835" t="s">
        <v>2033</v>
      </c>
      <c r="B4" s="1836"/>
      <c r="C4" s="1837">
        <f>SUM(C8:K8)</f>
        <v>0</v>
      </c>
      <c r="D4" s="1836"/>
      <c r="E4" s="1836"/>
      <c r="F4" s="1836"/>
      <c r="G4" s="1836"/>
      <c r="H4" s="1836"/>
      <c r="I4" s="1836"/>
      <c r="J4" s="1836"/>
      <c r="K4" s="1903"/>
    </row>
    <row r="5" s="1819" customFormat="1" ht="24.75" spans="1:33">
      <c r="A5" s="1838" t="s">
        <v>2034</v>
      </c>
      <c r="B5" s="1839" t="s">
        <v>2035</v>
      </c>
      <c r="C5" s="1840" t="s">
        <v>2036</v>
      </c>
      <c r="D5" s="1840" t="s">
        <v>2037</v>
      </c>
      <c r="E5" s="1840" t="s">
        <v>2038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1218</v>
      </c>
      <c r="B6" s="1605" t="s">
        <v>2039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1222</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1267</v>
      </c>
      <c r="B8" s="1845" t="s">
        <v>2040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2041</v>
      </c>
      <c r="B9" s="1836"/>
      <c r="C9" s="1836"/>
      <c r="D9" s="1836"/>
      <c r="E9" s="1836"/>
      <c r="F9" s="1836"/>
      <c r="G9" s="1836"/>
      <c r="H9" s="1836"/>
      <c r="I9" s="1836"/>
      <c r="J9" s="1836"/>
      <c r="K9" s="1903"/>
    </row>
    <row r="10" s="1821" customFormat="1" ht="13.5" customHeight="1" spans="1:11">
      <c r="A10" s="1838" t="s">
        <v>2034</v>
      </c>
      <c r="B10" s="1848" t="s">
        <v>2035</v>
      </c>
      <c r="C10" s="1849" t="s">
        <v>2042</v>
      </c>
      <c r="D10" s="1850" t="s">
        <v>2043</v>
      </c>
      <c r="E10" s="1850" t="s">
        <v>2044</v>
      </c>
      <c r="F10" s="1850" t="s">
        <v>2045</v>
      </c>
      <c r="G10" s="1848"/>
      <c r="H10" s="1851"/>
      <c r="I10" s="1851"/>
      <c r="J10" s="1851"/>
      <c r="K10" s="1909"/>
    </row>
    <row r="11" s="1822" customFormat="1" ht="13.5" customHeight="1" spans="1:11">
      <c r="A11" s="1852" t="s">
        <v>1605</v>
      </c>
      <c r="B11" s="1853" t="s">
        <v>2046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1612</v>
      </c>
      <c r="B12" s="1853" t="s">
        <v>1526</v>
      </c>
      <c r="C12" s="1598">
        <f ca="1">ROUND(C11*F12,0)</f>
        <v>0</v>
      </c>
      <c r="D12" s="1855"/>
      <c r="E12" s="1609"/>
      <c r="F12" s="1857">
        <f>'数据-取费表'!B33</f>
        <v>0.04</v>
      </c>
      <c r="G12" s="1848" t="s">
        <v>2047</v>
      </c>
      <c r="H12" s="1851"/>
      <c r="I12" s="1851"/>
      <c r="J12" s="1851"/>
      <c r="K12" s="1909"/>
    </row>
    <row r="13" s="1822" customFormat="1" ht="13.5" customHeight="1" spans="1:11">
      <c r="A13" s="1852" t="s">
        <v>1638</v>
      </c>
      <c r="B13" s="1853" t="s">
        <v>1529</v>
      </c>
      <c r="C13" s="1598">
        <f ca="1">ROUND(IF(C1="",SUMIF('数据-取费表'!C:C,"住宅",'数据-取费表'!P:P)*F13,IF(INDIRECT("'数据-取费表'!c"&amp;$K$1)="住宅",INDIRECT("'数据-取费表'!P"&amp;$K$1)*F13,0)),0)</f>
        <v>0</v>
      </c>
      <c r="D13" s="1858"/>
      <c r="E13" s="1609"/>
      <c r="F13" s="1857">
        <f>'数据-取费表'!B34</f>
        <v>0</v>
      </c>
      <c r="G13" s="1848" t="s">
        <v>2048</v>
      </c>
      <c r="H13" s="1851"/>
      <c r="I13" s="1851"/>
      <c r="J13" s="1851"/>
      <c r="K13" s="1909"/>
    </row>
    <row r="14" s="1823" customFormat="1" ht="13.5" customHeight="1" spans="1:33">
      <c r="A14" s="1852" t="s">
        <v>2049</v>
      </c>
      <c r="B14" s="1853" t="s">
        <v>2050</v>
      </c>
      <c r="C14" s="1598">
        <f ca="1">ROUND(D14*E14*F11/10000,0)</f>
        <v>0</v>
      </c>
      <c r="D14" s="1858">
        <f ca="1">IF(C1="",'数据-汇总表'!E3,INDIRECT("'数据-取费表'!K"&amp;$K$1)+INDIRECT("'数据-取费表'!S"&amp;$K$1))</f>
        <v>66448.33</v>
      </c>
      <c r="E14" s="1598">
        <f>'数据-取费表'!B35</f>
        <v>200</v>
      </c>
      <c r="F14" s="1857"/>
      <c r="G14" s="1848" t="s">
        <v>2051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2052</v>
      </c>
      <c r="B15" s="1853" t="s">
        <v>1540</v>
      </c>
      <c r="C15" s="1859">
        <f ca="1">ROUND(C11*F15,0)</f>
        <v>0</v>
      </c>
      <c r="D15" s="1860"/>
      <c r="E15" s="1859"/>
      <c r="F15" s="1861">
        <f>'数据-取费表'!B36</f>
        <v>0.015</v>
      </c>
      <c r="G15" s="1605" t="s">
        <v>2053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1241</v>
      </c>
      <c r="B16" s="1853" t="s">
        <v>2054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1245</v>
      </c>
      <c r="B17" s="1853" t="s">
        <v>2055</v>
      </c>
      <c r="C17" s="1598">
        <f ca="1">ROUND(D17*E17/10000,0)</f>
        <v>0</v>
      </c>
      <c r="D17" s="1858">
        <f ca="1">D14</f>
        <v>66448.33</v>
      </c>
      <c r="E17" s="1598">
        <f>'数据-取费表'!B32</f>
        <v>0</v>
      </c>
      <c r="F17" s="1860"/>
      <c r="G17" s="1605" t="s">
        <v>2056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2057</v>
      </c>
      <c r="B18" s="1853" t="s">
        <v>2058</v>
      </c>
      <c r="C18" s="1598">
        <f ca="1">C19+C20-IF(C1="",'数据-取费表'!B29,IF(G18="已全部缴纳",C19+C20,H18))</f>
        <v>1329</v>
      </c>
      <c r="D18" s="1858"/>
      <c r="E18" s="1598"/>
      <c r="F18" s="1857"/>
      <c r="G18" s="1863"/>
      <c r="H18" s="1864"/>
      <c r="I18" s="1910" t="s">
        <v>2059</v>
      </c>
      <c r="J18" s="1722"/>
      <c r="K18" s="1723"/>
    </row>
    <row r="19" s="1822" customFormat="1" ht="13.5" customHeight="1" spans="1:11">
      <c r="A19" s="1852" t="s">
        <v>1605</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1612</v>
      </c>
      <c r="B20" s="1853" t="s">
        <v>2060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1218</v>
      </c>
      <c r="B21" s="1867" t="s">
        <v>2061</v>
      </c>
      <c r="C21" s="1868">
        <f ca="1">C16+C17+C18</f>
        <v>1329</v>
      </c>
      <c r="D21" s="1869"/>
      <c r="E21" s="1870"/>
      <c r="F21" s="1870"/>
      <c r="G21" s="1605" t="s">
        <v>2062</v>
      </c>
      <c r="H21" s="1722"/>
      <c r="I21" s="1722"/>
      <c r="J21" s="1722"/>
      <c r="K21" s="1723"/>
    </row>
    <row r="22" s="1822" customFormat="1" ht="13.5" customHeight="1" spans="1:11">
      <c r="A22" s="1841" t="s">
        <v>1222</v>
      </c>
      <c r="B22" s="1867" t="s">
        <v>2063</v>
      </c>
      <c r="C22" s="1868">
        <f ca="1">ROUND(C21*F22,0)</f>
        <v>27</v>
      </c>
      <c r="D22" s="1870"/>
      <c r="E22" s="1870"/>
      <c r="F22" s="1871">
        <f>'数据-取费表'!B37</f>
        <v>0.02</v>
      </c>
      <c r="G22" s="1848" t="s">
        <v>2064</v>
      </c>
      <c r="H22" s="1851"/>
      <c r="I22" s="1851"/>
      <c r="J22" s="1851"/>
      <c r="K22" s="1909"/>
    </row>
    <row r="23" s="1822" customFormat="1" ht="13.5" customHeight="1" spans="1:11">
      <c r="A23" s="1841" t="s">
        <v>1267</v>
      </c>
      <c r="B23" s="1867" t="s">
        <v>2065</v>
      </c>
      <c r="C23" s="1868">
        <f ca="1">ROUND(C4*F23*F11,0)</f>
        <v>0</v>
      </c>
      <c r="D23" s="1870"/>
      <c r="E23" s="1870"/>
      <c r="F23" s="1871">
        <f>'数据-取费表'!B38</f>
        <v>0.02</v>
      </c>
      <c r="G23" s="1848" t="s">
        <v>2066</v>
      </c>
      <c r="H23" s="1851"/>
      <c r="I23" s="1851"/>
      <c r="J23" s="1851"/>
      <c r="K23" s="1909"/>
    </row>
    <row r="24" s="1822" customFormat="1" ht="13.5" customHeight="1" spans="1:11">
      <c r="A24" s="1841" t="s">
        <v>1270</v>
      </c>
      <c r="B24" s="1867" t="s">
        <v>2067</v>
      </c>
      <c r="C24" s="1872">
        <f>ROUND(F24/(1+'数据-取费表'!C42),4)</f>
        <v>0.029</v>
      </c>
      <c r="D24" s="1870" t="s">
        <v>2068</v>
      </c>
      <c r="E24" s="1870"/>
      <c r="F24" s="1871">
        <f>IF(项目基本情况!B8="出让",0,'数据-取费表'!B48+'数据-取费表'!B49)</f>
        <v>0.0305</v>
      </c>
      <c r="G24" s="1848" t="s">
        <v>2069</v>
      </c>
      <c r="H24" s="1873"/>
      <c r="I24" s="1873"/>
      <c r="J24" s="1873"/>
      <c r="K24" s="1912"/>
    </row>
    <row r="25" s="1822" customFormat="1" ht="13.5" customHeight="1" spans="1:11">
      <c r="A25" s="1841" t="s">
        <v>1274</v>
      </c>
      <c r="B25" s="1869" t="s">
        <v>2070</v>
      </c>
      <c r="C25" s="1874">
        <f ca="1">C27</f>
        <v>0</v>
      </c>
      <c r="D25" s="1872">
        <f ca="1">C26</f>
        <v>0</v>
      </c>
      <c r="E25" s="1875" t="s">
        <v>2068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1241</v>
      </c>
      <c r="B26" s="1877" t="s">
        <v>2071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1245</v>
      </c>
      <c r="B27" s="1877" t="s">
        <v>2072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1275</v>
      </c>
      <c r="B28" s="1884" t="s">
        <v>2073</v>
      </c>
      <c r="C28" s="1885">
        <f ca="1">C30</f>
        <v>271</v>
      </c>
      <c r="D28" s="1872">
        <f ca="1">C29</f>
        <v>0</v>
      </c>
      <c r="E28" s="1875" t="s">
        <v>2068</v>
      </c>
      <c r="F28" s="1051">
        <f ca="1">IF(C1="",'数据-取费表'!Q16,INDIRECT("'数据-取费表'!q"&amp;$K$1))</f>
        <v>0.2</v>
      </c>
      <c r="G28" s="1886"/>
      <c r="H28" s="1873"/>
      <c r="I28" s="1873"/>
      <c r="J28" s="1873"/>
      <c r="K28" s="1912"/>
    </row>
    <row r="29" s="1826" customFormat="1" ht="13.5" customHeight="1" spans="1:11">
      <c r="A29" s="1852" t="s">
        <v>1241</v>
      </c>
      <c r="B29" s="1887" t="s">
        <v>2074</v>
      </c>
      <c r="C29" s="1879">
        <f ca="1">ROUND((1+C24)*F28*'数据-取费表'!B24/'数据-取费表'!B20,4)</f>
        <v>0</v>
      </c>
      <c r="D29" s="1879"/>
      <c r="E29" s="1880"/>
      <c r="F29" s="1888"/>
      <c r="G29" s="1605" t="s">
        <v>2075</v>
      </c>
      <c r="H29" s="1722"/>
      <c r="I29" s="1722"/>
      <c r="J29" s="1722"/>
      <c r="K29" s="1723"/>
    </row>
    <row r="30" s="1826" customFormat="1" ht="13.5" customHeight="1" spans="1:11">
      <c r="A30" s="1852" t="s">
        <v>1245</v>
      </c>
      <c r="B30" s="1887" t="s">
        <v>2076</v>
      </c>
      <c r="C30" s="1889">
        <f ca="1">ROUND((C21+C22+C23)*F28,0)</f>
        <v>271</v>
      </c>
      <c r="D30" s="1879"/>
      <c r="E30" s="1880"/>
      <c r="F30" s="1888"/>
      <c r="G30" s="1605"/>
      <c r="H30" s="1722"/>
      <c r="I30" s="1722"/>
      <c r="J30" s="1722"/>
      <c r="K30" s="1723"/>
    </row>
    <row r="31" s="1822" customFormat="1" ht="13.5" customHeight="1" spans="1:11">
      <c r="A31" s="1890" t="s">
        <v>1585</v>
      </c>
      <c r="B31" s="1891" t="s">
        <v>2077</v>
      </c>
      <c r="C31" s="1892">
        <f>ROUND(C4*F31/(1+'数据-取费表'!C42),0)</f>
        <v>0</v>
      </c>
      <c r="D31" s="1893"/>
      <c r="E31" s="1894"/>
      <c r="F31" s="1895">
        <f>'数据-取费表'!B41</f>
        <v>0.056</v>
      </c>
      <c r="G31" s="1896" t="s">
        <v>2078</v>
      </c>
      <c r="H31" s="1897"/>
      <c r="I31" s="1897"/>
      <c r="J31" s="1897"/>
      <c r="K31" s="1913"/>
    </row>
    <row r="32" s="1821" customFormat="1" ht="13.5" customHeight="1" spans="1:11">
      <c r="A32" s="1898" t="s">
        <v>2079</v>
      </c>
      <c r="B32" s="1899"/>
      <c r="C32" s="1900">
        <f ca="1">ROUND((C4-C21-C22-C23-C25-C28-C31)/(1+C24+D25+D28),0)</f>
        <v>-1581</v>
      </c>
      <c r="D32" s="1899"/>
      <c r="E32" s="1899"/>
      <c r="F32" s="1899"/>
      <c r="G32" s="1901" t="s">
        <v>2080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ht="18.75" spans="1:5">
      <c r="A1" s="3376" t="s">
        <v>94</v>
      </c>
      <c r="B1" s="3377"/>
      <c r="C1" s="3377"/>
      <c r="D1" s="3377"/>
      <c r="E1" s="3377"/>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8" spans="1:5">
      <c r="A3" s="3379" t="str">
        <f>IF(项目基本情况!B9="房地产市场价值","估价结果一览表（市场价值不需“结果表-1”）","估价结果一览表")</f>
        <v>估价结果一览表</v>
      </c>
      <c r="B3" s="3379"/>
      <c r="C3" s="3379"/>
      <c r="D3" s="3379"/>
      <c r="E3" s="3379"/>
    </row>
    <row r="4" ht="19.5" spans="1:5">
      <c r="A4" s="3379"/>
      <c r="B4" s="3380" t="s">
        <v>95</v>
      </c>
      <c r="C4" s="3380"/>
      <c r="D4" s="3380"/>
      <c r="E4" s="3379"/>
    </row>
    <row r="5" ht="16.5" spans="1:5">
      <c r="A5" s="3377"/>
      <c r="B5" s="3381" t="s">
        <v>96</v>
      </c>
      <c r="C5" s="3382" t="s">
        <v>97</v>
      </c>
      <c r="D5" s="3383">
        <f ca="1">结果表!H101</f>
        <v>328107</v>
      </c>
      <c r="E5" s="3377"/>
    </row>
    <row r="6" spans="1:5">
      <c r="A6" s="3377"/>
      <c r="B6" s="3381"/>
      <c r="C6" s="3382" t="s">
        <v>98</v>
      </c>
      <c r="D6" s="3383" t="str">
        <f ca="1">NUMBERSTRING(INT(D5*10000),2)&amp;"元整"</f>
        <v>叁拾贰亿捌仟壹佰零柒万元整</v>
      </c>
      <c r="E6" s="3377"/>
    </row>
    <row r="7" ht="15.75" spans="1:5">
      <c r="A7" s="3377"/>
      <c r="B7" s="3384"/>
      <c r="C7" s="3385" t="s">
        <v>99</v>
      </c>
      <c r="D7" s="3386">
        <f ca="1">结果表!H102</f>
        <v>51828</v>
      </c>
      <c r="E7" s="3377"/>
    </row>
    <row r="8" ht="15.75" spans="1:5">
      <c r="A8" s="3377"/>
      <c r="B8" s="3387" t="str">
        <f>结果表!E103</f>
        <v>2.估价师知悉的法定优先受偿款</v>
      </c>
      <c r="C8" s="3388" t="s">
        <v>100</v>
      </c>
      <c r="D8" s="3386">
        <f>结果表!H103</f>
        <v>0</v>
      </c>
      <c r="E8" s="3377"/>
    </row>
    <row r="9" spans="1:5">
      <c r="A9" s="3377"/>
      <c r="B9" s="3389"/>
      <c r="C9" s="3382" t="s">
        <v>98</v>
      </c>
      <c r="D9" s="3383" t="str">
        <f>NUMBERSTRING(INT(D8*10000),2)&amp;"元整"</f>
        <v>零元整</v>
      </c>
      <c r="E9" s="3377"/>
    </row>
    <row r="10" ht="15" spans="1:5">
      <c r="A10" s="3377"/>
      <c r="B10" s="3390" t="s">
        <v>101</v>
      </c>
      <c r="C10" s="3391" t="s">
        <v>102</v>
      </c>
      <c r="D10" s="3392">
        <f>结果表!H104</f>
        <v>0</v>
      </c>
      <c r="E10" s="3377"/>
    </row>
    <row r="11" ht="15" spans="1:5">
      <c r="A11" s="3377"/>
      <c r="B11" s="3390" t="s">
        <v>103</v>
      </c>
      <c r="C11" s="3391" t="s">
        <v>102</v>
      </c>
      <c r="D11" s="3392">
        <f>结果表!H105</f>
        <v>0</v>
      </c>
      <c r="E11" s="3377"/>
    </row>
    <row r="12" ht="15" spans="1:5">
      <c r="A12" s="3377"/>
      <c r="B12" s="3390" t="s">
        <v>104</v>
      </c>
      <c r="C12" s="3391" t="s">
        <v>102</v>
      </c>
      <c r="D12" s="3392">
        <f>结果表!H106</f>
        <v>0</v>
      </c>
      <c r="E12" s="3377"/>
    </row>
    <row r="13" ht="15.75" spans="1:5">
      <c r="A13" s="3377"/>
      <c r="B13" s="3393" t="str">
        <f>结果表!E107</f>
        <v>3.房地产抵押价值</v>
      </c>
      <c r="C13" s="3394" t="s">
        <v>97</v>
      </c>
      <c r="D13" s="3395">
        <f ca="1">结果表!H107</f>
        <v>328107</v>
      </c>
      <c r="E13" s="3377"/>
    </row>
    <row r="14" spans="1:5">
      <c r="A14" s="3377"/>
      <c r="B14" s="3381"/>
      <c r="C14" s="3382" t="s">
        <v>98</v>
      </c>
      <c r="D14" s="3383" t="str">
        <f ca="1">NUMBERSTRING(INT(D13*10000),2)&amp;"元整"</f>
        <v>叁拾贰亿捌仟壹佰零柒万元整</v>
      </c>
      <c r="E14" s="3377"/>
    </row>
    <row r="15" ht="15" spans="1:5">
      <c r="A15" s="3377"/>
      <c r="B15" s="3384"/>
      <c r="C15" s="3385" t="s">
        <v>99</v>
      </c>
      <c r="D15" s="3396">
        <f ca="1">结果表!H108</f>
        <v>49378</v>
      </c>
      <c r="E15" s="3377"/>
    </row>
    <row r="16" ht="15" spans="1:5">
      <c r="A16" s="3377"/>
      <c r="B16" s="3387" t="str">
        <f>结果表!E109</f>
        <v>——</v>
      </c>
      <c r="C16" s="3394" t="s">
        <v>97</v>
      </c>
      <c r="D16" s="3397" t="str">
        <f ca="1">结果表!H109</f>
        <v>——</v>
      </c>
      <c r="E16" s="3377"/>
    </row>
    <row r="17" ht="15.75" spans="1:5">
      <c r="A17" s="3377"/>
      <c r="B17" s="3398"/>
      <c r="C17" s="3382" t="s">
        <v>98</v>
      </c>
      <c r="D17" s="3383" t="e">
        <f ca="1">NUMBERSTRING(INT(D16*10000),2)&amp;"元整"</f>
        <v>#VALUE!</v>
      </c>
      <c r="E17" s="3377"/>
    </row>
    <row r="18" ht="15" spans="1:5">
      <c r="A18" s="3377"/>
      <c r="B18" s="3389"/>
      <c r="C18" s="3385" t="s">
        <v>99</v>
      </c>
      <c r="D18" s="3396" t="str">
        <f ca="1">结果表!H110</f>
        <v>——</v>
      </c>
      <c r="E18" s="3377"/>
    </row>
    <row r="19" ht="15.75" spans="1:5">
      <c r="A19" s="3377"/>
      <c r="B19" s="3393" t="str">
        <f>结果表!E111</f>
        <v>——</v>
      </c>
      <c r="C19" s="3394" t="s">
        <v>97</v>
      </c>
      <c r="D19" s="3386" t="str">
        <f ca="1">结果表!H111</f>
        <v>——</v>
      </c>
      <c r="E19" s="3377"/>
    </row>
    <row r="20" ht="15.75" spans="1:5">
      <c r="A20" s="3377"/>
      <c r="B20" s="3381"/>
      <c r="C20" s="3382" t="s">
        <v>98</v>
      </c>
      <c r="D20" s="3383" t="e">
        <f ca="1">NUMBERSTRING(INT(D19*10000),2)&amp;"元整"</f>
        <v>#VALUE!</v>
      </c>
      <c r="E20" s="3377"/>
    </row>
    <row r="21" ht="15.75" spans="1:5">
      <c r="A21" s="3377"/>
      <c r="B21" s="3399"/>
      <c r="C21" s="3400" t="s">
        <v>99</v>
      </c>
      <c r="D21" s="3401" t="str">
        <f ca="1">结果表!H112</f>
        <v>——</v>
      </c>
      <c r="E21" s="3377"/>
    </row>
    <row r="22" ht="15" spans="1:5">
      <c r="A22" s="3377"/>
      <c r="B22" s="3402" t="s">
        <v>105</v>
      </c>
      <c r="C22" s="3377"/>
      <c r="D22" s="3377"/>
      <c r="E22" s="3377"/>
    </row>
    <row r="23" spans="1:5">
      <c r="A23" s="3377"/>
      <c r="B23" s="3377"/>
      <c r="C23" s="3377"/>
      <c r="D23" s="3377"/>
      <c r="E23" s="3377"/>
    </row>
    <row r="24" ht="18.75"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1492</v>
      </c>
      <c r="B1" s="1039"/>
      <c r="C1" s="1530"/>
      <c r="D1" s="1531"/>
      <c r="E1" s="1532" t="s">
        <v>1493</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1494</v>
      </c>
      <c r="B2" s="1537" t="e">
        <f ca="1">ROUND(D2/10000,0)</f>
        <v>#DIV/0!</v>
      </c>
      <c r="C2" s="1538" t="s">
        <v>1495</v>
      </c>
      <c r="D2" s="1539" t="e">
        <f ca="1">C40+J29+L46</f>
        <v>#DIV/0!</v>
      </c>
      <c r="E2" s="1540" t="s">
        <v>2081</v>
      </c>
      <c r="F2" s="1541"/>
      <c r="G2" s="1542"/>
      <c r="H2" s="1543"/>
      <c r="I2" s="1543"/>
      <c r="J2" s="1543"/>
      <c r="K2" s="1709"/>
      <c r="L2" s="1543"/>
      <c r="M2" s="1543"/>
    </row>
    <row r="3" ht="18" customHeight="1" spans="1:13">
      <c r="A3" s="1544" t="s">
        <v>1496</v>
      </c>
      <c r="B3" s="1545">
        <f ca="1">IF(ISERROR(D2/F43),0,ROUND(D2/F43,0))</f>
        <v>0</v>
      </c>
      <c r="C3" s="1538" t="s">
        <v>1497</v>
      </c>
      <c r="D3" s="1538"/>
      <c r="E3" s="1540"/>
      <c r="F3" s="1541"/>
      <c r="G3" s="1542"/>
      <c r="H3" s="1546" t="s">
        <v>1498</v>
      </c>
      <c r="I3" s="1710"/>
      <c r="J3" s="1710"/>
      <c r="K3" s="1711"/>
      <c r="L3" s="1710"/>
      <c r="M3" s="1710"/>
    </row>
    <row r="4" ht="18" customHeight="1" spans="1:13">
      <c r="A4" s="1547" t="s">
        <v>1499</v>
      </c>
      <c r="B4" s="1548" t="s">
        <v>1500</v>
      </c>
      <c r="C4" s="1548" t="s">
        <v>1501</v>
      </c>
      <c r="D4" s="1548" t="s">
        <v>1502</v>
      </c>
      <c r="E4" s="1549" t="s">
        <v>1503</v>
      </c>
      <c r="F4" s="1550"/>
      <c r="G4" s="645"/>
      <c r="H4" s="1547" t="s">
        <v>1499</v>
      </c>
      <c r="I4" s="1548" t="s">
        <v>1500</v>
      </c>
      <c r="J4" s="1548" t="s">
        <v>1501</v>
      </c>
      <c r="K4" s="1548" t="s">
        <v>1502</v>
      </c>
      <c r="L4" s="1549" t="s">
        <v>1503</v>
      </c>
      <c r="M4" s="1550"/>
    </row>
    <row r="5" ht="18" customHeight="1" spans="1:13">
      <c r="A5" s="1551">
        <v>1</v>
      </c>
      <c r="B5" s="1552" t="s">
        <v>1504</v>
      </c>
      <c r="C5" s="1553">
        <f ca="1">C6+C10+C12</f>
        <v>0</v>
      </c>
      <c r="D5" s="1554" t="s">
        <v>1505</v>
      </c>
      <c r="E5" s="1555"/>
      <c r="F5" s="1556"/>
      <c r="G5" s="645"/>
      <c r="H5" s="1551">
        <v>1</v>
      </c>
      <c r="I5" s="1552" t="s">
        <v>1504</v>
      </c>
      <c r="J5" s="1553">
        <f ca="1">J6+J10+J12</f>
        <v>0</v>
      </c>
      <c r="K5" s="1554" t="s">
        <v>1505</v>
      </c>
      <c r="L5" s="1555"/>
      <c r="M5" s="1556"/>
    </row>
    <row r="6" ht="18" customHeight="1" spans="1:13">
      <c r="A6" s="1557" t="s">
        <v>1218</v>
      </c>
      <c r="B6" s="1558" t="s">
        <v>1506</v>
      </c>
      <c r="C6" s="1559">
        <f ca="1">ROUND(F6*F8*F7*(1-F9),0)</f>
        <v>0</v>
      </c>
      <c r="D6" s="1560" t="s">
        <v>2082</v>
      </c>
      <c r="E6" s="1561" t="s">
        <v>1508</v>
      </c>
      <c r="F6" s="1562">
        <f ca="1">INDIRECT("'数据-取费表'!u"&amp;$G$1)</f>
        <v>0</v>
      </c>
      <c r="G6" s="645"/>
      <c r="H6" s="1557" t="s">
        <v>1218</v>
      </c>
      <c r="I6" s="1558" t="s">
        <v>1506</v>
      </c>
      <c r="J6" s="1638">
        <f ca="1">ROUND(M6*M8*M7*(1-M9),0)</f>
        <v>0</v>
      </c>
      <c r="K6" s="1712" t="s">
        <v>2083</v>
      </c>
      <c r="L6" s="1561" t="s">
        <v>1508</v>
      </c>
      <c r="M6" s="1562">
        <f ca="1">INDIRECT("'数据-取费表'!z"&amp;$G$1)</f>
        <v>0</v>
      </c>
    </row>
    <row r="7" ht="18" customHeight="1" spans="1:13">
      <c r="A7" s="1563"/>
      <c r="B7" s="1564"/>
      <c r="C7" s="1565"/>
      <c r="D7" s="1566"/>
      <c r="E7" s="1567" t="s">
        <v>1510</v>
      </c>
      <c r="F7" s="1562">
        <f ca="1">IF(INDIRECT("'数据-取费表'!ah"&amp;$G$1)="",INDIRECT("'数据-取费表'!k"&amp;$G$1),INDIRECT("'数据-取费表'!ah"&amp;$G$1))</f>
        <v>0</v>
      </c>
      <c r="G7" s="645"/>
      <c r="H7" s="1568"/>
      <c r="I7" s="1564"/>
      <c r="J7" s="1569"/>
      <c r="K7" s="1566"/>
      <c r="L7" s="1561" t="s">
        <v>1510</v>
      </c>
      <c r="M7" s="1562">
        <f ca="1">F7</f>
        <v>0</v>
      </c>
    </row>
    <row r="8" ht="18" customHeight="1" spans="1:13">
      <c r="A8" s="1568"/>
      <c r="B8" s="1564"/>
      <c r="C8" s="1569"/>
      <c r="D8" s="1566"/>
      <c r="E8" s="1561" t="s">
        <v>1511</v>
      </c>
      <c r="F8" s="1562">
        <f ca="1">INDIRECT("'数据-取费表'!ai"&amp;$G$1)</f>
        <v>0</v>
      </c>
      <c r="G8" s="645"/>
      <c r="H8" s="1568"/>
      <c r="I8" s="1564"/>
      <c r="J8" s="1569"/>
      <c r="K8" s="1566"/>
      <c r="L8" s="1561" t="s">
        <v>1511</v>
      </c>
      <c r="M8" s="1562">
        <f ca="1">INDIRECT("'数据-取费表'!ai"&amp;$G$1)</f>
        <v>0</v>
      </c>
    </row>
    <row r="9" ht="18" customHeight="1" spans="1:13">
      <c r="A9" s="1568"/>
      <c r="B9" s="1570"/>
      <c r="C9" s="1569"/>
      <c r="D9" s="1566"/>
      <c r="E9" s="1561" t="s">
        <v>1512</v>
      </c>
      <c r="F9" s="1571">
        <f ca="1">INDIRECT("'数据-取费表'!w"&amp;$G$1)</f>
        <v>0</v>
      </c>
      <c r="G9" s="645"/>
      <c r="H9" s="1568"/>
      <c r="I9" s="1570"/>
      <c r="J9" s="1569"/>
      <c r="K9" s="1566"/>
      <c r="L9" s="1575" t="s">
        <v>1512</v>
      </c>
      <c r="M9" s="1580">
        <f ca="1">INDIRECT("'数据-取费表'!ab"&amp;$G$1)</f>
        <v>0</v>
      </c>
    </row>
    <row r="10" ht="18" customHeight="1" spans="1:13">
      <c r="A10" s="1557" t="s">
        <v>1222</v>
      </c>
      <c r="B10" s="1572" t="s">
        <v>1513</v>
      </c>
      <c r="C10" s="1573">
        <f ca="1">ROUND(IF(F10="押一",C6/12*F11,IF(F10="押二",C6/12*2*F11,IF(F10="押三",C6/12*3*F11,C11*F11))),0)</f>
        <v>0</v>
      </c>
      <c r="D10" s="1574" t="s">
        <v>1514</v>
      </c>
      <c r="E10" s="1575" t="s">
        <v>1515</v>
      </c>
      <c r="F10" s="1576"/>
      <c r="G10" s="645"/>
      <c r="H10" s="1557" t="s">
        <v>1222</v>
      </c>
      <c r="I10" s="1572" t="s">
        <v>1513</v>
      </c>
      <c r="J10" s="1638">
        <f ca="1">ROUND(IF(M10="押一",J6/12*M11,IF(M10="押二",J6/12*2*M11,IF(M10="押三",J6/12*3*M11,J11*M11))),0)</f>
        <v>0</v>
      </c>
      <c r="K10" s="1713" t="s">
        <v>2084</v>
      </c>
      <c r="L10" s="1575" t="s">
        <v>1515</v>
      </c>
      <c r="M10" s="1576"/>
    </row>
    <row r="11" ht="18" customHeight="1" spans="1:13">
      <c r="A11" s="1577"/>
      <c r="B11" s="1578" t="s">
        <v>2085</v>
      </c>
      <c r="C11" s="1579"/>
      <c r="D11" s="1566"/>
      <c r="E11" s="1575" t="s">
        <v>1518</v>
      </c>
      <c r="F11" s="1580">
        <f ca="1">'数据-取费表'!B39</f>
        <v>0.015</v>
      </c>
      <c r="G11" s="645"/>
      <c r="H11" s="1581"/>
      <c r="I11" s="1578" t="s">
        <v>2086</v>
      </c>
      <c r="J11" s="1579"/>
      <c r="K11" s="1714"/>
      <c r="L11" s="1575" t="s">
        <v>1518</v>
      </c>
      <c r="M11" s="1715">
        <f ca="1">'数据-取费表'!B39</f>
        <v>0.015</v>
      </c>
    </row>
    <row r="12" ht="18" customHeight="1" spans="1:13">
      <c r="A12" s="1582" t="s">
        <v>1267</v>
      </c>
      <c r="B12" s="1583" t="s">
        <v>1519</v>
      </c>
      <c r="C12" s="1584"/>
      <c r="D12" s="1585"/>
      <c r="E12" s="1586"/>
      <c r="F12" s="1587"/>
      <c r="G12" s="645"/>
      <c r="H12" s="1582" t="s">
        <v>1267</v>
      </c>
      <c r="I12" s="1583" t="s">
        <v>1519</v>
      </c>
      <c r="J12" s="1584"/>
      <c r="K12" s="1716"/>
      <c r="L12" s="1586"/>
      <c r="M12" s="1717"/>
    </row>
    <row r="13" ht="18" customHeight="1" spans="1:13">
      <c r="A13" s="1588">
        <v>2</v>
      </c>
      <c r="B13" s="1589" t="s">
        <v>1520</v>
      </c>
      <c r="C13" s="1590">
        <f ca="1">ROUND(C29*F13,0)</f>
        <v>0</v>
      </c>
      <c r="D13" s="1591" t="s">
        <v>1521</v>
      </c>
      <c r="E13" s="1591" t="s">
        <v>1522</v>
      </c>
      <c r="F13" s="1592">
        <f ca="1">INDIRECT("'数据-取费表'!y"&amp;$G$1)</f>
        <v>0</v>
      </c>
      <c r="G13" s="645"/>
      <c r="H13" s="1588">
        <v>2</v>
      </c>
      <c r="I13" s="1589" t="s">
        <v>1520</v>
      </c>
      <c r="J13" s="1718">
        <f ca="1">ROUND(J14*J15,0)</f>
        <v>0</v>
      </c>
      <c r="K13" s="1616" t="s">
        <v>1521</v>
      </c>
      <c r="L13" s="1719"/>
      <c r="M13" s="1720"/>
    </row>
    <row r="14" ht="18" customHeight="1" spans="1:13">
      <c r="A14" s="1593" t="s">
        <v>1241</v>
      </c>
      <c r="B14" s="1561" t="s">
        <v>1523</v>
      </c>
      <c r="C14" s="1594">
        <f ca="1">ROUND(INDIRECT("'数据-取费表'!l"&amp;$G$1)*F43+'数据-取费表'!L14*INDIRECT("'数据-取费表'!S"&amp;$G$1),0)</f>
        <v>0</v>
      </c>
      <c r="D14" s="1595" t="s">
        <v>1524</v>
      </c>
      <c r="E14" s="1596"/>
      <c r="F14" s="1597"/>
      <c r="G14" s="645"/>
      <c r="H14" s="1593" t="s">
        <v>1218</v>
      </c>
      <c r="I14" s="1561" t="s">
        <v>1525</v>
      </c>
      <c r="J14" s="1598">
        <f ca="1">C29</f>
        <v>0</v>
      </c>
      <c r="K14" s="1721"/>
      <c r="L14" s="1722"/>
      <c r="M14" s="1723"/>
    </row>
    <row r="15" s="1526" customFormat="1" ht="18" customHeight="1" spans="1:37">
      <c r="A15" s="1593" t="s">
        <v>1245</v>
      </c>
      <c r="B15" s="1561" t="s">
        <v>1526</v>
      </c>
      <c r="C15" s="1598">
        <f ca="1">ROUND(C14*F15,0)</f>
        <v>0</v>
      </c>
      <c r="D15" s="1599" t="s">
        <v>1527</v>
      </c>
      <c r="E15" s="1599" t="s">
        <v>1528</v>
      </c>
      <c r="F15" s="1600">
        <f>'数据-取费表'!B33</f>
        <v>0.04</v>
      </c>
      <c r="G15" s="1601"/>
      <c r="H15" s="1602" t="s">
        <v>1222</v>
      </c>
      <c r="I15" s="1586" t="s">
        <v>1522</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1248</v>
      </c>
      <c r="B16" s="1561" t="s">
        <v>1529</v>
      </c>
      <c r="C16" s="1598">
        <f ca="1">ROUND(INDIRECT("'数据-取费表'!l"&amp;$G$1)*F43*F16,0)</f>
        <v>0</v>
      </c>
      <c r="D16" s="1561" t="s">
        <v>1527</v>
      </c>
      <c r="E16" s="1561" t="s">
        <v>1528</v>
      </c>
      <c r="F16" s="1603">
        <f ca="1">IF(INDIRECT("'数据-取费表'!c"&amp;$G$1)="住宅",'数据-取费表'!B34,0)</f>
        <v>0</v>
      </c>
      <c r="G16" s="645"/>
      <c r="H16" s="1588" t="s">
        <v>532</v>
      </c>
      <c r="I16" s="1589" t="s">
        <v>1530</v>
      </c>
      <c r="J16" s="1590">
        <f ca="1">ROUND(J17+J22+J23+J24,0)</f>
        <v>0</v>
      </c>
      <c r="K16" s="1616" t="s">
        <v>1531</v>
      </c>
      <c r="L16" s="1617"/>
      <c r="M16" s="1556"/>
    </row>
    <row r="17" s="1526" customFormat="1" ht="18" customHeight="1" spans="1:37">
      <c r="A17" s="1593" t="s">
        <v>1532</v>
      </c>
      <c r="B17" s="1561" t="s">
        <v>1533</v>
      </c>
      <c r="C17" s="1598">
        <f ca="1">ROUND(F17*(F43+INDIRECT("'数据-取费表'!S"&amp;$G$1)),0)</f>
        <v>0</v>
      </c>
      <c r="D17" s="1561" t="s">
        <v>1534</v>
      </c>
      <c r="E17" s="1561" t="s">
        <v>1535</v>
      </c>
      <c r="F17" s="1604">
        <f>'数据-取费表'!B35</f>
        <v>200</v>
      </c>
      <c r="G17" s="1601"/>
      <c r="H17" s="1593" t="s">
        <v>1218</v>
      </c>
      <c r="I17" s="1561" t="s">
        <v>1536</v>
      </c>
      <c r="J17" s="1619">
        <f ca="1">ROUND(IF(AND(项目基本情况!B11="自然人",项目基本情况!B10="北京市"),J6*M17/(1+'数据-取费表'!C42),J18+J19+J20),0)</f>
        <v>0</v>
      </c>
      <c r="K17" s="1595" t="s">
        <v>1537</v>
      </c>
      <c r="L17" s="1620" t="s">
        <v>1538</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1539</v>
      </c>
      <c r="B18" s="1561" t="s">
        <v>1540</v>
      </c>
      <c r="C18" s="1598">
        <f ca="1">ROUND(C14*F18,0)</f>
        <v>0</v>
      </c>
      <c r="D18" s="1561" t="s">
        <v>1527</v>
      </c>
      <c r="E18" s="1561" t="s">
        <v>1528</v>
      </c>
      <c r="F18" s="1603">
        <f>'数据-取费表'!B36</f>
        <v>0.015</v>
      </c>
      <c r="G18" s="1601"/>
      <c r="H18" s="1593" t="s">
        <v>1241</v>
      </c>
      <c r="I18" s="1561" t="s">
        <v>1541</v>
      </c>
      <c r="J18" s="1598">
        <f ca="1">ROUND(J6*M18/(1+'数据-取费表'!C42),0)</f>
        <v>0</v>
      </c>
      <c r="K18" s="1620" t="s">
        <v>1542</v>
      </c>
      <c r="L18" s="1561" t="s">
        <v>1528</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1218</v>
      </c>
      <c r="B19" s="1561" t="s">
        <v>1543</v>
      </c>
      <c r="C19" s="1598">
        <f ca="1">SUM(C14:C18)</f>
        <v>0</v>
      </c>
      <c r="D19" s="1605" t="s">
        <v>1544</v>
      </c>
      <c r="E19" s="1606"/>
      <c r="F19" s="1604"/>
      <c r="G19" s="645"/>
      <c r="H19" s="1593" t="s">
        <v>1245</v>
      </c>
      <c r="I19" s="1561" t="s">
        <v>1545</v>
      </c>
      <c r="J19" s="1598">
        <f ca="1">IF(K19="按租金收入计税",ROUND(J6*M19/(1+'数据-取费表'!C42),0),ROUND(C29*M19*0.7,0))</f>
        <v>0</v>
      </c>
      <c r="K19" s="1623" t="s">
        <v>1660</v>
      </c>
      <c r="L19" s="1561" t="s">
        <v>1528</v>
      </c>
      <c r="M19" s="1603">
        <f>IF(K19="按租金收入计税",'数据-取费表'!B51,'数据-取费表'!B50)</f>
        <v>0.012</v>
      </c>
    </row>
    <row r="20" s="1526" customFormat="1" ht="18" customHeight="1" spans="1:37">
      <c r="A20" s="1593" t="s">
        <v>1222</v>
      </c>
      <c r="B20" s="1561" t="s">
        <v>1547</v>
      </c>
      <c r="C20" s="1598">
        <f ca="1">ROUND(C19*F20,0)</f>
        <v>0</v>
      </c>
      <c r="D20" s="1607" t="s">
        <v>1548</v>
      </c>
      <c r="E20" s="1561" t="s">
        <v>1528</v>
      </c>
      <c r="F20" s="1603">
        <f>'数据-取费表'!B37</f>
        <v>0.02</v>
      </c>
      <c r="G20" s="1601"/>
      <c r="H20" s="1593" t="s">
        <v>1248</v>
      </c>
      <c r="I20" s="1560" t="s">
        <v>1549</v>
      </c>
      <c r="J20" s="1625">
        <f ca="1">ROUND(M20*M21,0)</f>
        <v>0</v>
      </c>
      <c r="K20" s="1626" t="s">
        <v>1550</v>
      </c>
      <c r="L20" s="1561" t="s">
        <v>1551</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1267</v>
      </c>
      <c r="B21" s="1561" t="s">
        <v>1552</v>
      </c>
      <c r="C21" s="1598" t="s">
        <v>124</v>
      </c>
      <c r="D21" s="1607" t="s">
        <v>1553</v>
      </c>
      <c r="E21" s="1561" t="s">
        <v>1554</v>
      </c>
      <c r="F21" s="1603">
        <f>'数据-取费表'!B38</f>
        <v>0.02</v>
      </c>
      <c r="G21" s="1601"/>
      <c r="H21" s="1608"/>
      <c r="I21" s="1727"/>
      <c r="J21" s="1629"/>
      <c r="K21" s="1630"/>
      <c r="L21" s="1561" t="s">
        <v>1555</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1270</v>
      </c>
      <c r="B22" s="1561" t="s">
        <v>1556</v>
      </c>
      <c r="C22" s="1598"/>
      <c r="D22" s="1605" t="str">
        <f>IF(F23&lt;=1,"单利计息。","复利计息。")&amp;"建造成本、管理费用、销售费用产生的利息。"</f>
        <v>复利计息。建造成本、管理费用、销售费用产生的利息。</v>
      </c>
      <c r="E22" s="1606"/>
      <c r="F22" s="1604"/>
      <c r="G22" s="645"/>
      <c r="H22" s="1593" t="s">
        <v>1222</v>
      </c>
      <c r="I22" s="1561" t="s">
        <v>1557</v>
      </c>
      <c r="J22" s="1598">
        <f ca="1">ROUND(J14*M22,0)</f>
        <v>0</v>
      </c>
      <c r="K22" s="1620" t="s">
        <v>1558</v>
      </c>
      <c r="L22" s="1561" t="s">
        <v>1528</v>
      </c>
      <c r="M22" s="1632">
        <f ca="1">INDIRECT("'数据-取费表'!Ak"&amp;$G$1)</f>
        <v>0</v>
      </c>
    </row>
    <row r="23" s="1526" customFormat="1" ht="18" customHeight="1" spans="1:37">
      <c r="A23" s="1593" t="s">
        <v>1241</v>
      </c>
      <c r="B23" s="1561" t="s">
        <v>1559</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1560</v>
      </c>
      <c r="F23" s="1610">
        <f>'数据-取费表'!B20</f>
        <v>2</v>
      </c>
      <c r="G23" s="1601"/>
      <c r="H23" s="1593" t="s">
        <v>1267</v>
      </c>
      <c r="I23" s="1561" t="s">
        <v>1561</v>
      </c>
      <c r="J23" s="1598">
        <f ca="1">ROUND(J13*M23,0)</f>
        <v>0</v>
      </c>
      <c r="K23" s="1620" t="s">
        <v>1562</v>
      </c>
      <c r="L23" s="1561" t="s">
        <v>1528</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1245</v>
      </c>
      <c r="B24" s="1561" t="s">
        <v>1563</v>
      </c>
      <c r="C24" s="1598">
        <f ca="1">ROUND(IF('数据-取费表'!B22&lt;=1,F21*F24*F23/2,F21*(POWER((1+F24),F23/2)-1)),4)</f>
        <v>0.001</v>
      </c>
      <c r="D24" s="1609" t="str">
        <f>IF(F23&lt;=1,"销售费用×利率×(建设周期÷2)","销售费用×((1+利率)^(建设周期÷2)-1)")</f>
        <v>销售费用×((1+利率)^(建设周期÷2)-1)</v>
      </c>
      <c r="E24" s="1561" t="s">
        <v>1564</v>
      </c>
      <c r="F24" s="1611">
        <f ca="1">'数据-取费表'!B40</f>
        <v>0.0475</v>
      </c>
      <c r="G24" s="1601"/>
      <c r="H24" s="1602" t="s">
        <v>1270</v>
      </c>
      <c r="I24" s="1586" t="s">
        <v>1547</v>
      </c>
      <c r="J24" s="1612">
        <f ca="1">ROUND(J5*M24,0)</f>
        <v>0</v>
      </c>
      <c r="K24" s="1613" t="s">
        <v>1565</v>
      </c>
      <c r="L24" s="1586" t="s">
        <v>1528</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1274</v>
      </c>
      <c r="B25" s="1561" t="s">
        <v>1566</v>
      </c>
      <c r="C25" s="1598"/>
      <c r="D25" s="1605" t="s">
        <v>1567</v>
      </c>
      <c r="E25" s="1606"/>
      <c r="F25" s="1604"/>
      <c r="G25" s="645"/>
      <c r="H25" s="1588" t="s">
        <v>1568</v>
      </c>
      <c r="I25" s="1634" t="s">
        <v>1569</v>
      </c>
      <c r="J25" s="1590">
        <f ca="1">J5-J16</f>
        <v>0</v>
      </c>
      <c r="K25" s="1635" t="s">
        <v>1570</v>
      </c>
      <c r="L25" s="1636"/>
      <c r="M25" s="1637"/>
    </row>
    <row r="26" ht="18" customHeight="1" spans="1:13">
      <c r="A26" s="1593" t="s">
        <v>1241</v>
      </c>
      <c r="B26" s="1561" t="s">
        <v>1571</v>
      </c>
      <c r="C26" s="1598">
        <f ca="1">ROUND((C19+C20)*F26,0)</f>
        <v>0</v>
      </c>
      <c r="D26" s="1607" t="s">
        <v>1572</v>
      </c>
      <c r="E26" s="1575" t="s">
        <v>1573</v>
      </c>
      <c r="F26" s="1571">
        <f ca="1">INDIRECT("'数据-取费表'!q"&amp;$G$1)</f>
        <v>0</v>
      </c>
      <c r="G26" s="645"/>
      <c r="H26" s="1551" t="s">
        <v>1574</v>
      </c>
      <c r="I26" s="1552" t="s">
        <v>1575</v>
      </c>
      <c r="J26" s="1638">
        <f ca="1">IF(J5&lt;&gt;0,ROUND(J25*(1-((1+M28)/(1+M26))^M27)/(M26-M28),0),0)</f>
        <v>0</v>
      </c>
      <c r="K26" s="1626" t="s">
        <v>1576</v>
      </c>
      <c r="L26" s="1561" t="s">
        <v>1577</v>
      </c>
      <c r="M26" s="1571">
        <f ca="1">INDIRECT("'数据-取费表'!I"&amp;$G$1)</f>
        <v>0</v>
      </c>
    </row>
    <row r="27" ht="18" customHeight="1" spans="1:13">
      <c r="A27" s="1593" t="s">
        <v>1245</v>
      </c>
      <c r="B27" s="1561" t="s">
        <v>1578</v>
      </c>
      <c r="C27" s="1598">
        <f ca="1">ROUND(F21*F26,4)</f>
        <v>0</v>
      </c>
      <c r="D27" s="1607" t="s">
        <v>1579</v>
      </c>
      <c r="E27" s="1599"/>
      <c r="F27" s="1600"/>
      <c r="G27" s="645"/>
      <c r="H27" s="1568"/>
      <c r="I27" s="1640"/>
      <c r="J27" s="1569"/>
      <c r="K27" s="1641" t="s">
        <v>1580</v>
      </c>
      <c r="L27" s="1561" t="s">
        <v>1581</v>
      </c>
      <c r="M27" s="1642">
        <f ca="1">INDIRECT("'数据-取费表'!ag"&amp;$G$1)</f>
        <v>0</v>
      </c>
    </row>
    <row r="28" s="1526" customFormat="1" ht="18" customHeight="1" spans="1:37">
      <c r="A28" s="1593" t="s">
        <v>1275</v>
      </c>
      <c r="B28" s="1561" t="s">
        <v>1582</v>
      </c>
      <c r="C28" s="1598">
        <f>ROUND(F28/(1+'数据-取费表'!C42),4)</f>
        <v>0.0533</v>
      </c>
      <c r="D28" s="1607" t="s">
        <v>1583</v>
      </c>
      <c r="E28" s="1561" t="s">
        <v>1528</v>
      </c>
      <c r="F28" s="1603">
        <f>'数据-取费表'!B41</f>
        <v>0.056</v>
      </c>
      <c r="G28" s="1601"/>
      <c r="H28" s="1577"/>
      <c r="I28" s="1644"/>
      <c r="J28" s="1590"/>
      <c r="K28" s="1630"/>
      <c r="L28" s="1561" t="s">
        <v>1584</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1585</v>
      </c>
      <c r="B29" s="1586" t="s">
        <v>1586</v>
      </c>
      <c r="C29" s="1612">
        <f ca="1">ROUND((C19+C20+C23+C26)/(1-F21-C24-C27-C28),0)</f>
        <v>0</v>
      </c>
      <c r="D29" s="1613"/>
      <c r="E29" s="1586"/>
      <c r="F29" s="1614"/>
      <c r="G29" s="1601"/>
      <c r="H29" s="1615" t="s">
        <v>1587</v>
      </c>
      <c r="I29" s="1645" t="s">
        <v>1588</v>
      </c>
      <c r="J29" s="1646">
        <f ca="1">ROUND(J26/(1+F40)^F41,0)</f>
        <v>0</v>
      </c>
      <c r="K29" s="1647" t="s">
        <v>1589</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532</v>
      </c>
      <c r="B30" s="1589" t="s">
        <v>1530</v>
      </c>
      <c r="C30" s="1590">
        <f ca="1">ROUND(C31+C36+C37+C38,0)</f>
        <v>0</v>
      </c>
      <c r="D30" s="1616" t="s">
        <v>1531</v>
      </c>
      <c r="E30" s="1617"/>
      <c r="F30" s="1556"/>
      <c r="G30" s="645"/>
      <c r="H30" s="1618"/>
      <c r="I30" s="1728"/>
      <c r="J30" s="1729"/>
      <c r="K30" s="1730"/>
      <c r="L30" s="1731"/>
      <c r="M30" s="1732"/>
    </row>
    <row r="31" ht="18" customHeight="1" spans="1:13">
      <c r="A31" s="1593" t="s">
        <v>1218</v>
      </c>
      <c r="B31" s="1561" t="s">
        <v>1536</v>
      </c>
      <c r="C31" s="1619">
        <f ca="1">ROUND(IF(AND(项目基本情况!B11="自然人",项目基本情况!B10="北京市"),C6*F31/(1+'数据-取费表'!C42),C32+C33+C34),0)</f>
        <v>0</v>
      </c>
      <c r="D31" s="1595" t="s">
        <v>1537</v>
      </c>
      <c r="E31" s="1620" t="s">
        <v>1538</v>
      </c>
      <c r="F31" s="1621" t="str">
        <f ca="1">IF(项目基本情况!B11="企业","——",IF('数据-取费表'!B10="住宅",IF(F6*F7*F8/12/(1+'数据-取费表'!F30)&gt;100000,4%,2.5%),IF(F6*F7*F8/12/(1+'数据-取费表'!F30)&gt;100000,12%,7%)))</f>
        <v>——</v>
      </c>
      <c r="G31" s="645"/>
      <c r="H31" s="1622" t="s">
        <v>1590</v>
      </c>
      <c r="I31" s="1728"/>
      <c r="J31" s="1729"/>
      <c r="K31" s="1730"/>
      <c r="L31" s="1731"/>
      <c r="M31" s="1732"/>
    </row>
    <row r="32" ht="18" customHeight="1" spans="1:13">
      <c r="A32" s="1593" t="s">
        <v>1241</v>
      </c>
      <c r="B32" s="1561" t="s">
        <v>1541</v>
      </c>
      <c r="C32" s="1598">
        <f ca="1">IF(项目基本情况!B11="自然人","——",ROUND(C6*F32/(1+'数据-取费表'!C42),0))</f>
        <v>0</v>
      </c>
      <c r="D32" s="1620" t="s">
        <v>1542</v>
      </c>
      <c r="E32" s="1561" t="s">
        <v>1528</v>
      </c>
      <c r="F32" s="1611">
        <f>'数据-取费表'!B41</f>
        <v>0.056</v>
      </c>
      <c r="G32" s="645"/>
      <c r="H32" s="1618"/>
      <c r="I32" s="1728"/>
      <c r="J32" s="1729"/>
      <c r="K32" s="1730"/>
      <c r="L32" s="1731"/>
      <c r="M32" s="1732"/>
    </row>
    <row r="33" ht="18" customHeight="1" spans="1:13">
      <c r="A33" s="1593" t="s">
        <v>1245</v>
      </c>
      <c r="B33" s="1561" t="s">
        <v>1545</v>
      </c>
      <c r="C33" s="1598">
        <f ca="1">IF(项目基本情况!B11="自然人","——",IF(D33="按租金收入计税",ROUND(C6*F33/(1+'数据-取费表'!C42),0),IF(D33="按房产原值计税",ROUND(C29*F33*0.7,0),INDIRECT("'数据-取费表'!Aj"&amp;$G$1))))</f>
        <v>0</v>
      </c>
      <c r="D33" s="1623" t="s">
        <v>1660</v>
      </c>
      <c r="E33" s="1561" t="s">
        <v>1528</v>
      </c>
      <c r="F33" s="1603">
        <f>IF(D33="按票据","——",IF(D33="按租金收入计税",'数据-取费表'!B51,'数据-取费表'!B50))</f>
        <v>0.012</v>
      </c>
      <c r="G33" s="645"/>
      <c r="H33" s="1624"/>
      <c r="I33" s="1728"/>
      <c r="J33" s="1729"/>
      <c r="K33" s="1733"/>
      <c r="L33" s="1624"/>
      <c r="M33" s="1624"/>
    </row>
    <row r="34" ht="18" customHeight="1" spans="1:13">
      <c r="A34" s="1557" t="s">
        <v>1248</v>
      </c>
      <c r="B34" s="1560" t="s">
        <v>1549</v>
      </c>
      <c r="C34" s="1625">
        <f ca="1">IF(项目基本情况!B11="自然人","——",ROUND(F34*F35,))</f>
        <v>0</v>
      </c>
      <c r="D34" s="1626" t="s">
        <v>1550</v>
      </c>
      <c r="E34" s="1561" t="s">
        <v>1551</v>
      </c>
      <c r="F34" s="1610">
        <f>'数据-取费表'!B52</f>
        <v>18</v>
      </c>
      <c r="G34" s="645"/>
      <c r="H34" s="1618"/>
      <c r="I34" s="1728"/>
      <c r="J34" s="1729"/>
      <c r="K34" s="1734"/>
      <c r="L34" s="1735"/>
      <c r="M34" s="1735"/>
    </row>
    <row r="35" ht="18" customHeight="1" spans="1:13">
      <c r="A35" s="1627"/>
      <c r="B35" s="1628"/>
      <c r="C35" s="1629"/>
      <c r="D35" s="1630"/>
      <c r="E35" s="1561" t="s">
        <v>1555</v>
      </c>
      <c r="F35" s="1562">
        <f ca="1">INDIRECT("'数据-取费表'!r"&amp;$G$1)</f>
        <v>0</v>
      </c>
      <c r="G35" s="645"/>
      <c r="H35" s="1618"/>
      <c r="I35" s="1728"/>
      <c r="J35" s="1729"/>
      <c r="K35" s="1733"/>
      <c r="L35" s="1624"/>
      <c r="M35" s="1624"/>
    </row>
    <row r="36" ht="18" customHeight="1" spans="1:13">
      <c r="A36" s="1631" t="s">
        <v>1222</v>
      </c>
      <c r="B36" s="1561" t="s">
        <v>1557</v>
      </c>
      <c r="C36" s="1598">
        <f ca="1">ROUND(C29*F36,0)</f>
        <v>0</v>
      </c>
      <c r="D36" s="1620" t="s">
        <v>1591</v>
      </c>
      <c r="E36" s="1561" t="s">
        <v>1528</v>
      </c>
      <c r="F36" s="1632">
        <f ca="1">INDIRECT("'数据-取费表'!Ak"&amp;$G$1)</f>
        <v>0</v>
      </c>
      <c r="G36" s="645"/>
      <c r="H36" s="1624"/>
      <c r="I36" s="1728"/>
      <c r="J36" s="1729"/>
      <c r="K36" s="1736"/>
      <c r="L36" s="1624"/>
      <c r="M36" s="1624"/>
    </row>
    <row r="37" ht="18" customHeight="1" spans="1:13">
      <c r="A37" s="1593" t="s">
        <v>1267</v>
      </c>
      <c r="B37" s="1561" t="s">
        <v>1561</v>
      </c>
      <c r="C37" s="1598">
        <f ca="1">ROUND(C13*F37,0)</f>
        <v>0</v>
      </c>
      <c r="D37" s="1620" t="s">
        <v>1562</v>
      </c>
      <c r="E37" s="1561" t="s">
        <v>1528</v>
      </c>
      <c r="F37" s="1633">
        <f ca="1">INDIRECT("'数据-取费表'!Al"&amp;$G$1)</f>
        <v>0</v>
      </c>
      <c r="G37" s="645"/>
      <c r="H37" s="1624"/>
      <c r="I37" s="1728"/>
      <c r="J37" s="1729"/>
      <c r="K37" s="1736"/>
      <c r="L37" s="1624"/>
      <c r="M37" s="1624"/>
    </row>
    <row r="38" ht="18" customHeight="1" spans="1:13">
      <c r="A38" s="1602" t="s">
        <v>1270</v>
      </c>
      <c r="B38" s="1586" t="s">
        <v>1547</v>
      </c>
      <c r="C38" s="1612">
        <f ca="1">ROUND(C5*F38,1)</f>
        <v>0</v>
      </c>
      <c r="D38" s="1613" t="s">
        <v>1565</v>
      </c>
      <c r="E38" s="1586" t="s">
        <v>1528</v>
      </c>
      <c r="F38" s="1587">
        <f ca="1">INDIRECT("'数据-取费表'!Am"&amp;$G$1)</f>
        <v>0</v>
      </c>
      <c r="G38" s="645"/>
      <c r="H38" s="1624"/>
      <c r="I38" s="1728"/>
      <c r="J38" s="1729"/>
      <c r="K38" s="1737"/>
      <c r="L38" s="1624"/>
      <c r="M38" s="1624"/>
    </row>
    <row r="39" ht="24.6" customHeight="1" spans="1:13">
      <c r="A39" s="1588" t="s">
        <v>1568</v>
      </c>
      <c r="B39" s="1634" t="s">
        <v>1569</v>
      </c>
      <c r="C39" s="1590">
        <f ca="1">C5-C30</f>
        <v>0</v>
      </c>
      <c r="D39" s="1635" t="s">
        <v>1570</v>
      </c>
      <c r="E39" s="1636"/>
      <c r="F39" s="1637"/>
      <c r="G39" s="645"/>
      <c r="H39" s="1624"/>
      <c r="I39" s="1728"/>
      <c r="J39" s="1729"/>
      <c r="K39" s="1737"/>
      <c r="L39" s="1624"/>
      <c r="M39" s="1624"/>
    </row>
    <row r="40" ht="18" customHeight="1" spans="1:13">
      <c r="A40" s="1551" t="s">
        <v>1574</v>
      </c>
      <c r="B40" s="1552" t="s">
        <v>1592</v>
      </c>
      <c r="C40" s="1638" t="e">
        <f ca="1">ROUND(C39*(1-((1+F42)/(1+F40))^F41)/(F40-F42),0)</f>
        <v>#DIV/0!</v>
      </c>
      <c r="D40" s="1626" t="s">
        <v>1576</v>
      </c>
      <c r="E40" s="1561" t="s">
        <v>1577</v>
      </c>
      <c r="F40" s="1571">
        <f ca="1">INDIRECT("'数据-取费表'!I"&amp;$G$1)</f>
        <v>0</v>
      </c>
      <c r="G40" s="645"/>
      <c r="H40" s="1639"/>
      <c r="I40" s="1728"/>
      <c r="J40" s="1729"/>
      <c r="K40" s="1737"/>
      <c r="L40" s="1639"/>
      <c r="M40" s="1639"/>
    </row>
    <row r="41" ht="18" customHeight="1" spans="1:13">
      <c r="A41" s="1568"/>
      <c r="B41" s="1640"/>
      <c r="C41" s="1569"/>
      <c r="D41" s="1641" t="s">
        <v>1580</v>
      </c>
      <c r="E41" s="1561" t="s">
        <v>1581</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1584</v>
      </c>
      <c r="F42" s="1571">
        <f ca="1">INDIRECT("'数据-取费表'!v"&amp;$G$1)</f>
        <v>0</v>
      </c>
      <c r="G42" s="645"/>
      <c r="H42" s="1643"/>
      <c r="I42" s="1728"/>
      <c r="J42" s="1729"/>
      <c r="K42" s="1736"/>
      <c r="L42" s="1643"/>
      <c r="M42" s="1643"/>
    </row>
    <row r="43" ht="18" customHeight="1" spans="1:13">
      <c r="A43" s="1615" t="s">
        <v>1587</v>
      </c>
      <c r="B43" s="1645" t="s">
        <v>1593</v>
      </c>
      <c r="C43" s="1646" t="e">
        <f ca="1">ROUND(C40/F43,0)</f>
        <v>#DIV/0!</v>
      </c>
      <c r="D43" s="1647" t="s">
        <v>1594</v>
      </c>
      <c r="E43" s="1648" t="s">
        <v>1595</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2087</v>
      </c>
      <c r="E45" s="1650"/>
      <c r="F45" s="1650"/>
      <c r="O45" s="1739" t="s">
        <v>1596</v>
      </c>
      <c r="P45" s="1639"/>
      <c r="Q45" s="1639"/>
      <c r="R45" s="1639"/>
    </row>
    <row r="46" s="645" customFormat="1" ht="13.5" spans="1:18">
      <c r="A46" s="1654" t="s">
        <v>1597</v>
      </c>
      <c r="C46" s="1655" t="e">
        <f ca="1">ROUND(C45/10000,0)</f>
        <v>#DIV/0!</v>
      </c>
      <c r="D46" s="1656" t="str">
        <f>C2</f>
        <v>万元</v>
      </c>
      <c r="I46" s="1740" t="s">
        <v>1598</v>
      </c>
      <c r="J46" s="1741"/>
      <c r="K46" s="1742"/>
      <c r="L46" s="1743" t="e">
        <f ca="1">IF(M47="住宅",0,IF(L48&gt;J51,L60,J60))</f>
        <v>#DIV/0!</v>
      </c>
      <c r="O46" s="1744" t="s">
        <v>1599</v>
      </c>
      <c r="P46" s="1745" t="s">
        <v>1600</v>
      </c>
      <c r="Q46" s="1791" t="s">
        <v>1601</v>
      </c>
      <c r="R46" s="1791" t="s">
        <v>1602</v>
      </c>
    </row>
    <row r="47" s="645" customFormat="1" ht="13.5" spans="1:18">
      <c r="A47" s="1657" t="s">
        <v>1499</v>
      </c>
      <c r="B47" s="1658" t="s">
        <v>1500</v>
      </c>
      <c r="C47" s="1658" t="s">
        <v>1501</v>
      </c>
      <c r="D47" s="1658" t="s">
        <v>1502</v>
      </c>
      <c r="E47" s="1659" t="s">
        <v>1503</v>
      </c>
      <c r="F47" s="1660"/>
      <c r="G47" s="1661"/>
      <c r="I47" s="1746" t="s">
        <v>1603</v>
      </c>
      <c r="J47" s="1747"/>
      <c r="K47" s="1748" t="s">
        <v>1604</v>
      </c>
      <c r="L47" s="1749">
        <f ca="1">INDIRECT("'数据-取费表'!d"&amp;$G$1)</f>
        <v>0</v>
      </c>
      <c r="M47" s="1750" t="str">
        <f>IF(ISNUMBER(FIND("住宅",C1)),"住宅","非住宅")</f>
        <v>非住宅</v>
      </c>
      <c r="O47" s="1751" t="s">
        <v>1605</v>
      </c>
      <c r="P47" s="1752" t="s">
        <v>1606</v>
      </c>
      <c r="Q47" s="1792" t="e">
        <f ca="1">C40+J29</f>
        <v>#DIV/0!</v>
      </c>
      <c r="R47" s="1792" t="s">
        <v>1607</v>
      </c>
    </row>
    <row r="48" s="645" customFormat="1" ht="26.25" spans="1:18">
      <c r="A48" s="1662" t="s">
        <v>1608</v>
      </c>
      <c r="B48" s="1552" t="s">
        <v>1504</v>
      </c>
      <c r="C48" s="1663">
        <f ca="1">C49+C53+C55</f>
        <v>0</v>
      </c>
      <c r="D48" s="1664"/>
      <c r="E48" s="1665"/>
      <c r="F48" s="1666"/>
      <c r="G48" s="1661"/>
      <c r="H48" s="1667"/>
      <c r="I48" s="707" t="s">
        <v>1609</v>
      </c>
      <c r="J48" s="1753"/>
      <c r="K48" s="1754" t="s">
        <v>1611</v>
      </c>
      <c r="L48" s="1755">
        <f ca="1">INDIRECT("'数据-取费表'!f"&amp;$G$1)</f>
        <v>0</v>
      </c>
      <c r="O48" s="1751" t="s">
        <v>1612</v>
      </c>
      <c r="P48" s="1752" t="s">
        <v>1613</v>
      </c>
      <c r="Q48" s="1792" t="e">
        <f ca="1">J60</f>
        <v>#DIV/0!</v>
      </c>
      <c r="R48" s="1792" t="s">
        <v>1614</v>
      </c>
    </row>
    <row r="49" s="645" customFormat="1" ht="13.5" spans="1:18">
      <c r="A49" s="1668" t="s">
        <v>1615</v>
      </c>
      <c r="B49" s="1669" t="s">
        <v>1616</v>
      </c>
      <c r="C49" s="1670">
        <f ca="1">ROUND(F49*F51*F50*(1-F52),0)</f>
        <v>0</v>
      </c>
      <c r="D49" s="1671" t="s">
        <v>2088</v>
      </c>
      <c r="E49" s="1672" t="s">
        <v>1617</v>
      </c>
      <c r="F49" s="1673"/>
      <c r="G49" s="1674"/>
      <c r="H49" s="1667"/>
      <c r="I49" s="707" t="s">
        <v>1618</v>
      </c>
      <c r="J49" s="1756"/>
      <c r="K49" s="1754" t="s">
        <v>1619</v>
      </c>
      <c r="L49" s="1757"/>
      <c r="O49" s="1758" t="s">
        <v>1620</v>
      </c>
      <c r="P49" s="1752" t="s">
        <v>1621</v>
      </c>
      <c r="Q49" s="1792">
        <f ca="1">C29</f>
        <v>0</v>
      </c>
      <c r="R49" s="1792" t="s">
        <v>1607</v>
      </c>
    </row>
    <row r="50" s="645" customFormat="1" ht="13.5" spans="1:18">
      <c r="A50" s="1675"/>
      <c r="B50" s="1676"/>
      <c r="C50" s="1677"/>
      <c r="D50" s="1678"/>
      <c r="E50" s="1679" t="s">
        <v>1510</v>
      </c>
      <c r="F50" s="1680">
        <f ca="1">F7</f>
        <v>0</v>
      </c>
      <c r="H50" s="1667"/>
      <c r="I50" s="707" t="s">
        <v>1622</v>
      </c>
      <c r="J50" s="1759">
        <f>SUMPRODUCT((I63:I65=J47)*(J62:L62=J48)*(J63:L65))</f>
        <v>0</v>
      </c>
      <c r="K50" s="1754" t="s">
        <v>1623</v>
      </c>
      <c r="L50" s="1757"/>
      <c r="M50" s="1760"/>
      <c r="O50" s="1758" t="s">
        <v>1624</v>
      </c>
      <c r="P50" s="1752" t="s">
        <v>1625</v>
      </c>
      <c r="Q50" s="1793" t="e">
        <f ca="1">J58</f>
        <v>#DIV/0!</v>
      </c>
      <c r="R50" s="1792"/>
    </row>
    <row r="51" s="645" customFormat="1" ht="13.5" spans="1:18">
      <c r="A51" s="1681"/>
      <c r="B51" s="1676"/>
      <c r="C51" s="1677"/>
      <c r="D51" s="1678"/>
      <c r="E51" s="1682" t="s">
        <v>1511</v>
      </c>
      <c r="F51" s="1562">
        <f ca="1">F8</f>
        <v>0</v>
      </c>
      <c r="I51" s="1761" t="s">
        <v>1626</v>
      </c>
      <c r="J51" s="1762">
        <f>IF(J49="",J50,J49+J50-YEAR('数据-取费表'!B2))</f>
        <v>0</v>
      </c>
      <c r="K51" s="1763" t="s">
        <v>1627</v>
      </c>
      <c r="L51" s="1764">
        <f ca="1">ROUND(-PV(INDIRECT("'数据-取费表'!h"&amp;$G$1),J51,(C39-C13*C76),0),0)</f>
        <v>0</v>
      </c>
      <c r="M51" s="1765"/>
      <c r="O51" s="1758" t="s">
        <v>1628</v>
      </c>
      <c r="P51" s="1752" t="s">
        <v>1629</v>
      </c>
      <c r="Q51" s="1793">
        <f>J52</f>
        <v>0</v>
      </c>
      <c r="R51" s="1792"/>
    </row>
    <row r="52" s="645" customFormat="1" ht="13.5" spans="1:18">
      <c r="A52" s="1681"/>
      <c r="B52" s="1676"/>
      <c r="C52" s="1677"/>
      <c r="D52" s="1678"/>
      <c r="E52" s="1682" t="s">
        <v>1512</v>
      </c>
      <c r="F52" s="1683"/>
      <c r="I52" s="1766" t="s">
        <v>1630</v>
      </c>
      <c r="J52" s="1767"/>
      <c r="K52" s="1766" t="s">
        <v>1631</v>
      </c>
      <c r="L52" s="1767"/>
      <c r="O52" s="1758" t="s">
        <v>1632</v>
      </c>
      <c r="P52" s="1752" t="s">
        <v>1633</v>
      </c>
      <c r="Q52" s="1792">
        <f ca="1">J53</f>
        <v>0</v>
      </c>
      <c r="R52" s="1792" t="s">
        <v>1634</v>
      </c>
    </row>
    <row r="53" s="645" customFormat="1" ht="30.75" customHeight="1" spans="1:18">
      <c r="A53" s="1684" t="s">
        <v>1635</v>
      </c>
      <c r="B53" s="1607" t="s">
        <v>1513</v>
      </c>
      <c r="C53" s="1573">
        <f ca="1">ROUND(IF(F53="押一",C49/12*F11,IF(F53="押二",C49/12*2*F11,IF(F53="押三",C49/12*3*F11,C54*F11))),0)</f>
        <v>0</v>
      </c>
      <c r="D53" s="1574" t="s">
        <v>2089</v>
      </c>
      <c r="E53" s="1575" t="s">
        <v>1515</v>
      </c>
      <c r="F53" s="1576"/>
      <c r="I53" s="1768" t="s">
        <v>1636</v>
      </c>
      <c r="J53" s="1769">
        <f ca="1">IF(M47="住宅",IF(D1="——",MAX(J51,L48),MAX(J51,L48-'数据-取费表'!B24)),IF(D1="——",MIN(J51,L48),MIN(J51,L48-'数据-取费表'!B24)))</f>
        <v>0</v>
      </c>
      <c r="K53" s="1770" t="s">
        <v>1637</v>
      </c>
      <c r="L53" s="1771"/>
      <c r="O53" s="1751" t="s">
        <v>1638</v>
      </c>
      <c r="P53" s="1752" t="s">
        <v>1639</v>
      </c>
      <c r="Q53" s="1792" t="e">
        <f ca="1">Q47+Q48</f>
        <v>#DIV/0!</v>
      </c>
      <c r="R53" s="1792" t="s">
        <v>1640</v>
      </c>
    </row>
    <row r="54" s="645" customFormat="1" ht="13.5" spans="1:18">
      <c r="A54" s="1668"/>
      <c r="B54" s="1685" t="s">
        <v>2086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1641</v>
      </c>
      <c r="P54" s="1774"/>
      <c r="Q54" s="1774"/>
      <c r="R54" s="1774"/>
    </row>
    <row r="55" s="645" customFormat="1" ht="13.5" spans="1:18">
      <c r="A55" s="1582" t="s">
        <v>1267</v>
      </c>
      <c r="B55" s="1583" t="s">
        <v>1519</v>
      </c>
      <c r="C55" s="1584"/>
      <c r="D55" s="1574"/>
      <c r="E55" s="1686"/>
      <c r="F55" s="1687"/>
      <c r="I55" s="1775" t="s">
        <v>1642</v>
      </c>
      <c r="J55" s="1776" t="e">
        <f ca="1">ROUND(IF(J47="钢混",J57/J50,1-(1-2%)*(J50-J57)/J50),3)</f>
        <v>#DIV/0!</v>
      </c>
      <c r="K55" s="1777" t="s">
        <v>1643</v>
      </c>
      <c r="L55" s="1778"/>
      <c r="O55" s="1744" t="s">
        <v>1599</v>
      </c>
      <c r="P55" s="1745" t="s">
        <v>1600</v>
      </c>
      <c r="Q55" s="1791" t="s">
        <v>1601</v>
      </c>
      <c r="R55" s="1791" t="s">
        <v>1602</v>
      </c>
    </row>
    <row r="56" s="645" customFormat="1" ht="36" customHeight="1" spans="1:18">
      <c r="A56" s="1688">
        <v>2</v>
      </c>
      <c r="B56" s="1689" t="s">
        <v>1520</v>
      </c>
      <c r="C56" s="183">
        <f ca="1">C13</f>
        <v>0</v>
      </c>
      <c r="D56" s="1690"/>
      <c r="E56" s="1691"/>
      <c r="F56" s="1687"/>
      <c r="I56" s="1779" t="s">
        <v>1645</v>
      </c>
      <c r="J56" s="1780"/>
      <c r="K56" s="707" t="s">
        <v>1646</v>
      </c>
      <c r="L56" s="1755">
        <f ca="1">IF(L48&lt;J51,"——",L48-J51)</f>
        <v>0</v>
      </c>
      <c r="O56" s="1751" t="s">
        <v>1605</v>
      </c>
      <c r="P56" s="1752" t="s">
        <v>1606</v>
      </c>
      <c r="Q56" s="1792" t="e">
        <f ca="1">C40+J29</f>
        <v>#DIV/0!</v>
      </c>
      <c r="R56" s="1792" t="s">
        <v>1607</v>
      </c>
    </row>
    <row r="57" s="645" customFormat="1" ht="24.75" spans="1:18">
      <c r="A57" s="1692"/>
      <c r="B57" s="1693" t="s">
        <v>1586</v>
      </c>
      <c r="C57" s="193">
        <f ca="1">C29</f>
        <v>0</v>
      </c>
      <c r="D57" s="1694"/>
      <c r="E57" s="1695"/>
      <c r="F57" s="1696"/>
      <c r="I57" s="1781" t="s">
        <v>1647</v>
      </c>
      <c r="J57" s="1782">
        <f ca="1">IF(OR(M47="住宅",J51&lt;L48,J56="是"),"——",J51-L48)</f>
        <v>0</v>
      </c>
      <c r="K57" s="707" t="s">
        <v>2090</v>
      </c>
      <c r="L57" s="1755">
        <f ca="1">IF(L48&lt;J51,"——",IF(L55="比较法",L49,IF(L55="基准地价",L50,L51)))</f>
        <v>0</v>
      </c>
      <c r="O57" s="1751" t="s">
        <v>1612</v>
      </c>
      <c r="P57" s="1752" t="s">
        <v>1649</v>
      </c>
      <c r="Q57" s="1792" t="e">
        <f ca="1">L60</f>
        <v>#DIV/0!</v>
      </c>
      <c r="R57" s="1792" t="s">
        <v>1650</v>
      </c>
    </row>
    <row r="58" s="645" customFormat="1" ht="24.75" spans="1:18">
      <c r="A58" s="1697" t="s">
        <v>532</v>
      </c>
      <c r="B58" s="1689" t="s">
        <v>1530</v>
      </c>
      <c r="C58" s="1573">
        <f ca="1">ROUND(C59+C64+C65+C66,0)</f>
        <v>0</v>
      </c>
      <c r="D58" s="1698" t="s">
        <v>1531</v>
      </c>
      <c r="E58" s="1699"/>
      <c r="F58" s="1666"/>
      <c r="I58" s="1781" t="s">
        <v>1651</v>
      </c>
      <c r="J58" s="1783" t="e">
        <f ca="1">IF(J55&lt;0.4,0.4,J55)</f>
        <v>#DIV/0!</v>
      </c>
      <c r="K58" s="1763" t="s">
        <v>2091</v>
      </c>
      <c r="L58" s="1755" t="e">
        <f ca="1">ROUND(POWER(1+L52,L47-L48)*(POWER(1+L52,L48)-1)/(POWER(1+L52,L47)-1),4)</f>
        <v>#DIV/0!</v>
      </c>
      <c r="O58" s="1758" t="s">
        <v>1620</v>
      </c>
      <c r="P58" s="1752" t="s">
        <v>1653</v>
      </c>
      <c r="Q58" s="1792">
        <f>IF(L55="比较法",L49,IF(L55="基准地价",L50,0))</f>
        <v>0</v>
      </c>
      <c r="R58" s="1792" t="s">
        <v>1607</v>
      </c>
    </row>
    <row r="59" s="645" customFormat="1" ht="24.75" spans="1:18">
      <c r="A59" s="1593" t="s">
        <v>1218</v>
      </c>
      <c r="B59" s="1693" t="s">
        <v>1536</v>
      </c>
      <c r="C59" s="1619">
        <f ca="1">ROUND(IF(AND(项目基本情况!B11="自然人",项目基本情况!B10="北京市"),C49*F59/(1+'数据-取费表'!C42),C60+C61+C62),0)</f>
        <v>0</v>
      </c>
      <c r="D59" s="1700" t="s">
        <v>1537</v>
      </c>
      <c r="E59" s="1701" t="s">
        <v>1538</v>
      </c>
      <c r="F59" s="1621" t="str">
        <f ca="1">IF(项目基本情况!B11="企业","——",IF('数据-取费表'!B10="住宅",IF(F49*F50*F51/12/(1+'数据-取费表'!F30)&gt;100000,4%,2.5%),IF(F49*F50*F51/12/(1+'数据-取费表'!F30)&gt;100000,12%,7%)))</f>
        <v>——</v>
      </c>
      <c r="I59" s="1781" t="s">
        <v>1654</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1624</v>
      </c>
      <c r="P59" s="1752" t="s">
        <v>1655</v>
      </c>
      <c r="Q59" s="1793">
        <f>L52</f>
        <v>0</v>
      </c>
      <c r="R59" s="1792"/>
    </row>
    <row r="60" s="645" customFormat="1" ht="17.25" spans="1:18">
      <c r="A60" s="1593" t="s">
        <v>1241</v>
      </c>
      <c r="B60" s="1693" t="s">
        <v>1541</v>
      </c>
      <c r="C60" s="1598">
        <f ca="1">IF(项目基本情况!B11="自然人","——",ROUND(C48*F60/(1+'数据-取费表'!C42),0))</f>
        <v>0</v>
      </c>
      <c r="D60" s="1701" t="s">
        <v>1542</v>
      </c>
      <c r="E60" s="1693" t="s">
        <v>1528</v>
      </c>
      <c r="F60" s="1611">
        <f t="shared" ref="F60:F66" si="0">F32</f>
        <v>0.056</v>
      </c>
      <c r="I60" s="1784" t="s">
        <v>1656</v>
      </c>
      <c r="J60" s="1785" t="e">
        <f ca="1">IF(OR(M47="住宅",J51&lt;L48,J56="是"),"0",ROUND(J59/(1+J52)^J53,0))</f>
        <v>#DIV/0!</v>
      </c>
      <c r="K60" s="1786" t="s">
        <v>1657</v>
      </c>
      <c r="L60" s="1785" t="e">
        <f ca="1">IF(OR(M47="住宅",L48&lt;J51),0,ROUND(L57*(L58/L59-1),0))</f>
        <v>#DIV/0!</v>
      </c>
      <c r="O60" s="1758" t="s">
        <v>1628</v>
      </c>
      <c r="P60" s="1752" t="s">
        <v>1658</v>
      </c>
      <c r="Q60" s="1792" t="e">
        <f ca="1">L58</f>
        <v>#DIV/0!</v>
      </c>
      <c r="R60" s="1792" t="s">
        <v>1659</v>
      </c>
    </row>
    <row r="61" s="645" customFormat="1" ht="13.5" spans="1:18">
      <c r="A61" s="1593" t="s">
        <v>1245</v>
      </c>
      <c r="B61" s="1693" t="s">
        <v>1545</v>
      </c>
      <c r="C61" s="1598">
        <f ca="1">IF(项目基本情况!B11="自然人","——",IF(D61="按租金收入计税",ROUND(C48*F61,0),IF(D61="按房产原值计税",ROUND(C57*F61*0.7,0),INDIRECT("'数据-取费表'!Aj"&amp;$G$1))))</f>
        <v>0</v>
      </c>
      <c r="D61" s="1623" t="s">
        <v>1660</v>
      </c>
      <c r="E61" s="1693" t="s">
        <v>1528</v>
      </c>
      <c r="F61" s="1603">
        <f t="shared" si="0"/>
        <v>0.012</v>
      </c>
      <c r="I61" s="1639"/>
      <c r="J61" s="1639"/>
      <c r="K61" s="1639"/>
      <c r="L61" s="1639"/>
      <c r="O61" s="1758" t="s">
        <v>1632</v>
      </c>
      <c r="P61" s="1752" t="str">
        <f>K59</f>
        <v>建设期及建筑物耐用年限下的土地年期修正系数Kn</v>
      </c>
      <c r="Q61" s="1792" t="e">
        <f ca="1">L59</f>
        <v>#DIV/0!</v>
      </c>
      <c r="R61" s="1792" t="s">
        <v>1661</v>
      </c>
    </row>
    <row r="62" s="645" customFormat="1" ht="13.5" spans="1:18">
      <c r="A62" s="1593" t="s">
        <v>1248</v>
      </c>
      <c r="B62" s="1702" t="s">
        <v>1549</v>
      </c>
      <c r="C62" s="1625">
        <f ca="1">IF(项目基本情况!B11="自然人","——",ROUND(F62*F63,0))</f>
        <v>0</v>
      </c>
      <c r="D62" s="1703" t="s">
        <v>1550</v>
      </c>
      <c r="E62" s="1693" t="s">
        <v>1551</v>
      </c>
      <c r="F62" s="1610">
        <f t="shared" si="0"/>
        <v>18</v>
      </c>
      <c r="I62" s="1787" t="s">
        <v>1662</v>
      </c>
      <c r="J62" s="1788" t="s">
        <v>1663</v>
      </c>
      <c r="K62" s="1788" t="s">
        <v>1664</v>
      </c>
      <c r="L62" s="1788" t="s">
        <v>1665</v>
      </c>
      <c r="M62" s="1789" t="s">
        <v>1666</v>
      </c>
      <c r="O62" s="1751" t="s">
        <v>1638</v>
      </c>
      <c r="P62" s="1752" t="s">
        <v>1639</v>
      </c>
      <c r="Q62" s="1792" t="e">
        <f ca="1">Q56+Q57</f>
        <v>#DIV/0!</v>
      </c>
      <c r="R62" s="1792" t="s">
        <v>1640</v>
      </c>
    </row>
    <row r="63" s="645" customFormat="1" ht="13.5" spans="1:18">
      <c r="A63" s="1608"/>
      <c r="B63" s="1704"/>
      <c r="C63" s="1629"/>
      <c r="D63" s="1705"/>
      <c r="E63" s="1693" t="s">
        <v>1555</v>
      </c>
      <c r="F63" s="1562">
        <f ca="1" t="shared" si="0"/>
        <v>0</v>
      </c>
      <c r="I63" s="1787" t="s">
        <v>1667</v>
      </c>
      <c r="J63" s="1788">
        <v>70</v>
      </c>
      <c r="K63" s="1788">
        <v>50</v>
      </c>
      <c r="L63" s="1788">
        <v>80</v>
      </c>
      <c r="M63" s="1790">
        <v>0.02</v>
      </c>
      <c r="O63" s="1739" t="s">
        <v>1668</v>
      </c>
      <c r="P63" s="1774"/>
      <c r="Q63" s="1774"/>
      <c r="R63" s="1774"/>
    </row>
    <row r="64" s="645" customFormat="1" ht="13.5" spans="1:18">
      <c r="A64" s="1593" t="s">
        <v>1222</v>
      </c>
      <c r="B64" s="1693" t="s">
        <v>1557</v>
      </c>
      <c r="C64" s="1598">
        <f ca="1">ROUND(C57*F64,0)</f>
        <v>0</v>
      </c>
      <c r="D64" s="1701" t="s">
        <v>1591</v>
      </c>
      <c r="E64" s="1693" t="s">
        <v>1528</v>
      </c>
      <c r="F64" s="1632">
        <f ca="1" t="shared" si="0"/>
        <v>0</v>
      </c>
      <c r="I64" s="1787" t="s">
        <v>1669</v>
      </c>
      <c r="J64" s="1788">
        <v>50</v>
      </c>
      <c r="K64" s="1788">
        <v>35</v>
      </c>
      <c r="L64" s="1788">
        <v>60</v>
      </c>
      <c r="M64" s="1789">
        <v>0</v>
      </c>
      <c r="O64" s="1744" t="s">
        <v>1599</v>
      </c>
      <c r="P64" s="1745" t="s">
        <v>1600</v>
      </c>
      <c r="Q64" s="1791" t="s">
        <v>1601</v>
      </c>
      <c r="R64" s="1791" t="s">
        <v>1602</v>
      </c>
    </row>
    <row r="65" s="645" customFormat="1" ht="13.5" spans="1:18">
      <c r="A65" s="1593" t="s">
        <v>1267</v>
      </c>
      <c r="B65" s="1693" t="s">
        <v>1561</v>
      </c>
      <c r="C65" s="1598">
        <f ca="1">ROUND(C56*F65,0)</f>
        <v>0</v>
      </c>
      <c r="D65" s="1701" t="s">
        <v>1562</v>
      </c>
      <c r="E65" s="1693" t="s">
        <v>1528</v>
      </c>
      <c r="F65" s="1633">
        <f ca="1" t="shared" si="0"/>
        <v>0</v>
      </c>
      <c r="I65" s="1787" t="s">
        <v>1670</v>
      </c>
      <c r="J65" s="1788">
        <v>40</v>
      </c>
      <c r="K65" s="1788">
        <v>30</v>
      </c>
      <c r="L65" s="1788">
        <v>50</v>
      </c>
      <c r="M65" s="1790">
        <v>0.02</v>
      </c>
      <c r="O65" s="1751" t="s">
        <v>1605</v>
      </c>
      <c r="P65" s="1752" t="s">
        <v>1606</v>
      </c>
      <c r="Q65" s="1792" t="e">
        <f ca="1">C40+J29</f>
        <v>#DIV/0!</v>
      </c>
      <c r="R65" s="1792" t="s">
        <v>1607</v>
      </c>
    </row>
    <row r="66" s="645" customFormat="1" ht="17.25" spans="1:18">
      <c r="A66" s="1593" t="s">
        <v>1270</v>
      </c>
      <c r="B66" s="1693" t="s">
        <v>1547</v>
      </c>
      <c r="C66" s="1598">
        <f ca="1">ROUND(C48*F66,0)</f>
        <v>0</v>
      </c>
      <c r="D66" s="1701" t="s">
        <v>1565</v>
      </c>
      <c r="E66" s="1693" t="s">
        <v>1528</v>
      </c>
      <c r="F66" s="1571">
        <f ca="1" t="shared" si="0"/>
        <v>0</v>
      </c>
      <c r="O66" s="1751" t="s">
        <v>1612</v>
      </c>
      <c r="P66" s="1752" t="s">
        <v>1649</v>
      </c>
      <c r="Q66" s="1792" t="e">
        <f ca="1">L60</f>
        <v>#DIV/0!</v>
      </c>
      <c r="R66" s="1792" t="s">
        <v>1650</v>
      </c>
    </row>
    <row r="67" s="645" customFormat="1" ht="17.25" spans="1:18">
      <c r="A67" s="1688" t="s">
        <v>1568</v>
      </c>
      <c r="B67" s="1794" t="s">
        <v>1569</v>
      </c>
      <c r="C67" s="1573">
        <f ca="1">C48-C58</f>
        <v>0</v>
      </c>
      <c r="D67" s="1700" t="s">
        <v>1570</v>
      </c>
      <c r="E67" s="1795"/>
      <c r="F67" s="1796"/>
      <c r="O67" s="1758" t="s">
        <v>1620</v>
      </c>
      <c r="P67" s="1752" t="s">
        <v>1653</v>
      </c>
      <c r="Q67" s="1817">
        <f ca="1">L51</f>
        <v>0</v>
      </c>
      <c r="R67" s="1792" t="s">
        <v>1671</v>
      </c>
    </row>
    <row r="68" s="645" customFormat="1" ht="17.25" spans="1:18">
      <c r="A68" s="1797" t="s">
        <v>1574</v>
      </c>
      <c r="B68" s="1798" t="s">
        <v>1592</v>
      </c>
      <c r="C68" s="1638" t="e">
        <f ca="1">ROUND(C67*(1-((1+F70)/(1+F68))^F69)/(F68-F70),0)</f>
        <v>#DIV/0!</v>
      </c>
      <c r="D68" s="1703" t="s">
        <v>1576</v>
      </c>
      <c r="E68" s="1693" t="s">
        <v>1577</v>
      </c>
      <c r="F68" s="1571">
        <f ca="1">F40</f>
        <v>0</v>
      </c>
      <c r="O68" s="1758" t="s">
        <v>1624</v>
      </c>
      <c r="P68" s="1816" t="s">
        <v>1672</v>
      </c>
      <c r="Q68" s="1792">
        <f ca="1">ROUND(Q69-Q70*Q71,0)</f>
        <v>0</v>
      </c>
      <c r="R68" s="1792" t="s">
        <v>1673</v>
      </c>
    </row>
    <row r="69" s="645" customFormat="1" ht="13.5" spans="1:18">
      <c r="A69" s="1799"/>
      <c r="B69" s="1800"/>
      <c r="C69" s="1569"/>
      <c r="D69" s="1801" t="s">
        <v>1580</v>
      </c>
      <c r="E69" s="1693" t="s">
        <v>1581</v>
      </c>
      <c r="F69" s="1642">
        <f ca="1">F41</f>
        <v>0</v>
      </c>
      <c r="O69" s="1758" t="s">
        <v>1674</v>
      </c>
      <c r="P69" s="1816" t="s">
        <v>1675</v>
      </c>
      <c r="Q69" s="1792">
        <f ca="1">C39</f>
        <v>0</v>
      </c>
      <c r="R69" s="1792" t="s">
        <v>1607</v>
      </c>
    </row>
    <row r="70" s="645" customFormat="1" ht="13.5" spans="1:18">
      <c r="A70" s="1802"/>
      <c r="B70" s="1803"/>
      <c r="C70" s="1590"/>
      <c r="D70" s="1705"/>
      <c r="E70" s="1693" t="s">
        <v>1584</v>
      </c>
      <c r="F70" s="1683">
        <f ca="1">F42</f>
        <v>0</v>
      </c>
      <c r="O70" s="1758" t="s">
        <v>1676</v>
      </c>
      <c r="P70" s="1816" t="s">
        <v>1677</v>
      </c>
      <c r="Q70" s="1792">
        <f ca="1">C13</f>
        <v>0</v>
      </c>
      <c r="R70" s="1792" t="s">
        <v>1607</v>
      </c>
    </row>
    <row r="71" s="645" customFormat="1" ht="13.5" spans="1:18">
      <c r="A71" s="1804" t="s">
        <v>1587</v>
      </c>
      <c r="B71" s="1805" t="s">
        <v>1593</v>
      </c>
      <c r="C71" s="1646" t="e">
        <f ca="1">ROUND(C68/F71,0)</f>
        <v>#DIV/0!</v>
      </c>
      <c r="D71" s="1806" t="s">
        <v>1594</v>
      </c>
      <c r="E71" s="1807" t="s">
        <v>1595</v>
      </c>
      <c r="F71" s="1649">
        <f ca="1">F43</f>
        <v>0</v>
      </c>
      <c r="O71" s="1758" t="s">
        <v>1678</v>
      </c>
      <c r="P71" s="1816" t="s">
        <v>1679</v>
      </c>
      <c r="Q71" s="1793">
        <f ca="1">C76</f>
        <v>0</v>
      </c>
      <c r="R71" s="1792"/>
    </row>
    <row r="72" s="645" customFormat="1" ht="13.5" spans="2:18">
      <c r="B72" s="1808"/>
      <c r="C72" s="1808"/>
      <c r="O72" s="1758" t="s">
        <v>1628</v>
      </c>
      <c r="P72" s="1752" t="s">
        <v>1655</v>
      </c>
      <c r="Q72" s="1793">
        <f>L52</f>
        <v>0</v>
      </c>
      <c r="R72" s="1792"/>
    </row>
    <row r="73" ht="17.25" spans="1:18">
      <c r="A73" s="645"/>
      <c r="B73" s="1808"/>
      <c r="C73" s="1808"/>
      <c r="D73" s="645"/>
      <c r="E73" s="645"/>
      <c r="F73" s="645"/>
      <c r="O73" s="1758" t="s">
        <v>1632</v>
      </c>
      <c r="P73" s="1752" t="s">
        <v>1658</v>
      </c>
      <c r="Q73" s="1792" t="e">
        <f ca="1">L58</f>
        <v>#DIV/0!</v>
      </c>
      <c r="R73" s="1792" t="s">
        <v>1659</v>
      </c>
    </row>
    <row r="74" ht="13.5" spans="1:18">
      <c r="A74" s="645"/>
      <c r="B74" s="228" t="s">
        <v>1680</v>
      </c>
      <c r="C74" s="1809"/>
      <c r="D74" s="645"/>
      <c r="E74" s="645"/>
      <c r="F74" s="645"/>
      <c r="O74" s="1758" t="s">
        <v>1681</v>
      </c>
      <c r="P74" s="1752" t="str">
        <f>K59</f>
        <v>建设期及建筑物耐用年限下的土地年期修正系数Kn</v>
      </c>
      <c r="Q74" s="1792" t="e">
        <f ca="1">L59</f>
        <v>#DIV/0!</v>
      </c>
      <c r="R74" s="1792" t="s">
        <v>1661</v>
      </c>
    </row>
    <row r="75" ht="13.5" spans="1:18">
      <c r="A75" s="645"/>
      <c r="B75" s="1810" t="s">
        <v>1682</v>
      </c>
      <c r="C75" s="1811">
        <f ca="1">ROUND(C13*C76,0)</f>
        <v>0</v>
      </c>
      <c r="D75" s="645"/>
      <c r="E75" s="645"/>
      <c r="F75" s="645"/>
      <c r="K75" s="1738"/>
      <c r="L75" s="645"/>
      <c r="O75" s="1751" t="s">
        <v>1638</v>
      </c>
      <c r="P75" s="1752" t="s">
        <v>1639</v>
      </c>
      <c r="Q75" s="1792" t="e">
        <f ca="1">Q65+Q66</f>
        <v>#DIV/0!</v>
      </c>
      <c r="R75" s="1792" t="s">
        <v>1640</v>
      </c>
    </row>
    <row r="76" spans="2:12">
      <c r="B76" s="450" t="s">
        <v>1683</v>
      </c>
      <c r="C76" s="1812">
        <f ca="1">INDIRECT("'数据-取费表'!j"&amp;$G$1)</f>
        <v>0</v>
      </c>
      <c r="I76" s="645"/>
      <c r="J76" s="645"/>
      <c r="K76" s="1738"/>
      <c r="L76" s="645"/>
    </row>
    <row r="77" spans="2:12">
      <c r="B77" s="1813" t="s">
        <v>1684</v>
      </c>
      <c r="C77" s="1814"/>
      <c r="I77" s="645"/>
      <c r="J77" s="645"/>
      <c r="K77" s="1738"/>
      <c r="L77" s="645"/>
    </row>
    <row r="78" spans="2:3">
      <c r="B78" s="226" t="s">
        <v>1685</v>
      </c>
      <c r="C78" s="1815"/>
    </row>
    <row r="79" spans="2:3">
      <c r="B79" s="1810" t="s">
        <v>1686</v>
      </c>
      <c r="C79" s="229" t="e">
        <f ca="1">1-C80</f>
        <v>#DIV/0!</v>
      </c>
    </row>
    <row r="80" spans="2:3">
      <c r="B80" s="1810" t="s">
        <v>1687</v>
      </c>
      <c r="C80" s="229" t="e">
        <f ca="1">ROUND(C75/C39,3)</f>
        <v>#DIV/0!</v>
      </c>
    </row>
    <row r="81" spans="2:3">
      <c r="B81" s="226" t="s">
        <v>1688</v>
      </c>
      <c r="C81" s="193"/>
    </row>
    <row r="82" spans="2:3">
      <c r="B82" s="228" t="s">
        <v>1689</v>
      </c>
      <c r="C82" s="230" t="e">
        <f ca="1">1-C83</f>
        <v>#DIV/0!</v>
      </c>
    </row>
    <row r="83" spans="2:3">
      <c r="B83" s="228" t="s">
        <v>1690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2092</v>
      </c>
      <c r="B1" s="1478"/>
      <c r="C1" s="1479"/>
      <c r="D1" s="1480">
        <f>SUM(I10,I15,I20,I21,I23)</f>
        <v>0</v>
      </c>
      <c r="E1" s="1480"/>
      <c r="F1" s="1480"/>
      <c r="G1" s="1480"/>
      <c r="H1" s="1480"/>
      <c r="I1" s="1518"/>
    </row>
    <row r="2" spans="1:9">
      <c r="A2" s="1481" t="s">
        <v>2093</v>
      </c>
      <c r="B2" s="1482" t="s">
        <v>2094</v>
      </c>
      <c r="C2" s="1482"/>
      <c r="D2" s="1482" t="s">
        <v>2095</v>
      </c>
      <c r="E2" s="1482" t="s">
        <v>2096</v>
      </c>
      <c r="F2" s="1482" t="s">
        <v>2097</v>
      </c>
      <c r="G2" s="1482" t="s">
        <v>2098</v>
      </c>
      <c r="H2" s="1482" t="s">
        <v>2099</v>
      </c>
      <c r="I2" s="1519" t="s">
        <v>2100</v>
      </c>
    </row>
    <row r="3" spans="1:9">
      <c r="A3" s="1481"/>
      <c r="B3" s="1482" t="s">
        <v>2101</v>
      </c>
      <c r="C3" s="1482"/>
      <c r="D3" s="1483"/>
      <c r="E3" s="1482"/>
      <c r="F3" s="1484"/>
      <c r="G3" s="1484"/>
      <c r="H3" s="1485"/>
      <c r="I3" s="1520">
        <f>ROUND(D3*E3*F3*G3*H3/10000,0)</f>
        <v>0</v>
      </c>
    </row>
    <row r="4" spans="1:9">
      <c r="A4" s="1481"/>
      <c r="B4" s="1482" t="s">
        <v>2102</v>
      </c>
      <c r="C4" s="1482"/>
      <c r="D4" s="1483"/>
      <c r="E4" s="1482"/>
      <c r="F4" s="1484"/>
      <c r="G4" s="1484"/>
      <c r="H4" s="1485"/>
      <c r="I4" s="1520">
        <f t="shared" ref="I4:I9" si="0">ROUND(D4*E4*F4*G4*H4/10000,0)</f>
        <v>0</v>
      </c>
    </row>
    <row r="5" spans="1:9">
      <c r="A5" s="1481"/>
      <c r="B5" s="1482" t="s">
        <v>2103</v>
      </c>
      <c r="C5" s="1482"/>
      <c r="D5" s="1483"/>
      <c r="E5" s="1482"/>
      <c r="F5" s="1484"/>
      <c r="G5" s="1484"/>
      <c r="H5" s="1485"/>
      <c r="I5" s="1520">
        <f t="shared" si="0"/>
        <v>0</v>
      </c>
    </row>
    <row r="6" spans="1:9">
      <c r="A6" s="1481"/>
      <c r="B6" s="1482" t="s">
        <v>2104</v>
      </c>
      <c r="C6" s="1482"/>
      <c r="D6" s="1483"/>
      <c r="E6" s="1482"/>
      <c r="F6" s="1484"/>
      <c r="G6" s="1484"/>
      <c r="H6" s="1485"/>
      <c r="I6" s="1520">
        <f t="shared" si="0"/>
        <v>0</v>
      </c>
    </row>
    <row r="7" spans="1:9">
      <c r="A7" s="1481"/>
      <c r="B7" s="1482" t="s">
        <v>2105</v>
      </c>
      <c r="C7" s="1482"/>
      <c r="D7" s="1483"/>
      <c r="E7" s="1482"/>
      <c r="F7" s="1484"/>
      <c r="G7" s="1484"/>
      <c r="H7" s="1485"/>
      <c r="I7" s="1520">
        <f t="shared" si="0"/>
        <v>0</v>
      </c>
    </row>
    <row r="8" spans="1:9">
      <c r="A8" s="1481"/>
      <c r="B8" s="1482" t="s">
        <v>2106</v>
      </c>
      <c r="C8" s="1482"/>
      <c r="D8" s="1483"/>
      <c r="E8" s="1482"/>
      <c r="F8" s="1484"/>
      <c r="G8" s="1484"/>
      <c r="H8" s="1485"/>
      <c r="I8" s="1520">
        <f t="shared" si="0"/>
        <v>0</v>
      </c>
    </row>
    <row r="9" spans="1:9">
      <c r="A9" s="1481"/>
      <c r="B9" s="1482" t="s">
        <v>2107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2108</v>
      </c>
      <c r="B11" s="1482" t="s">
        <v>2109</v>
      </c>
      <c r="C11" s="1482"/>
      <c r="D11" s="1483" t="s">
        <v>2110</v>
      </c>
      <c r="E11" s="1483" t="s">
        <v>2111</v>
      </c>
      <c r="F11" s="1484" t="s">
        <v>2112</v>
      </c>
      <c r="G11" s="1484" t="s">
        <v>2099</v>
      </c>
      <c r="H11" s="1490" t="s">
        <v>124</v>
      </c>
      <c r="I11" s="1519" t="s">
        <v>2100</v>
      </c>
    </row>
    <row r="12" spans="1:9">
      <c r="A12" s="1481"/>
      <c r="B12" s="1482" t="s">
        <v>2113</v>
      </c>
      <c r="C12" s="1482"/>
      <c r="D12" s="1483"/>
      <c r="E12" s="1483"/>
      <c r="F12" s="1484"/>
      <c r="G12" s="1485"/>
      <c r="H12" s="1491"/>
      <c r="I12" s="1519">
        <f>ROUND(D12*E12*F12*G12/10000,0)</f>
        <v>0</v>
      </c>
    </row>
    <row r="13" spans="1:9">
      <c r="A13" s="1481"/>
      <c r="B13" s="1482" t="s">
        <v>2114</v>
      </c>
      <c r="C13" s="1482"/>
      <c r="D13" s="1483"/>
      <c r="E13" s="1483"/>
      <c r="F13" s="1484"/>
      <c r="G13" s="1485"/>
      <c r="H13" s="1491"/>
      <c r="I13" s="1519">
        <f>ROUND(D13*E13*F13*G13/10000,0)</f>
        <v>0</v>
      </c>
    </row>
    <row r="14" spans="1:9">
      <c r="A14" s="1481"/>
      <c r="B14" s="1482" t="s">
        <v>2115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2116</v>
      </c>
      <c r="B16" s="1482" t="s">
        <v>2117</v>
      </c>
      <c r="C16" s="1482"/>
      <c r="D16" s="1483" t="s">
        <v>2095</v>
      </c>
      <c r="E16" s="1492" t="s">
        <v>2118</v>
      </c>
      <c r="F16" s="1484" t="s">
        <v>2119</v>
      </c>
      <c r="G16" s="1485" t="s">
        <v>2099</v>
      </c>
      <c r="H16" s="1490" t="s">
        <v>124</v>
      </c>
      <c r="I16" s="1519" t="s">
        <v>2100</v>
      </c>
    </row>
    <row r="17" ht="14.25" spans="1:9">
      <c r="A17" s="1481"/>
      <c r="B17" s="1482" t="s">
        <v>2120</v>
      </c>
      <c r="C17" s="1482"/>
      <c r="D17" s="1483"/>
      <c r="E17" s="1483"/>
      <c r="F17" s="1484"/>
      <c r="G17" s="1485"/>
      <c r="H17" s="1493"/>
      <c r="I17" s="1523">
        <f>ROUND(D17*E17*F17*G17/10000,0)</f>
        <v>0</v>
      </c>
    </row>
    <row r="18" ht="14.25" spans="1:9">
      <c r="A18" s="1481"/>
      <c r="B18" s="1482" t="s">
        <v>2121</v>
      </c>
      <c r="C18" s="1482"/>
      <c r="D18" s="1483"/>
      <c r="E18" s="1483"/>
      <c r="F18" s="1484"/>
      <c r="G18" s="1485"/>
      <c r="H18" s="1493"/>
      <c r="I18" s="1523">
        <f>ROUND(D18*E18*F18*G18/10000,0)</f>
        <v>0</v>
      </c>
    </row>
    <row r="19" ht="14.25" spans="1:9">
      <c r="A19" s="1481"/>
      <c r="B19" s="1482" t="s">
        <v>2122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2123</v>
      </c>
      <c r="B21" s="1494"/>
      <c r="C21" s="1494"/>
      <c r="D21" s="1494"/>
      <c r="E21" s="1494"/>
      <c r="F21" s="1494"/>
      <c r="G21" s="1494"/>
      <c r="H21" s="1495">
        <v>0.1</v>
      </c>
      <c r="I21" s="1521">
        <f>ROUND(I10*H21,0)</f>
        <v>0</v>
      </c>
    </row>
    <row r="22" ht="14.25" spans="1:9">
      <c r="A22" s="1496" t="s">
        <v>2124</v>
      </c>
      <c r="B22" s="1497"/>
      <c r="C22" s="1498"/>
      <c r="D22" s="1499" t="s">
        <v>479</v>
      </c>
      <c r="E22" s="1499" t="s">
        <v>2125</v>
      </c>
      <c r="F22" s="1500" t="s">
        <v>2099</v>
      </c>
      <c r="G22" s="1500" t="s">
        <v>1035</v>
      </c>
      <c r="H22" s="1490" t="s">
        <v>124</v>
      </c>
      <c r="I22" s="1519" t="s">
        <v>2100</v>
      </c>
    </row>
    <row r="23" ht="14.25" spans="1:9">
      <c r="A23" s="1501"/>
      <c r="B23" s="1502"/>
      <c r="C23" s="1503"/>
      <c r="D23" s="1504"/>
      <c r="E23" s="1504"/>
      <c r="F23" s="1504"/>
      <c r="G23" s="1505"/>
      <c r="H23" s="1506"/>
      <c r="I23" s="1524">
        <f>ROUND(E23*D23*F23*(1-G23)/10000,0)</f>
        <v>0</v>
      </c>
    </row>
    <row r="26" spans="1:8">
      <c r="A26" s="1507" t="s">
        <v>2126</v>
      </c>
      <c r="B26" s="1507"/>
      <c r="C26" s="1507"/>
      <c r="D26" s="1507"/>
      <c r="E26" s="1508">
        <f>C27-C30-C31-C32</f>
        <v>0</v>
      </c>
      <c r="F26" s="1508"/>
      <c r="G26" s="1508"/>
      <c r="H26" s="1509" t="s">
        <v>2127</v>
      </c>
    </row>
    <row r="27" spans="1:7">
      <c r="A27" s="1510">
        <v>1</v>
      </c>
      <c r="B27" s="1511" t="s">
        <v>2128</v>
      </c>
      <c r="C27" s="1511">
        <f>C28+C29</f>
        <v>0</v>
      </c>
      <c r="D27" s="1511"/>
      <c r="E27" s="1510"/>
      <c r="F27" s="1510"/>
      <c r="G27" s="1510"/>
    </row>
    <row r="28" spans="1:7">
      <c r="A28" s="1512" t="s">
        <v>2129</v>
      </c>
      <c r="B28" s="1511" t="s">
        <v>2130</v>
      </c>
      <c r="C28" s="1511"/>
      <c r="D28" s="1511"/>
      <c r="E28" s="1510"/>
      <c r="F28" s="1510"/>
      <c r="G28" s="1510"/>
    </row>
    <row r="29" spans="1:7">
      <c r="A29" s="1512" t="s">
        <v>2131</v>
      </c>
      <c r="B29" s="1511" t="s">
        <v>2132</v>
      </c>
      <c r="C29" s="1511"/>
      <c r="D29" s="1511"/>
      <c r="E29" s="1511" t="s">
        <v>2133</v>
      </c>
      <c r="F29" s="1511"/>
      <c r="G29" s="1511"/>
    </row>
    <row r="30" spans="1:7">
      <c r="A30" s="1510">
        <v>2</v>
      </c>
      <c r="B30" s="1511" t="s">
        <v>2134</v>
      </c>
      <c r="C30" s="1511">
        <f>C27*D30</f>
        <v>0</v>
      </c>
      <c r="D30" s="1513">
        <v>0.2</v>
      </c>
      <c r="E30" s="1511" t="s">
        <v>2135</v>
      </c>
      <c r="F30" s="1511"/>
      <c r="G30" s="1511"/>
    </row>
    <row r="31" spans="1:7">
      <c r="A31" s="1510">
        <v>3</v>
      </c>
      <c r="B31" s="1511" t="s">
        <v>2136</v>
      </c>
      <c r="C31" s="1511">
        <f>C27*D31</f>
        <v>0</v>
      </c>
      <c r="D31" s="1513">
        <v>0.15</v>
      </c>
      <c r="E31" s="1511" t="s">
        <v>2137</v>
      </c>
      <c r="F31" s="1511"/>
      <c r="G31" s="1511"/>
    </row>
    <row r="32" spans="1:7">
      <c r="A32" s="1510">
        <v>4</v>
      </c>
      <c r="B32" s="1511" t="s">
        <v>2138</v>
      </c>
      <c r="C32" s="1511">
        <f>C27*D32</f>
        <v>0</v>
      </c>
      <c r="D32" s="1513">
        <v>0.05</v>
      </c>
      <c r="E32" s="1511"/>
      <c r="F32" s="1511"/>
      <c r="G32" s="1511"/>
    </row>
    <row r="33" hidden="1" spans="1:7">
      <c r="A33" s="1514" t="s">
        <v>2139</v>
      </c>
      <c r="B33" s="1515"/>
      <c r="C33" s="1515"/>
      <c r="D33" s="1516"/>
      <c r="E33" s="1508"/>
      <c r="F33" s="1508"/>
      <c r="G33" s="1508"/>
    </row>
    <row r="34" hidden="1" spans="1:7">
      <c r="A34" s="1517">
        <v>1</v>
      </c>
      <c r="B34" s="1511" t="s">
        <v>2140</v>
      </c>
      <c r="C34" s="1511"/>
      <c r="D34" s="1511"/>
      <c r="E34" s="1510"/>
      <c r="F34" s="1510"/>
      <c r="G34" s="1510"/>
    </row>
    <row r="35" hidden="1" spans="1:7">
      <c r="A35" s="1517">
        <v>2</v>
      </c>
      <c r="B35" s="1511" t="s">
        <v>2141</v>
      </c>
      <c r="C35" s="1511"/>
      <c r="D35" s="1511"/>
      <c r="E35" s="1510"/>
      <c r="F35" s="1510"/>
      <c r="G35" s="1510"/>
    </row>
    <row r="36" hidden="1" spans="1:7">
      <c r="A36" s="1517">
        <v>3</v>
      </c>
      <c r="B36" s="1511" t="s">
        <v>2142</v>
      </c>
      <c r="C36" s="1511"/>
      <c r="D36" s="1511"/>
      <c r="E36" s="1510"/>
      <c r="F36" s="1510"/>
      <c r="G36" s="1510"/>
    </row>
    <row r="37" hidden="1" spans="1:7">
      <c r="A37" s="1517">
        <v>4</v>
      </c>
      <c r="B37" s="1511" t="s">
        <v>2143</v>
      </c>
      <c r="C37" s="1511"/>
      <c r="D37" s="1511"/>
      <c r="E37" s="1510"/>
      <c r="F37" s="1510"/>
      <c r="G37" s="1510"/>
    </row>
    <row r="38" hidden="1" spans="1:7">
      <c r="A38" s="1514" t="s">
        <v>2144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1307</v>
      </c>
      <c r="B1" s="1382" t="s">
        <v>2145</v>
      </c>
      <c r="C1" s="1259" t="s">
        <v>1309</v>
      </c>
      <c r="D1" s="1203"/>
      <c r="E1" s="1383"/>
      <c r="F1" s="1205" t="s">
        <v>2146</v>
      </c>
      <c r="G1" s="1206" t="s">
        <v>1311</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1312</v>
      </c>
      <c r="B2" s="1208" t="e">
        <f ca="1">IF(C2="——",ROUND(C49*D3/10000,0),ROUND(C49*D3/10000,0)-D2)</f>
        <v>#DIV/0!</v>
      </c>
      <c r="C2" s="1209"/>
      <c r="D2" s="1384" t="e">
        <f ca="1">SUMIF(INDIRECT("'"&amp;F2&amp;"'"&amp;"!A:A"),"承租人权益价值",INDIRECT("'"&amp;F2&amp;"'"&amp;"!c:c"))</f>
        <v>#REF!</v>
      </c>
      <c r="E2" s="1210" t="s">
        <v>1313</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1314</v>
      </c>
      <c r="B3" s="1213" t="e">
        <f ca="1">IF(C2="——",C49,ROUND(B2*10000/D3,0))</f>
        <v>#DIV/0!</v>
      </c>
      <c r="C3" s="1212" t="s">
        <v>1315</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1316</v>
      </c>
      <c r="B4" s="804"/>
      <c r="C4" s="805" t="s">
        <v>1317</v>
      </c>
      <c r="D4" s="806"/>
      <c r="E4" s="807" t="s">
        <v>1318</v>
      </c>
      <c r="F4" s="808"/>
      <c r="G4" s="805" t="s">
        <v>1319</v>
      </c>
      <c r="H4" s="806"/>
      <c r="I4" s="805" t="s">
        <v>1320</v>
      </c>
      <c r="J4" s="806"/>
      <c r="K4" s="1403"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40" t="s">
        <v>1319</v>
      </c>
      <c r="AC4" s="1040" t="s">
        <v>1320</v>
      </c>
    </row>
    <row r="5" ht="15" spans="1:29">
      <c r="A5" s="809"/>
      <c r="B5" s="810"/>
      <c r="C5" s="811" t="s">
        <v>1323</v>
      </c>
      <c r="D5" s="812"/>
      <c r="E5" s="813" t="s">
        <v>2147</v>
      </c>
      <c r="F5" s="814"/>
      <c r="G5" s="811" t="s">
        <v>2148</v>
      </c>
      <c r="H5" s="812"/>
      <c r="I5" s="811" t="s">
        <v>2149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1327</v>
      </c>
      <c r="D6" s="1164"/>
      <c r="E6" s="1165" t="s">
        <v>1327</v>
      </c>
      <c r="F6" s="1166"/>
      <c r="G6" s="1163" t="s">
        <v>1327</v>
      </c>
      <c r="H6" s="1164"/>
      <c r="I6" s="1163" t="s">
        <v>1327</v>
      </c>
      <c r="J6" s="1164"/>
      <c r="K6" s="1404" t="s">
        <v>1328</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1330</v>
      </c>
      <c r="Q7" s="1022"/>
      <c r="R7" s="1023" t="s">
        <v>1331</v>
      </c>
      <c r="S7" s="1024">
        <f t="shared" ref="S7:S15" si="0">F7</f>
        <v>0</v>
      </c>
      <c r="T7" s="1023" t="s">
        <v>1331</v>
      </c>
      <c r="U7" s="1024">
        <f t="shared" ref="U7:U15" si="1">H7</f>
        <v>0</v>
      </c>
      <c r="V7" s="1023" t="s">
        <v>1331</v>
      </c>
      <c r="W7" s="1024">
        <f t="shared" ref="W7:W15"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19" si="3">D8/F8</f>
        <v>#DIV/0!</v>
      </c>
      <c r="AB8" s="1042" t="e">
        <f t="shared" ref="AB8:AB19" si="4">D8/H8</f>
        <v>#DIV/0!</v>
      </c>
      <c r="AC8" s="1042" t="e">
        <f t="shared" ref="AC8:AC19" si="5">D8/J8</f>
        <v>#DIV/0!</v>
      </c>
    </row>
    <row r="9" s="784" customFormat="1" spans="1:29">
      <c r="A9" s="829" t="s">
        <v>1336</v>
      </c>
      <c r="B9" s="830" t="s">
        <v>1337</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1042">
        <f t="shared" si="5"/>
        <v>1</v>
      </c>
    </row>
    <row r="10" s="785" customFormat="1" ht="27" spans="1:29">
      <c r="A10" s="833"/>
      <c r="B10" s="834" t="s">
        <v>1340</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1342</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1331</v>
      </c>
      <c r="S11" s="1024" t="e">
        <f t="shared" si="0"/>
        <v>#N/A</v>
      </c>
      <c r="T11" s="1023" t="s">
        <v>1331</v>
      </c>
      <c r="U11" s="1024" t="e">
        <f t="shared" si="1"/>
        <v>#N/A</v>
      </c>
      <c r="V11" s="1023" t="s">
        <v>1331</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1042">
        <f t="shared" si="5"/>
        <v>1</v>
      </c>
    </row>
    <row r="15" ht="94.5" spans="1:29">
      <c r="A15" s="851" t="s">
        <v>1343</v>
      </c>
      <c r="B15" s="1169" t="s">
        <v>1722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1345</v>
      </c>
      <c r="Q15" s="548" t="str">
        <f t="shared" si="6"/>
        <v>居住社区成熟度</v>
      </c>
      <c r="R15" s="1028" t="s">
        <v>1331</v>
      </c>
      <c r="S15" s="1029">
        <f t="shared" si="0"/>
        <v>100</v>
      </c>
      <c r="T15" s="1028" t="s">
        <v>1331</v>
      </c>
      <c r="U15" s="1029">
        <f t="shared" si="1"/>
        <v>100</v>
      </c>
      <c r="V15" s="1028" t="s">
        <v>1331</v>
      </c>
      <c r="W15" s="1029">
        <f t="shared" si="2"/>
        <v>100</v>
      </c>
      <c r="X15" s="1015"/>
      <c r="Y15" s="980" t="s">
        <v>1345</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1347</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1331</v>
      </c>
      <c r="S17" s="1029">
        <f>F17</f>
        <v>100</v>
      </c>
      <c r="T17" s="1028" t="s">
        <v>1331</v>
      </c>
      <c r="U17" s="1029">
        <f>H17</f>
        <v>100</v>
      </c>
      <c r="V17" s="1028" t="s">
        <v>1331</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1349</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1331</v>
      </c>
      <c r="S19" s="1029">
        <f>F19</f>
        <v>100</v>
      </c>
      <c r="T19" s="1028" t="s">
        <v>1331</v>
      </c>
      <c r="U19" s="1029">
        <f>H19</f>
        <v>100</v>
      </c>
      <c r="V19" s="1028" t="s">
        <v>1331</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1350</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1331</v>
      </c>
      <c r="S21" s="1029">
        <f>F21</f>
        <v>100</v>
      </c>
      <c r="T21" s="1028" t="s">
        <v>1331</v>
      </c>
      <c r="U21" s="1029">
        <f>H21</f>
        <v>100</v>
      </c>
      <c r="V21" s="1028" t="s">
        <v>1331</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1706</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1331</v>
      </c>
      <c r="S23" s="1029">
        <f>F23</f>
        <v>100</v>
      </c>
      <c r="T23" s="1028" t="s">
        <v>1331</v>
      </c>
      <c r="U23" s="1029">
        <f>H23</f>
        <v>100</v>
      </c>
      <c r="V23" s="1028" t="s">
        <v>1331</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2150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1331</v>
      </c>
      <c r="S25" s="1029">
        <f t="shared" ref="S25:S46" si="12">F25</f>
        <v>100</v>
      </c>
      <c r="T25" s="1028" t="s">
        <v>1331</v>
      </c>
      <c r="U25" s="1029">
        <f t="shared" ref="U25:U46" si="13">H25</f>
        <v>100</v>
      </c>
      <c r="V25" s="1028" t="s">
        <v>1331</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1360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1331</v>
      </c>
      <c r="S26" s="1029">
        <f t="shared" si="12"/>
        <v>100</v>
      </c>
      <c r="T26" s="1028" t="s">
        <v>1331</v>
      </c>
      <c r="U26" s="1029">
        <f t="shared" si="13"/>
        <v>100</v>
      </c>
      <c r="V26" s="1028" t="s">
        <v>1331</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1331</v>
      </c>
      <c r="S27" s="1024">
        <f t="shared" si="12"/>
        <v>100</v>
      </c>
      <c r="T27" s="1023" t="s">
        <v>1331</v>
      </c>
      <c r="U27" s="1024">
        <f t="shared" si="13"/>
        <v>100</v>
      </c>
      <c r="V27" s="1023" t="s">
        <v>1331</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1331</v>
      </c>
      <c r="S28" s="1029">
        <f t="shared" si="12"/>
        <v>100</v>
      </c>
      <c r="T28" s="1028" t="s">
        <v>1331</v>
      </c>
      <c r="U28" s="1029">
        <f t="shared" si="13"/>
        <v>100</v>
      </c>
      <c r="V28" s="1028" t="s">
        <v>1331</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1331</v>
      </c>
      <c r="S29" s="1029">
        <f t="shared" si="12"/>
        <v>100</v>
      </c>
      <c r="T29" s="1028" t="s">
        <v>1331</v>
      </c>
      <c r="U29" s="1029">
        <f t="shared" si="13"/>
        <v>100</v>
      </c>
      <c r="V29" s="1028" t="s">
        <v>1331</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1331</v>
      </c>
      <c r="S30" s="1029">
        <f t="shared" si="12"/>
        <v>100</v>
      </c>
      <c r="T30" s="1028" t="s">
        <v>1331</v>
      </c>
      <c r="U30" s="1029">
        <f t="shared" si="13"/>
        <v>100</v>
      </c>
      <c r="V30" s="1028" t="s">
        <v>1331</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1331</v>
      </c>
      <c r="S31" s="1029">
        <f t="shared" si="12"/>
        <v>100</v>
      </c>
      <c r="T31" s="1028" t="s">
        <v>1331</v>
      </c>
      <c r="U31" s="1029">
        <f t="shared" si="13"/>
        <v>100</v>
      </c>
      <c r="V31" s="1028" t="s">
        <v>1331</v>
      </c>
      <c r="W31" s="1029">
        <f t="shared" si="14"/>
        <v>100</v>
      </c>
      <c r="X31" s="1015"/>
      <c r="Y31" s="981"/>
      <c r="Z31" s="1002">
        <f t="shared" si="18"/>
        <v>111</v>
      </c>
      <c r="AA31" s="1044">
        <f t="shared" si="15"/>
        <v>1</v>
      </c>
      <c r="AB31" s="1044">
        <f t="shared" si="16"/>
        <v>1</v>
      </c>
      <c r="AC31" s="1044">
        <f t="shared" si="17"/>
        <v>1</v>
      </c>
    </row>
    <row r="32" ht="15" spans="1:29">
      <c r="A32" s="851" t="s">
        <v>1361</v>
      </c>
      <c r="B32" s="830" t="s">
        <v>1362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1364</v>
      </c>
      <c r="Q32" s="548" t="str">
        <f t="shared" si="11"/>
        <v>建筑类型</v>
      </c>
      <c r="R32" s="1028" t="s">
        <v>1331</v>
      </c>
      <c r="S32" s="1029">
        <f t="shared" si="12"/>
        <v>100</v>
      </c>
      <c r="T32" s="1028" t="s">
        <v>1331</v>
      </c>
      <c r="U32" s="1029">
        <f t="shared" si="13"/>
        <v>100</v>
      </c>
      <c r="V32" s="1028" t="s">
        <v>1331</v>
      </c>
      <c r="W32" s="1029">
        <f t="shared" si="14"/>
        <v>100</v>
      </c>
      <c r="X32" s="1015"/>
      <c r="Y32" s="990" t="s">
        <v>1364</v>
      </c>
      <c r="Z32" s="1002" t="str">
        <f t="shared" si="18"/>
        <v>建筑类型</v>
      </c>
      <c r="AA32" s="1044">
        <f t="shared" si="15"/>
        <v>1</v>
      </c>
      <c r="AB32" s="1044">
        <f t="shared" si="16"/>
        <v>1</v>
      </c>
      <c r="AC32" s="1044">
        <f t="shared" si="17"/>
        <v>1</v>
      </c>
    </row>
    <row r="33" s="786" customFormat="1" ht="15" spans="1:29">
      <c r="A33" s="893"/>
      <c r="B33" s="834" t="s">
        <v>1365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1331</v>
      </c>
      <c r="S33" s="1031" t="e">
        <f t="shared" si="12"/>
        <v>#N/A</v>
      </c>
      <c r="T33" s="1030" t="s">
        <v>1331</v>
      </c>
      <c r="U33" s="1031" t="e">
        <f t="shared" si="13"/>
        <v>#N/A</v>
      </c>
      <c r="V33" s="1030" t="s">
        <v>1331</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1366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1331</v>
      </c>
      <c r="S34" s="1029">
        <f t="shared" si="12"/>
        <v>100</v>
      </c>
      <c r="T34" s="1028" t="s">
        <v>1331</v>
      </c>
      <c r="U34" s="1029">
        <f t="shared" si="13"/>
        <v>100</v>
      </c>
      <c r="V34" s="1028" t="s">
        <v>1331</v>
      </c>
      <c r="W34" s="1029">
        <f t="shared" si="14"/>
        <v>100</v>
      </c>
      <c r="X34" s="1015"/>
      <c r="Y34" s="990"/>
      <c r="Z34" s="1002" t="str">
        <f t="shared" si="18"/>
        <v>建筑结构</v>
      </c>
      <c r="AA34" s="1044">
        <f t="shared" si="15"/>
        <v>1</v>
      </c>
      <c r="AB34" s="1044">
        <f t="shared" si="16"/>
        <v>1</v>
      </c>
      <c r="AC34" s="1044">
        <f t="shared" si="17"/>
        <v>1</v>
      </c>
    </row>
    <row r="35" ht="15" spans="1:29">
      <c r="A35" s="888"/>
      <c r="B35" s="834" t="s">
        <v>2151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1331</v>
      </c>
      <c r="S35" s="1029">
        <f t="shared" si="12"/>
        <v>100</v>
      </c>
      <c r="T35" s="1028" t="s">
        <v>1331</v>
      </c>
      <c r="U35" s="1029">
        <f t="shared" si="13"/>
        <v>100</v>
      </c>
      <c r="V35" s="1028" t="s">
        <v>1331</v>
      </c>
      <c r="W35" s="1029">
        <f t="shared" si="14"/>
        <v>100</v>
      </c>
      <c r="X35" s="1015"/>
      <c r="Y35" s="990"/>
      <c r="Z35" s="1002" t="str">
        <f t="shared" si="18"/>
        <v>建筑品质</v>
      </c>
      <c r="AA35" s="1044">
        <f t="shared" si="15"/>
        <v>1</v>
      </c>
      <c r="AB35" s="1044">
        <f t="shared" si="16"/>
        <v>1</v>
      </c>
      <c r="AC35" s="1044">
        <f t="shared" si="17"/>
        <v>1</v>
      </c>
    </row>
    <row r="36" ht="15" spans="1:29">
      <c r="A36" s="888"/>
      <c r="B36" s="834" t="s">
        <v>1368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1331</v>
      </c>
      <c r="S36" s="1029">
        <f t="shared" si="12"/>
        <v>100</v>
      </c>
      <c r="T36" s="1028" t="s">
        <v>1331</v>
      </c>
      <c r="U36" s="1029">
        <f t="shared" si="13"/>
        <v>100</v>
      </c>
      <c r="V36" s="1028" t="s">
        <v>1331</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619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1331</v>
      </c>
      <c r="S37" s="1024" t="e">
        <f t="shared" si="12"/>
        <v>#N/A</v>
      </c>
      <c r="T37" s="1023" t="s">
        <v>1331</v>
      </c>
      <c r="U37" s="1024" t="e">
        <f t="shared" si="13"/>
        <v>#N/A</v>
      </c>
      <c r="V37" s="1023" t="s">
        <v>1331</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1373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1364</v>
      </c>
      <c r="Q38" s="548" t="str">
        <f t="shared" si="11"/>
        <v>物业管理</v>
      </c>
      <c r="R38" s="1028" t="s">
        <v>1331</v>
      </c>
      <c r="S38" s="1029">
        <f t="shared" si="12"/>
        <v>100</v>
      </c>
      <c r="T38" s="1028" t="s">
        <v>1331</v>
      </c>
      <c r="U38" s="1029">
        <f t="shared" si="13"/>
        <v>100</v>
      </c>
      <c r="V38" s="1028" t="s">
        <v>1331</v>
      </c>
      <c r="W38" s="1029">
        <f t="shared" si="14"/>
        <v>100</v>
      </c>
      <c r="X38" s="1015"/>
      <c r="Y38" s="990" t="s">
        <v>1364</v>
      </c>
      <c r="Z38" s="1002" t="str">
        <f t="shared" si="18"/>
        <v>物业管理</v>
      </c>
      <c r="AA38" s="1044">
        <f t="shared" si="15"/>
        <v>1</v>
      </c>
      <c r="AB38" s="1044">
        <f t="shared" si="16"/>
        <v>1</v>
      </c>
      <c r="AC38" s="1044">
        <f t="shared" si="17"/>
        <v>1</v>
      </c>
    </row>
    <row r="39" ht="15" spans="1:29">
      <c r="A39" s="888"/>
      <c r="B39" s="834" t="s">
        <v>1375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1331</v>
      </c>
      <c r="S39" s="1029">
        <f t="shared" si="12"/>
        <v>100</v>
      </c>
      <c r="T39" s="1028" t="s">
        <v>1331</v>
      </c>
      <c r="U39" s="1029">
        <f t="shared" si="13"/>
        <v>100</v>
      </c>
      <c r="V39" s="1028" t="s">
        <v>1331</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2152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1331</v>
      </c>
      <c r="S40" s="1029">
        <f t="shared" si="12"/>
        <v>100</v>
      </c>
      <c r="T40" s="1028" t="s">
        <v>1331</v>
      </c>
      <c r="U40" s="1029">
        <f t="shared" si="13"/>
        <v>100</v>
      </c>
      <c r="V40" s="1028" t="s">
        <v>1331</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2153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1331</v>
      </c>
      <c r="S41" s="1031">
        <f t="shared" si="12"/>
        <v>100</v>
      </c>
      <c r="T41" s="1030" t="s">
        <v>1331</v>
      </c>
      <c r="U41" s="1031">
        <f t="shared" si="13"/>
        <v>100</v>
      </c>
      <c r="V41" s="1030" t="s">
        <v>1331</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1379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1331</v>
      </c>
      <c r="S42" s="1029">
        <f t="shared" si="12"/>
        <v>100</v>
      </c>
      <c r="T42" s="1028" t="s">
        <v>1331</v>
      </c>
      <c r="U42" s="1029">
        <f t="shared" si="13"/>
        <v>100</v>
      </c>
      <c r="V42" s="1028" t="s">
        <v>1331</v>
      </c>
      <c r="W42" s="1029">
        <f t="shared" si="14"/>
        <v>100</v>
      </c>
      <c r="X42" s="1015"/>
      <c r="Y42" s="990"/>
      <c r="Z42" s="1002" t="str">
        <f t="shared" si="18"/>
        <v>内部装修</v>
      </c>
      <c r="AA42" s="1044">
        <f t="shared" si="15"/>
        <v>1</v>
      </c>
      <c r="AB42" s="1044">
        <f t="shared" si="16"/>
        <v>1</v>
      </c>
      <c r="AC42" s="1044">
        <f t="shared" si="17"/>
        <v>1</v>
      </c>
    </row>
    <row r="43" ht="15" spans="1:29">
      <c r="A43" s="888"/>
      <c r="B43" s="834" t="s">
        <v>1381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1331</v>
      </c>
      <c r="S43" s="1029">
        <f t="shared" si="12"/>
        <v>100</v>
      </c>
      <c r="T43" s="1028" t="s">
        <v>1331</v>
      </c>
      <c r="U43" s="1029">
        <f t="shared" si="13"/>
        <v>100</v>
      </c>
      <c r="V43" s="1028" t="s">
        <v>1331</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1331</v>
      </c>
      <c r="S44" s="1024">
        <f t="shared" si="12"/>
        <v>100</v>
      </c>
      <c r="T44" s="1023" t="s">
        <v>1331</v>
      </c>
      <c r="U44" s="1024">
        <f t="shared" si="13"/>
        <v>100</v>
      </c>
      <c r="V44" s="1023" t="s">
        <v>1331</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1331</v>
      </c>
      <c r="S45" s="1029">
        <f t="shared" si="12"/>
        <v>100</v>
      </c>
      <c r="T45" s="1028" t="s">
        <v>1331</v>
      </c>
      <c r="U45" s="1029">
        <f t="shared" si="13"/>
        <v>100</v>
      </c>
      <c r="V45" s="1028" t="s">
        <v>1331</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1331</v>
      </c>
      <c r="S46" s="1029">
        <f t="shared" si="12"/>
        <v>100</v>
      </c>
      <c r="T46" s="1028" t="s">
        <v>1331</v>
      </c>
      <c r="U46" s="1029">
        <f t="shared" si="13"/>
        <v>100</v>
      </c>
      <c r="V46" s="1028" t="s">
        <v>1331</v>
      </c>
      <c r="W46" s="1029">
        <f t="shared" si="14"/>
        <v>100</v>
      </c>
      <c r="X46" s="1015"/>
      <c r="Y46" s="1355"/>
      <c r="Z46" s="1002">
        <f t="shared" si="18"/>
        <v>111</v>
      </c>
      <c r="AA46" s="1044">
        <f t="shared" si="15"/>
        <v>1</v>
      </c>
      <c r="AB46" s="1044">
        <f t="shared" si="16"/>
        <v>1</v>
      </c>
      <c r="AC46" s="1044">
        <f t="shared" si="17"/>
        <v>1</v>
      </c>
    </row>
    <row r="47" ht="15" spans="1:29">
      <c r="A47" s="895" t="s">
        <v>1382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1383</v>
      </c>
      <c r="B48" s="1246"/>
      <c r="C48" s="1247" t="e">
        <f>R49</f>
        <v>#DIV/0!</v>
      </c>
      <c r="D48" s="906" t="s">
        <v>1384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1385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1386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1387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1388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1389</v>
      </c>
      <c r="B57" s="950"/>
      <c r="C57" s="951"/>
      <c r="D57" s="951"/>
      <c r="E57" s="951"/>
      <c r="F57" s="952"/>
      <c r="G57" s="952"/>
      <c r="H57" s="951"/>
      <c r="I57" s="951"/>
      <c r="J57" s="951"/>
      <c r="K57" s="1195"/>
      <c r="L57" s="1196"/>
      <c r="M57" s="1010"/>
      <c r="N57" s="1010"/>
      <c r="O57" s="1010"/>
      <c r="P57" s="1420"/>
      <c r="Q57" s="1361"/>
    </row>
    <row r="58" s="789" customFormat="1" ht="15" spans="1:16">
      <c r="A58" s="1251" t="s">
        <v>1329</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1390</v>
      </c>
      <c r="B60" s="1054"/>
      <c r="C60" s="1055"/>
      <c r="D60" s="1056"/>
      <c r="E60" s="1056"/>
      <c r="F60" s="1056"/>
      <c r="G60" s="1056"/>
      <c r="H60" s="1056"/>
      <c r="I60" s="1056"/>
      <c r="J60" s="1056"/>
      <c r="K60" s="1056"/>
      <c r="L60" s="1056"/>
      <c r="M60" s="1104"/>
      <c r="N60" s="1056"/>
      <c r="O60" s="1104"/>
      <c r="P60" s="1422"/>
      <c r="Q60" s="1361"/>
    </row>
    <row r="61" s="784" customFormat="1" ht="15" spans="1:17">
      <c r="A61" s="1057" t="s">
        <v>1332</v>
      </c>
      <c r="B61" s="1058"/>
      <c r="C61" s="1059" t="s">
        <v>1333</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1391</v>
      </c>
      <c r="B63" s="1064" t="s">
        <v>1337</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1340</v>
      </c>
      <c r="C65" s="1069" t="s">
        <v>1392</v>
      </c>
      <c r="D65" s="1069" t="s">
        <v>1393</v>
      </c>
      <c r="E65" s="1069" t="s">
        <v>1394</v>
      </c>
      <c r="F65" s="1069" t="s">
        <v>1395</v>
      </c>
      <c r="G65" s="1069" t="s">
        <v>1396</v>
      </c>
      <c r="H65" s="1069" t="s">
        <v>1397</v>
      </c>
      <c r="I65" s="1069" t="s">
        <v>1398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1342</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1343</v>
      </c>
      <c r="B76" s="1064" t="s">
        <v>1722</v>
      </c>
      <c r="C76" s="1085" t="s">
        <v>1400</v>
      </c>
      <c r="D76" s="1085" t="s">
        <v>1401</v>
      </c>
      <c r="E76" s="1085" t="s">
        <v>1402</v>
      </c>
      <c r="F76" s="1085" t="s">
        <v>1403</v>
      </c>
      <c r="G76" s="1085" t="s">
        <v>1404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1347</v>
      </c>
      <c r="C78" s="1087" t="s">
        <v>1400</v>
      </c>
      <c r="D78" s="1087" t="s">
        <v>1401</v>
      </c>
      <c r="E78" s="1087" t="s">
        <v>1402</v>
      </c>
      <c r="F78" s="1087" t="s">
        <v>1403</v>
      </c>
      <c r="G78" s="1087" t="s">
        <v>1404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1349</v>
      </c>
      <c r="C80" s="1087" t="s">
        <v>1400</v>
      </c>
      <c r="D80" s="1087" t="s">
        <v>1401</v>
      </c>
      <c r="E80" s="1087" t="s">
        <v>1402</v>
      </c>
      <c r="F80" s="1087" t="s">
        <v>1403</v>
      </c>
      <c r="G80" s="1087" t="s">
        <v>1404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1350</v>
      </c>
      <c r="C82" s="1069" t="s">
        <v>1405</v>
      </c>
      <c r="D82" s="1069" t="s">
        <v>1406</v>
      </c>
      <c r="E82" s="1069" t="s">
        <v>1407</v>
      </c>
      <c r="F82" s="1069" t="s">
        <v>1408</v>
      </c>
      <c r="G82" s="1069" t="s">
        <v>1409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1706</v>
      </c>
      <c r="C84" s="1087" t="s">
        <v>1400</v>
      </c>
      <c r="D84" s="1087" t="s">
        <v>1401</v>
      </c>
      <c r="E84" s="1087" t="s">
        <v>1402</v>
      </c>
      <c r="F84" s="1087" t="s">
        <v>1403</v>
      </c>
      <c r="G84" s="1087" t="s">
        <v>1404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2150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1360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1361</v>
      </c>
      <c r="B100" s="1064" t="s">
        <v>1362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1365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1366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2151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1368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619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1373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1375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2152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2153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1379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1381</v>
      </c>
      <c r="C124" s="1087" t="s">
        <v>1400</v>
      </c>
      <c r="D124" s="1087" t="s">
        <v>1401</v>
      </c>
      <c r="E124" s="1087" t="s">
        <v>1402</v>
      </c>
      <c r="F124" s="1087" t="s">
        <v>1403</v>
      </c>
      <c r="G124" s="1087" t="s">
        <v>1404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2154</v>
      </c>
    </row>
    <row r="137" ht="15" spans="2:11">
      <c r="B137" s="1437" t="s">
        <v>2155</v>
      </c>
      <c r="C137" s="1438"/>
      <c r="D137" s="1438"/>
      <c r="E137" s="1438"/>
      <c r="F137" s="1438"/>
      <c r="G137" s="1439"/>
      <c r="H137" s="1440"/>
      <c r="I137" s="1465" t="s">
        <v>2156</v>
      </c>
      <c r="J137" s="1438"/>
      <c r="K137" s="1466"/>
    </row>
    <row r="138" ht="15" spans="2:11">
      <c r="B138" s="1441"/>
      <c r="C138" s="1442" t="s">
        <v>2157</v>
      </c>
      <c r="D138" s="1442" t="s">
        <v>2158</v>
      </c>
      <c r="E138" s="1443" t="s">
        <v>2159</v>
      </c>
      <c r="F138" s="1444" t="s">
        <v>2160</v>
      </c>
      <c r="G138" s="1442" t="s">
        <v>2158</v>
      </c>
      <c r="H138" s="1445" t="s">
        <v>2159</v>
      </c>
      <c r="I138" s="1467"/>
      <c r="J138" s="1442" t="s">
        <v>2161</v>
      </c>
      <c r="K138" s="1445" t="s">
        <v>2162</v>
      </c>
    </row>
    <row r="139" ht="15" spans="2:11">
      <c r="B139" s="1446">
        <v>6</v>
      </c>
      <c r="C139" s="1447">
        <v>96</v>
      </c>
      <c r="D139" s="1448" t="s">
        <v>2163</v>
      </c>
      <c r="E139" s="1449">
        <v>100</v>
      </c>
      <c r="F139" s="1450">
        <v>102.5</v>
      </c>
      <c r="G139" s="1448" t="s">
        <v>2163</v>
      </c>
      <c r="H139" s="1451">
        <v>105</v>
      </c>
      <c r="I139" s="1468" t="s">
        <v>2164</v>
      </c>
      <c r="J139" s="1447">
        <v>20</v>
      </c>
      <c r="K139" s="1469">
        <f>C145/(J139-2)</f>
        <v>0.00405555555555556</v>
      </c>
    </row>
    <row r="140" ht="15" spans="2:11">
      <c r="B140" s="1452">
        <v>5</v>
      </c>
      <c r="C140" s="1453">
        <v>100</v>
      </c>
      <c r="D140" s="1453"/>
      <c r="E140" s="1454"/>
      <c r="F140" s="1455">
        <v>102</v>
      </c>
      <c r="G140" s="1453"/>
      <c r="H140" s="1456"/>
      <c r="I140" s="1470" t="s">
        <v>2165</v>
      </c>
      <c r="J140" s="227">
        <f>ROUNDUP((J139-1)/2,0)</f>
        <v>10</v>
      </c>
      <c r="K140" s="1471">
        <v>100</v>
      </c>
    </row>
    <row r="141" ht="15" spans="2:11">
      <c r="B141" s="1452">
        <v>4</v>
      </c>
      <c r="C141" s="1453">
        <v>102</v>
      </c>
      <c r="D141" s="1453"/>
      <c r="E141" s="1454"/>
      <c r="F141" s="1455">
        <v>101.5</v>
      </c>
      <c r="G141" s="1453"/>
      <c r="H141" s="1456"/>
      <c r="I141" s="1470" t="s">
        <v>2166</v>
      </c>
      <c r="J141" s="227">
        <v>1</v>
      </c>
      <c r="K141" s="1472">
        <f>ROUND(100+(J141-J140)*K139*100,1)</f>
        <v>96.4</v>
      </c>
    </row>
    <row r="142" ht="15" spans="2:11">
      <c r="B142" s="1452">
        <v>3</v>
      </c>
      <c r="C142" s="1453">
        <v>103</v>
      </c>
      <c r="D142" s="1453"/>
      <c r="E142" s="1454"/>
      <c r="F142" s="1455">
        <v>101</v>
      </c>
      <c r="G142" s="1453"/>
      <c r="H142" s="1456"/>
      <c r="I142" s="1470" t="s">
        <v>2167</v>
      </c>
      <c r="J142" s="227">
        <f>J139</f>
        <v>20</v>
      </c>
      <c r="K142" s="1473">
        <v>95</v>
      </c>
    </row>
    <row r="143" ht="15" spans="2:11">
      <c r="B143" s="1452">
        <v>2</v>
      </c>
      <c r="C143" s="1453">
        <v>100</v>
      </c>
      <c r="D143" s="1453"/>
      <c r="E143" s="1454"/>
      <c r="F143" s="1455">
        <v>100.5</v>
      </c>
      <c r="G143" s="1453"/>
      <c r="H143" s="1456"/>
      <c r="I143" s="1470" t="s">
        <v>2168</v>
      </c>
      <c r="J143" s="1453">
        <v>15</v>
      </c>
      <c r="K143" s="1472">
        <f>ROUND(100+(J143-J140)*K139*100,1)</f>
        <v>102</v>
      </c>
    </row>
    <row r="144" ht="15" spans="2:11">
      <c r="B144" s="1452">
        <v>1</v>
      </c>
      <c r="C144" s="1453">
        <v>98</v>
      </c>
      <c r="D144" s="1457" t="s">
        <v>2169</v>
      </c>
      <c r="E144" s="1454">
        <v>102</v>
      </c>
      <c r="F144" s="1458">
        <v>100</v>
      </c>
      <c r="G144" s="1457" t="s">
        <v>2169</v>
      </c>
      <c r="H144" s="1456">
        <v>105</v>
      </c>
      <c r="I144" s="1470" t="s">
        <v>2168</v>
      </c>
      <c r="J144" s="1453">
        <v>18</v>
      </c>
      <c r="K144" s="1472">
        <f>ROUND(100+(J144-J140)*K139*100,1)</f>
        <v>103.2</v>
      </c>
    </row>
    <row r="145" ht="15.75" spans="2:11">
      <c r="B145" s="1459" t="s">
        <v>2170</v>
      </c>
      <c r="C145" s="1460">
        <f>ROUND(MAX(C139:C144)/MIN(C139:C144)-1,3)</f>
        <v>0.073</v>
      </c>
      <c r="D145" s="1461"/>
      <c r="E145" s="1461"/>
      <c r="F145" s="1462" t="s">
        <v>2171</v>
      </c>
      <c r="G145" s="1463"/>
      <c r="H145" s="1464"/>
      <c r="I145" s="1474" t="s">
        <v>2168</v>
      </c>
      <c r="J145" s="1475">
        <v>8</v>
      </c>
      <c r="K145" s="1476">
        <f>ROUND(100+(J145-J140)*K139*100,1)</f>
        <v>99.2</v>
      </c>
    </row>
    <row r="147" spans="2:2">
      <c r="B147" s="1436" t="s">
        <v>2172</v>
      </c>
    </row>
    <row r="148" spans="2:2">
      <c r="B148" s="1436" t="s">
        <v>2173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1307</v>
      </c>
      <c r="B1" s="1336" t="s">
        <v>2174</v>
      </c>
      <c r="C1" s="1202" t="s">
        <v>1309</v>
      </c>
      <c r="D1" s="1203"/>
      <c r="E1" s="1204"/>
      <c r="F1" s="1205"/>
      <c r="G1" s="1206" t="s">
        <v>1311</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1312</v>
      </c>
      <c r="B2" s="1208" t="e">
        <f ca="1">IF(C2="——",ROUND(C43*D3/10000,0),ROUND(C43*D3/10000,0)-D2)</f>
        <v>#DIV/0!</v>
      </c>
      <c r="C2" s="1209"/>
      <c r="D2" s="1162" t="e">
        <f ca="1">SUMIF(INDIRECT("'"&amp;F2&amp;"'"&amp;"!A:A"),"承租人权益价值",INDIRECT("'"&amp;F2&amp;"'"&amp;"!c:c"))</f>
        <v>#REF!</v>
      </c>
      <c r="E2" s="1210" t="s">
        <v>1313</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1314</v>
      </c>
      <c r="B3" s="801" t="e">
        <f ca="1">IF(C2="——",C43,ROUND(B2*10000/D3,0))</f>
        <v>#DIV/0!</v>
      </c>
      <c r="C3" s="1212" t="s">
        <v>1315</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1316</v>
      </c>
      <c r="B4" s="804"/>
      <c r="C4" s="805" t="s">
        <v>1317</v>
      </c>
      <c r="D4" s="806"/>
      <c r="E4" s="807" t="s">
        <v>1318</v>
      </c>
      <c r="F4" s="808"/>
      <c r="G4" s="805" t="s">
        <v>1319</v>
      </c>
      <c r="H4" s="806"/>
      <c r="I4" s="805" t="s">
        <v>1320</v>
      </c>
      <c r="J4" s="806"/>
      <c r="K4" s="960" t="s">
        <v>1321</v>
      </c>
      <c r="L4" s="1342"/>
      <c r="M4" s="1343"/>
      <c r="N4" s="1343"/>
      <c r="O4" s="1343"/>
      <c r="P4" s="963" t="s">
        <v>1322</v>
      </c>
      <c r="Q4" s="1012"/>
      <c r="R4" s="1013" t="s">
        <v>1318</v>
      </c>
      <c r="S4" s="1014"/>
      <c r="T4" s="1013" t="s">
        <v>1319</v>
      </c>
      <c r="U4" s="1014"/>
      <c r="V4" s="1002" t="s">
        <v>1320</v>
      </c>
      <c r="W4" s="1002"/>
      <c r="X4" s="1015"/>
      <c r="Y4" s="1013" t="s">
        <v>1322</v>
      </c>
      <c r="Z4" s="1014"/>
      <c r="AA4" s="1040" t="s">
        <v>1318</v>
      </c>
      <c r="AB4" s="1015" t="s">
        <v>1319</v>
      </c>
      <c r="AC4" s="1040" t="s">
        <v>1320</v>
      </c>
    </row>
    <row r="5" ht="15" spans="1:29">
      <c r="A5" s="809"/>
      <c r="B5" s="810"/>
      <c r="C5" s="811" t="s">
        <v>1323</v>
      </c>
      <c r="D5" s="812"/>
      <c r="E5" s="813" t="s">
        <v>2147</v>
      </c>
      <c r="F5" s="814"/>
      <c r="G5" s="811" t="s">
        <v>2148</v>
      </c>
      <c r="H5" s="812"/>
      <c r="I5" s="811" t="s">
        <v>2149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1327</v>
      </c>
      <c r="D6" s="1164"/>
      <c r="E6" s="1165" t="s">
        <v>1327</v>
      </c>
      <c r="F6" s="1166"/>
      <c r="G6" s="1163" t="s">
        <v>1327</v>
      </c>
      <c r="H6" s="1164"/>
      <c r="I6" s="1163" t="s">
        <v>1327</v>
      </c>
      <c r="J6" s="1164"/>
      <c r="K6" s="960" t="s">
        <v>1328</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1330</v>
      </c>
      <c r="Q7" s="1022"/>
      <c r="R7" s="1023" t="s">
        <v>1331</v>
      </c>
      <c r="S7" s="1024">
        <f t="shared" ref="S7:S15" si="0">F7</f>
        <v>0</v>
      </c>
      <c r="T7" s="1023" t="s">
        <v>1331</v>
      </c>
      <c r="U7" s="1024">
        <f t="shared" ref="U7:U15" si="1">H7</f>
        <v>0</v>
      </c>
      <c r="V7" s="1023" t="s">
        <v>1331</v>
      </c>
      <c r="W7" s="1024">
        <f t="shared" ref="W7:W15"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40" si="3">D8/F8</f>
        <v>#DIV/0!</v>
      </c>
      <c r="AB8" s="1042" t="e">
        <f t="shared" ref="AB8:AB40" si="4">D8/H8</f>
        <v>#DIV/0!</v>
      </c>
      <c r="AC8" s="1042" t="e">
        <f t="shared" ref="AC8:AC40" si="5">D8/J8</f>
        <v>#DIV/0!</v>
      </c>
    </row>
    <row r="9" s="784" customFormat="1" spans="1:29">
      <c r="A9" s="829" t="s">
        <v>1336</v>
      </c>
      <c r="B9" s="830" t="s">
        <v>1337</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1042">
        <f t="shared" si="5"/>
        <v>1</v>
      </c>
    </row>
    <row r="10" s="785" customFormat="1" ht="27" spans="1:29">
      <c r="A10" s="833"/>
      <c r="B10" s="834" t="s">
        <v>1340</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1342</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1331</v>
      </c>
      <c r="S11" s="1024" t="e">
        <f t="shared" si="0"/>
        <v>#N/A</v>
      </c>
      <c r="T11" s="1023" t="s">
        <v>1331</v>
      </c>
      <c r="U11" s="1024" t="e">
        <f t="shared" si="1"/>
        <v>#N/A</v>
      </c>
      <c r="V11" s="1023" t="s">
        <v>1331</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1042">
        <f t="shared" si="5"/>
        <v>1</v>
      </c>
    </row>
    <row r="15" ht="56.25" spans="1:29">
      <c r="A15" s="851" t="s">
        <v>1343</v>
      </c>
      <c r="B15" s="1169" t="s">
        <v>2175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1345</v>
      </c>
      <c r="Q15" s="548" t="str">
        <f t="shared" si="6"/>
        <v>产业集聚程度</v>
      </c>
      <c r="R15" s="1028" t="s">
        <v>1331</v>
      </c>
      <c r="S15" s="1029">
        <f t="shared" si="0"/>
        <v>100</v>
      </c>
      <c r="T15" s="1028" t="s">
        <v>1331</v>
      </c>
      <c r="U15" s="1029">
        <f t="shared" si="1"/>
        <v>100</v>
      </c>
      <c r="V15" s="1028" t="s">
        <v>1331</v>
      </c>
      <c r="W15" s="1029">
        <f t="shared" si="2"/>
        <v>100</v>
      </c>
      <c r="X15" s="1015"/>
      <c r="Y15" s="980" t="s">
        <v>1345</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1347</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1331</v>
      </c>
      <c r="S17" s="1029">
        <f>F17</f>
        <v>100</v>
      </c>
      <c r="T17" s="1028" t="s">
        <v>1331</v>
      </c>
      <c r="U17" s="1029">
        <f>H17</f>
        <v>100</v>
      </c>
      <c r="V17" s="1028" t="s">
        <v>1331</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1349</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1331</v>
      </c>
      <c r="S19" s="1029">
        <f>F19</f>
        <v>100</v>
      </c>
      <c r="T19" s="1028" t="s">
        <v>1331</v>
      </c>
      <c r="U19" s="1029">
        <f>H19</f>
        <v>100</v>
      </c>
      <c r="V19" s="1028" t="s">
        <v>1331</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1350</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1331</v>
      </c>
      <c r="S21" s="1029">
        <f>F21</f>
        <v>100</v>
      </c>
      <c r="T21" s="1028" t="s">
        <v>1331</v>
      </c>
      <c r="U21" s="1029">
        <f>H21</f>
        <v>100</v>
      </c>
      <c r="V21" s="1028" t="s">
        <v>1331</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1351</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1331</v>
      </c>
      <c r="S23" s="1029">
        <f>F23</f>
        <v>100</v>
      </c>
      <c r="T23" s="1028" t="s">
        <v>1331</v>
      </c>
      <c r="U23" s="1029">
        <f>H23</f>
        <v>100</v>
      </c>
      <c r="V23" s="1028" t="s">
        <v>1331</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1331</v>
      </c>
      <c r="S25" s="1029">
        <f>F25</f>
        <v>100</v>
      </c>
      <c r="T25" s="1028" t="s">
        <v>1331</v>
      </c>
      <c r="U25" s="1029">
        <f>H25</f>
        <v>100</v>
      </c>
      <c r="V25" s="1028" t="s">
        <v>1331</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1331</v>
      </c>
      <c r="S26" s="1029">
        <f>F26</f>
        <v>100</v>
      </c>
      <c r="T26" s="1028" t="s">
        <v>1331</v>
      </c>
      <c r="U26" s="1029">
        <f>H26</f>
        <v>100</v>
      </c>
      <c r="V26" s="1028" t="s">
        <v>1331</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1331</v>
      </c>
      <c r="S27" s="1024">
        <f>F27</f>
        <v>100</v>
      </c>
      <c r="T27" s="1023" t="s">
        <v>1331</v>
      </c>
      <c r="U27" s="1024">
        <f>H27</f>
        <v>100</v>
      </c>
      <c r="V27" s="1023" t="s">
        <v>1331</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1331</v>
      </c>
      <c r="S28" s="1029">
        <f t="shared" ref="S28:S40" si="12">F28</f>
        <v>100</v>
      </c>
      <c r="T28" s="1028" t="s">
        <v>1331</v>
      </c>
      <c r="U28" s="1029">
        <f t="shared" ref="U28:U40" si="13">H28</f>
        <v>100</v>
      </c>
      <c r="V28" s="1028" t="s">
        <v>1331</v>
      </c>
      <c r="W28" s="1029">
        <f t="shared" ref="W28:W40" si="14">J28</f>
        <v>100</v>
      </c>
      <c r="X28" s="1015"/>
      <c r="Y28" s="981"/>
      <c r="Z28" s="1002">
        <f t="shared" ref="Z28:Z40" si="15">Q28</f>
        <v>111</v>
      </c>
      <c r="AA28" s="1044">
        <f t="shared" si="3"/>
        <v>1</v>
      </c>
      <c r="AB28" s="1044">
        <f t="shared" si="4"/>
        <v>1</v>
      </c>
      <c r="AC28" s="1044">
        <f t="shared" si="5"/>
        <v>1</v>
      </c>
    </row>
    <row r="29" ht="28.5" spans="1:29">
      <c r="A29" s="1229" t="s">
        <v>1361</v>
      </c>
      <c r="B29" s="830" t="s">
        <v>1362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1364</v>
      </c>
      <c r="Q29" s="548" t="str">
        <f t="shared" si="11"/>
        <v>建筑类型</v>
      </c>
      <c r="R29" s="1028" t="s">
        <v>1331</v>
      </c>
      <c r="S29" s="1029">
        <f t="shared" si="12"/>
        <v>100</v>
      </c>
      <c r="T29" s="1028" t="s">
        <v>1331</v>
      </c>
      <c r="U29" s="1029">
        <f t="shared" si="13"/>
        <v>100</v>
      </c>
      <c r="V29" s="1028" t="s">
        <v>1331</v>
      </c>
      <c r="W29" s="1029">
        <f t="shared" si="14"/>
        <v>100</v>
      </c>
      <c r="X29" s="1015"/>
      <c r="Y29" s="990" t="s">
        <v>1364</v>
      </c>
      <c r="Z29" s="1002" t="str">
        <f t="shared" si="15"/>
        <v>建筑类型</v>
      </c>
      <c r="AA29" s="1044">
        <f t="shared" si="3"/>
        <v>1</v>
      </c>
      <c r="AB29" s="1044">
        <f t="shared" si="4"/>
        <v>1</v>
      </c>
      <c r="AC29" s="1044">
        <f t="shared" si="5"/>
        <v>1</v>
      </c>
    </row>
    <row r="30" s="786" customFormat="1" ht="15" spans="1:29">
      <c r="A30" s="893"/>
      <c r="B30" s="834" t="s">
        <v>1365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1331</v>
      </c>
      <c r="S30" s="1031" t="e">
        <f t="shared" si="12"/>
        <v>#N/A</v>
      </c>
      <c r="T30" s="1030" t="s">
        <v>1331</v>
      </c>
      <c r="U30" s="1031" t="e">
        <f t="shared" si="13"/>
        <v>#N/A</v>
      </c>
      <c r="V30" s="1030" t="s">
        <v>1331</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1366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1331</v>
      </c>
      <c r="S31" s="1029">
        <f t="shared" si="12"/>
        <v>100</v>
      </c>
      <c r="T31" s="1028" t="s">
        <v>1331</v>
      </c>
      <c r="U31" s="1029">
        <f t="shared" si="13"/>
        <v>100</v>
      </c>
      <c r="V31" s="1028" t="s">
        <v>1331</v>
      </c>
      <c r="W31" s="1029">
        <f t="shared" si="14"/>
        <v>100</v>
      </c>
      <c r="X31" s="1015"/>
      <c r="Y31" s="990"/>
      <c r="Z31" s="1002" t="str">
        <f t="shared" si="15"/>
        <v>建筑结构</v>
      </c>
      <c r="AA31" s="1044">
        <f t="shared" si="3"/>
        <v>1</v>
      </c>
      <c r="AB31" s="1044">
        <f t="shared" si="4"/>
        <v>1</v>
      </c>
      <c r="AC31" s="1044">
        <f t="shared" si="5"/>
        <v>1</v>
      </c>
    </row>
    <row r="32" ht="15" spans="1:29">
      <c r="A32" s="888"/>
      <c r="B32" s="834" t="s">
        <v>1368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1331</v>
      </c>
      <c r="S32" s="1029">
        <f t="shared" si="12"/>
        <v>100</v>
      </c>
      <c r="T32" s="1028" t="s">
        <v>1331</v>
      </c>
      <c r="U32" s="1029">
        <f t="shared" si="13"/>
        <v>100</v>
      </c>
      <c r="V32" s="1028" t="s">
        <v>1331</v>
      </c>
      <c r="W32" s="1029">
        <f t="shared" si="14"/>
        <v>100</v>
      </c>
      <c r="X32" s="1015"/>
      <c r="Y32" s="990"/>
      <c r="Z32" s="1002" t="str">
        <f t="shared" si="15"/>
        <v>公共部分装修</v>
      </c>
      <c r="AA32" s="1044">
        <f t="shared" si="3"/>
        <v>1</v>
      </c>
      <c r="AB32" s="1044">
        <f t="shared" si="4"/>
        <v>1</v>
      </c>
      <c r="AC32" s="1044">
        <f t="shared" si="5"/>
        <v>1</v>
      </c>
    </row>
    <row r="33" ht="15" spans="1:29">
      <c r="A33" s="888"/>
      <c r="B33" s="834" t="s">
        <v>619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1331</v>
      </c>
      <c r="S33" s="1029" t="e">
        <f t="shared" si="12"/>
        <v>#N/A</v>
      </c>
      <c r="T33" s="1028" t="s">
        <v>1331</v>
      </c>
      <c r="U33" s="1029" t="e">
        <f t="shared" si="13"/>
        <v>#N/A</v>
      </c>
      <c r="V33" s="1028" t="s">
        <v>1331</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1373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1331</v>
      </c>
      <c r="S34" s="1024">
        <f t="shared" si="12"/>
        <v>100</v>
      </c>
      <c r="T34" s="1023" t="s">
        <v>1331</v>
      </c>
      <c r="U34" s="1024">
        <f t="shared" si="13"/>
        <v>100</v>
      </c>
      <c r="V34" s="1023" t="s">
        <v>1331</v>
      </c>
      <c r="W34" s="1024">
        <f t="shared" si="14"/>
        <v>100</v>
      </c>
      <c r="X34" s="1025"/>
      <c r="Y34" s="990"/>
      <c r="Z34" s="1043" t="str">
        <f t="shared" si="15"/>
        <v>物业管理</v>
      </c>
      <c r="AA34" s="1042">
        <f t="shared" si="3"/>
        <v>1</v>
      </c>
      <c r="AB34" s="1042">
        <f t="shared" si="4"/>
        <v>1</v>
      </c>
      <c r="AC34" s="1042">
        <f t="shared" si="5"/>
        <v>1</v>
      </c>
    </row>
    <row r="35" ht="15" spans="1:29">
      <c r="A35" s="888"/>
      <c r="B35" s="834" t="s">
        <v>1375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1364</v>
      </c>
      <c r="Q35" s="548" t="str">
        <f t="shared" si="11"/>
        <v>市政基础设施</v>
      </c>
      <c r="R35" s="1028" t="s">
        <v>1331</v>
      </c>
      <c r="S35" s="1029">
        <f t="shared" si="12"/>
        <v>100</v>
      </c>
      <c r="T35" s="1028" t="s">
        <v>1331</v>
      </c>
      <c r="U35" s="1029">
        <f t="shared" si="13"/>
        <v>100</v>
      </c>
      <c r="V35" s="1028" t="s">
        <v>1331</v>
      </c>
      <c r="W35" s="1029">
        <f t="shared" si="14"/>
        <v>100</v>
      </c>
      <c r="X35" s="1015"/>
      <c r="Y35" s="990" t="s">
        <v>1364</v>
      </c>
      <c r="Z35" s="1002" t="str">
        <f t="shared" si="15"/>
        <v>市政基础设施</v>
      </c>
      <c r="AA35" s="1044">
        <f t="shared" si="3"/>
        <v>1</v>
      </c>
      <c r="AB35" s="1044">
        <f t="shared" si="4"/>
        <v>1</v>
      </c>
      <c r="AC35" s="1044">
        <f t="shared" si="5"/>
        <v>1</v>
      </c>
    </row>
    <row r="36" ht="15" spans="1:29">
      <c r="A36" s="888"/>
      <c r="B36" s="834" t="s">
        <v>1379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1331</v>
      </c>
      <c r="S36" s="1029">
        <f t="shared" si="12"/>
        <v>100</v>
      </c>
      <c r="T36" s="1028" t="s">
        <v>1331</v>
      </c>
      <c r="U36" s="1029">
        <f t="shared" si="13"/>
        <v>100</v>
      </c>
      <c r="V36" s="1028" t="s">
        <v>1331</v>
      </c>
      <c r="W36" s="1029">
        <f t="shared" si="14"/>
        <v>100</v>
      </c>
      <c r="X36" s="1015"/>
      <c r="Y36" s="990"/>
      <c r="Z36" s="1002" t="str">
        <f t="shared" si="15"/>
        <v>内部装修</v>
      </c>
      <c r="AA36" s="1044">
        <f t="shared" si="3"/>
        <v>1</v>
      </c>
      <c r="AB36" s="1044">
        <f t="shared" si="4"/>
        <v>1</v>
      </c>
      <c r="AC36" s="1044">
        <f t="shared" si="5"/>
        <v>1</v>
      </c>
    </row>
    <row r="37" ht="15" spans="1:29">
      <c r="A37" s="888"/>
      <c r="B37" s="834" t="s">
        <v>2176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1331</v>
      </c>
      <c r="S37" s="1029">
        <f t="shared" si="12"/>
        <v>100</v>
      </c>
      <c r="T37" s="1028" t="s">
        <v>1331</v>
      </c>
      <c r="U37" s="1029">
        <f t="shared" si="13"/>
        <v>100</v>
      </c>
      <c r="V37" s="1028" t="s">
        <v>1331</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1331</v>
      </c>
      <c r="S38" s="1031">
        <f t="shared" si="12"/>
        <v>100</v>
      </c>
      <c r="T38" s="1030" t="s">
        <v>1331</v>
      </c>
      <c r="U38" s="1031">
        <f t="shared" si="13"/>
        <v>100</v>
      </c>
      <c r="V38" s="1030" t="s">
        <v>1331</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1331</v>
      </c>
      <c r="S39" s="1029">
        <f t="shared" si="12"/>
        <v>100</v>
      </c>
      <c r="T39" s="1028" t="s">
        <v>1331</v>
      </c>
      <c r="U39" s="1029">
        <f t="shared" si="13"/>
        <v>100</v>
      </c>
      <c r="V39" s="1028" t="s">
        <v>1331</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1331</v>
      </c>
      <c r="S40" s="1029">
        <f t="shared" si="12"/>
        <v>100</v>
      </c>
      <c r="T40" s="1028" t="s">
        <v>1331</v>
      </c>
      <c r="U40" s="1029">
        <f t="shared" si="13"/>
        <v>100</v>
      </c>
      <c r="V40" s="1028" t="s">
        <v>1331</v>
      </c>
      <c r="W40" s="1029">
        <f t="shared" si="14"/>
        <v>100</v>
      </c>
      <c r="X40" s="1015"/>
      <c r="Y40" s="1355"/>
      <c r="Z40" s="1002">
        <f t="shared" si="15"/>
        <v>111</v>
      </c>
      <c r="AA40" s="1044">
        <f t="shared" si="3"/>
        <v>1</v>
      </c>
      <c r="AB40" s="1044">
        <f t="shared" si="4"/>
        <v>1</v>
      </c>
      <c r="AC40" s="1044">
        <f t="shared" si="5"/>
        <v>1</v>
      </c>
    </row>
    <row r="41" ht="15" spans="1:29">
      <c r="A41" s="895" t="s">
        <v>1382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1383</v>
      </c>
      <c r="B42" s="1246"/>
      <c r="C42" s="1247" t="e">
        <f>R43</f>
        <v>#DIV/0!</v>
      </c>
      <c r="D42" s="906" t="s">
        <v>1384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1385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1386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1387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1388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1389</v>
      </c>
      <c r="B51" s="950"/>
      <c r="C51" s="951"/>
      <c r="D51" s="951"/>
      <c r="E51" s="951"/>
      <c r="F51" s="952"/>
      <c r="G51" s="952"/>
      <c r="H51" s="951"/>
      <c r="I51" s="951"/>
      <c r="J51" s="951"/>
      <c r="K51" s="1195"/>
      <c r="L51" s="1196"/>
      <c r="M51" s="1010"/>
      <c r="N51" s="1010"/>
      <c r="O51" s="1010"/>
      <c r="P51" s="1359"/>
      <c r="Q51" s="1361"/>
    </row>
    <row r="52" s="789" customFormat="1" ht="15" spans="1:16">
      <c r="A52" s="1251" t="s">
        <v>1329</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1390</v>
      </c>
      <c r="B54" s="1054"/>
      <c r="C54" s="1055"/>
      <c r="D54" s="1056"/>
      <c r="E54" s="1056"/>
      <c r="F54" s="1056"/>
      <c r="G54" s="1056"/>
      <c r="H54" s="1056"/>
      <c r="I54" s="1056"/>
      <c r="J54" s="1056"/>
      <c r="K54" s="1056"/>
      <c r="L54" s="1056"/>
      <c r="M54" s="1104"/>
      <c r="N54" s="1362"/>
      <c r="O54" s="1363"/>
      <c r="P54" s="1361"/>
      <c r="Q54" s="1361"/>
    </row>
    <row r="55" s="784" customFormat="1" ht="15" spans="1:17">
      <c r="A55" s="1057" t="s">
        <v>1332</v>
      </c>
      <c r="B55" s="1058"/>
      <c r="C55" s="1059" t="s">
        <v>1333</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1391</v>
      </c>
      <c r="B57" s="1064" t="s">
        <v>1337</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1340</v>
      </c>
      <c r="C59" s="1069" t="s">
        <v>1392</v>
      </c>
      <c r="D59" s="1069" t="s">
        <v>1393</v>
      </c>
      <c r="E59" s="1069" t="s">
        <v>1394</v>
      </c>
      <c r="F59" s="1069" t="s">
        <v>1395</v>
      </c>
      <c r="G59" s="1069" t="s">
        <v>1396</v>
      </c>
      <c r="H59" s="1069" t="s">
        <v>1397</v>
      </c>
      <c r="I59" s="1069" t="s">
        <v>1398</v>
      </c>
      <c r="J59" s="1069"/>
      <c r="K59" s="1118"/>
      <c r="L59" s="1119"/>
      <c r="M59" s="1120"/>
      <c r="N59" s="1366"/>
      <c r="O59" s="1366"/>
      <c r="P59" s="1367"/>
      <c r="Q59" s="1361"/>
    </row>
    <row r="60" ht="15.75" spans="1:17">
      <c r="A60" s="1065"/>
      <c r="B60" s="1070"/>
      <c r="C60" s="1071" t="s">
        <v>1399</v>
      </c>
      <c r="D60" s="1071" t="s">
        <v>1399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1342</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1343</v>
      </c>
      <c r="B70" s="1064" t="s">
        <v>2175</v>
      </c>
      <c r="C70" s="1085" t="s">
        <v>1400</v>
      </c>
      <c r="D70" s="1085" t="s">
        <v>1401</v>
      </c>
      <c r="E70" s="1085" t="s">
        <v>1402</v>
      </c>
      <c r="F70" s="1085" t="s">
        <v>1403</v>
      </c>
      <c r="G70" s="1085" t="s">
        <v>1404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1347</v>
      </c>
      <c r="C72" s="1087" t="s">
        <v>1400</v>
      </c>
      <c r="D72" s="1087" t="s">
        <v>1401</v>
      </c>
      <c r="E72" s="1087" t="s">
        <v>1402</v>
      </c>
      <c r="F72" s="1087" t="s">
        <v>1403</v>
      </c>
      <c r="G72" s="1087" t="s">
        <v>1404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1349</v>
      </c>
      <c r="C74" s="1087" t="s">
        <v>1400</v>
      </c>
      <c r="D74" s="1087" t="s">
        <v>1401</v>
      </c>
      <c r="E74" s="1087" t="s">
        <v>1402</v>
      </c>
      <c r="F74" s="1087" t="s">
        <v>1403</v>
      </c>
      <c r="G74" s="1087" t="s">
        <v>1404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1350</v>
      </c>
      <c r="C76" s="1092" t="s">
        <v>1405</v>
      </c>
      <c r="D76" s="1092" t="s">
        <v>1406</v>
      </c>
      <c r="E76" s="1092" t="s">
        <v>1407</v>
      </c>
      <c r="F76" s="1092" t="s">
        <v>1408</v>
      </c>
      <c r="G76" s="1092" t="s">
        <v>1409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1351</v>
      </c>
      <c r="C78" s="1087" t="s">
        <v>1400</v>
      </c>
      <c r="D78" s="1087" t="s">
        <v>1401</v>
      </c>
      <c r="E78" s="1087" t="s">
        <v>1402</v>
      </c>
      <c r="F78" s="1087" t="s">
        <v>1403</v>
      </c>
      <c r="G78" s="1087" t="s">
        <v>1404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1361</v>
      </c>
      <c r="B88" s="1064" t="s">
        <v>1362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1365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1366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1368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619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1373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1375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1379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2177</v>
      </c>
      <c r="C106" s="1087" t="s">
        <v>1400</v>
      </c>
      <c r="D106" s="1087" t="s">
        <v>1401</v>
      </c>
      <c r="E106" s="1087" t="s">
        <v>1402</v>
      </c>
      <c r="F106" s="1087" t="s">
        <v>1403</v>
      </c>
      <c r="G106" s="1087" t="s">
        <v>1404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2178</v>
      </c>
      <c r="B1" s="1201"/>
      <c r="C1" s="1202" t="s">
        <v>1309</v>
      </c>
      <c r="D1" s="1203"/>
      <c r="E1" s="1280"/>
      <c r="F1" s="1205"/>
      <c r="G1" s="1281" t="s">
        <v>1311</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1312</v>
      </c>
      <c r="B2" s="1208" t="e">
        <f ca="1">IF(C2="——",IF(B37="元/平方米",ROUND(C39*D3/10000,0),ROUND(F3*C39/10000,0)),IF(B37="元/平方米",ROUND(C39*D3/10000,0),ROUND(F3*C39/10000,0))-D2)</f>
        <v>#DIV/0!</v>
      </c>
      <c r="C2" s="1209"/>
      <c r="D2" s="1162" t="e">
        <f ca="1">SUMIF(INDIRECT("'"&amp;F2&amp;"'"&amp;"!A:A"),"承租人权益价值",INDIRECT("'"&amp;F2&amp;"'"&amp;"!c:c"))</f>
        <v>#REF!</v>
      </c>
      <c r="E2" s="1210" t="s">
        <v>1313</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1314</v>
      </c>
      <c r="B3" s="801" t="e">
        <f ca="1">IF(AND(C2="——",B37="元/平方米"),C39,ROUND(B2*10000/D3,0))</f>
        <v>#DIV/0!</v>
      </c>
      <c r="C3" s="1212" t="s">
        <v>1315</v>
      </c>
      <c r="D3" s="1213">
        <f>SUMIF('数据-汇总表'!$C19:$C33,D1,'数据-汇总表'!$E19:$E33)</f>
        <v>0</v>
      </c>
      <c r="E3" s="1212" t="s">
        <v>2179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15" t="s">
        <v>1319</v>
      </c>
      <c r="AC4" s="1040" t="s">
        <v>1320</v>
      </c>
    </row>
    <row r="5" ht="15" spans="1:29">
      <c r="A5" s="809"/>
      <c r="B5" s="810"/>
      <c r="C5" s="811" t="s">
        <v>1323</v>
      </c>
      <c r="D5" s="812"/>
      <c r="E5" s="813" t="s">
        <v>2147</v>
      </c>
      <c r="F5" s="814"/>
      <c r="G5" s="811" t="s">
        <v>2148</v>
      </c>
      <c r="H5" s="812"/>
      <c r="I5" s="811" t="s">
        <v>2149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1327</v>
      </c>
      <c r="D6" s="1164"/>
      <c r="E6" s="1165" t="s">
        <v>1327</v>
      </c>
      <c r="F6" s="1166"/>
      <c r="G6" s="1163" t="s">
        <v>1327</v>
      </c>
      <c r="H6" s="1164"/>
      <c r="I6" s="1163" t="s">
        <v>1327</v>
      </c>
      <c r="J6" s="1164"/>
      <c r="K6" s="960" t="s">
        <v>1328</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1330</v>
      </c>
      <c r="Q7" s="1022"/>
      <c r="R7" s="1023" t="s">
        <v>1331</v>
      </c>
      <c r="S7" s="1024">
        <f t="shared" ref="S7:S14" si="0">F7</f>
        <v>0</v>
      </c>
      <c r="T7" s="1023" t="s">
        <v>1331</v>
      </c>
      <c r="U7" s="1024">
        <f t="shared" ref="U7:U14" si="1">H7</f>
        <v>0</v>
      </c>
      <c r="V7" s="1023" t="s">
        <v>1331</v>
      </c>
      <c r="W7" s="1024">
        <f t="shared" ref="W7:W14"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36" si="3">D8/F8</f>
        <v>#DIV/0!</v>
      </c>
      <c r="AB8" s="1042" t="e">
        <f t="shared" ref="AB8:AB36" si="4">D8/H8</f>
        <v>#DIV/0!</v>
      </c>
      <c r="AC8" s="1042" t="e">
        <f t="shared" ref="AC8:AC36" si="5">D8/J8</f>
        <v>#DIV/0!</v>
      </c>
    </row>
    <row r="9" s="784" customFormat="1" spans="1:29">
      <c r="A9" s="1282" t="s">
        <v>1336</v>
      </c>
      <c r="B9" s="1283" t="s">
        <v>1337</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1338</v>
      </c>
      <c r="Q9" s="1027" t="str">
        <f t="shared" ref="Q9:Q14" si="6">B9</f>
        <v>用途</v>
      </c>
      <c r="R9" s="1023" t="s">
        <v>1331</v>
      </c>
      <c r="S9" s="1024">
        <f t="shared" si="0"/>
        <v>100</v>
      </c>
      <c r="T9" s="1023" t="s">
        <v>1331</v>
      </c>
      <c r="U9" s="1024">
        <f t="shared" si="1"/>
        <v>100</v>
      </c>
      <c r="V9" s="1023" t="s">
        <v>1331</v>
      </c>
      <c r="W9" s="1024">
        <f t="shared" si="2"/>
        <v>100</v>
      </c>
      <c r="X9" s="1025"/>
      <c r="Y9" s="1027" t="s">
        <v>1339</v>
      </c>
      <c r="Z9" s="1043" t="str">
        <f t="shared" ref="Z9:Z14" si="7">Q9</f>
        <v>用途</v>
      </c>
      <c r="AA9" s="1042">
        <f t="shared" si="3"/>
        <v>1</v>
      </c>
      <c r="AB9" s="1042">
        <f t="shared" si="4"/>
        <v>1</v>
      </c>
      <c r="AC9" s="1042">
        <f t="shared" si="5"/>
        <v>1</v>
      </c>
    </row>
    <row r="10" s="785" customFormat="1" ht="27" spans="1:29">
      <c r="A10" s="1285"/>
      <c r="B10" s="1286" t="s">
        <v>1340</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1331</v>
      </c>
      <c r="S11" s="1024">
        <f t="shared" si="0"/>
        <v>100</v>
      </c>
      <c r="T11" s="1023" t="s">
        <v>1331</v>
      </c>
      <c r="U11" s="1024">
        <f t="shared" si="1"/>
        <v>100</v>
      </c>
      <c r="V11" s="1023" t="s">
        <v>1331</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81" spans="1:29">
      <c r="A14" s="803" t="s">
        <v>1343</v>
      </c>
      <c r="B14" s="852" t="s">
        <v>1347</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1345</v>
      </c>
      <c r="Q14" s="548" t="str">
        <f t="shared" si="6"/>
        <v>交通便捷度</v>
      </c>
      <c r="R14" s="1028" t="s">
        <v>1331</v>
      </c>
      <c r="S14" s="1029">
        <f t="shared" si="0"/>
        <v>100</v>
      </c>
      <c r="T14" s="1028" t="s">
        <v>1331</v>
      </c>
      <c r="U14" s="1029">
        <f t="shared" si="1"/>
        <v>100</v>
      </c>
      <c r="V14" s="1028" t="s">
        <v>1331</v>
      </c>
      <c r="W14" s="1029">
        <f t="shared" si="2"/>
        <v>100</v>
      </c>
      <c r="X14" s="1015"/>
      <c r="Y14" s="980" t="s">
        <v>1345</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1349</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1331</v>
      </c>
      <c r="S16" s="1029">
        <f>F16</f>
        <v>100</v>
      </c>
      <c r="T16" s="1028" t="s">
        <v>1331</v>
      </c>
      <c r="U16" s="1029">
        <f>H16</f>
        <v>100</v>
      </c>
      <c r="V16" s="1028" t="s">
        <v>1331</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1350</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1331</v>
      </c>
      <c r="S18" s="1029">
        <f>F18</f>
        <v>100</v>
      </c>
      <c r="T18" s="1028" t="s">
        <v>1331</v>
      </c>
      <c r="U18" s="1029">
        <f>H18</f>
        <v>100</v>
      </c>
      <c r="V18" s="1028" t="s">
        <v>1331</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1706</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1331</v>
      </c>
      <c r="S20" s="1029">
        <f>F20</f>
        <v>100</v>
      </c>
      <c r="T20" s="1028" t="s">
        <v>1331</v>
      </c>
      <c r="U20" s="1029">
        <f>H20</f>
        <v>100</v>
      </c>
      <c r="V20" s="1028" t="s">
        <v>1331</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1357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1331</v>
      </c>
      <c r="S22" s="1029">
        <f>F22</f>
        <v>100</v>
      </c>
      <c r="T22" s="1028" t="s">
        <v>1331</v>
      </c>
      <c r="U22" s="1029">
        <f>H22</f>
        <v>100</v>
      </c>
      <c r="V22" s="1028" t="s">
        <v>1331</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1331</v>
      </c>
      <c r="S23" s="1029">
        <f>F23</f>
        <v>100</v>
      </c>
      <c r="T23" s="1028" t="s">
        <v>1331</v>
      </c>
      <c r="U23" s="1029">
        <f>H23</f>
        <v>100</v>
      </c>
      <c r="V23" s="1028" t="s">
        <v>1331</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1331</v>
      </c>
      <c r="S24" s="1029">
        <f>F24</f>
        <v>100</v>
      </c>
      <c r="T24" s="1028" t="s">
        <v>1331</v>
      </c>
      <c r="U24" s="1029">
        <f>H24</f>
        <v>100</v>
      </c>
      <c r="V24" s="1028" t="s">
        <v>1331</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1331</v>
      </c>
      <c r="S25" s="1024">
        <f>F25</f>
        <v>100</v>
      </c>
      <c r="T25" s="1023" t="s">
        <v>1331</v>
      </c>
      <c r="U25" s="1024">
        <f>H25</f>
        <v>100</v>
      </c>
      <c r="V25" s="1023" t="s">
        <v>1331</v>
      </c>
      <c r="W25" s="1024">
        <f>J25</f>
        <v>100</v>
      </c>
      <c r="X25" s="1025"/>
      <c r="Y25" s="981"/>
      <c r="Z25" s="1043">
        <f>Q25</f>
        <v>111</v>
      </c>
      <c r="AA25" s="1044">
        <f t="shared" si="3"/>
        <v>1</v>
      </c>
      <c r="AB25" s="1044">
        <f t="shared" si="4"/>
        <v>1</v>
      </c>
      <c r="AC25" s="1044">
        <f t="shared" si="5"/>
        <v>1</v>
      </c>
    </row>
    <row r="26" ht="28.5" spans="1:29">
      <c r="A26" s="1298" t="s">
        <v>1361</v>
      </c>
      <c r="B26" s="1299" t="s">
        <v>2180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1364</v>
      </c>
      <c r="Q26" s="548" t="str">
        <f t="shared" si="11"/>
        <v>配套类型</v>
      </c>
      <c r="R26" s="1028" t="s">
        <v>1331</v>
      </c>
      <c r="S26" s="1029">
        <f t="shared" ref="S26:S36" si="12">F26</f>
        <v>100</v>
      </c>
      <c r="T26" s="1028" t="s">
        <v>1331</v>
      </c>
      <c r="U26" s="1029">
        <f t="shared" ref="U26:U36" si="13">H26</f>
        <v>100</v>
      </c>
      <c r="V26" s="1028" t="s">
        <v>1331</v>
      </c>
      <c r="W26" s="1029">
        <f t="shared" ref="W26:W36" si="14">J26</f>
        <v>100</v>
      </c>
      <c r="X26" s="1015"/>
      <c r="Y26" s="990" t="s">
        <v>1364</v>
      </c>
      <c r="Z26" s="1002" t="str">
        <f t="shared" ref="Z26:Z36" si="15">Q26</f>
        <v>配套类型</v>
      </c>
      <c r="AA26" s="1044">
        <f t="shared" si="3"/>
        <v>1</v>
      </c>
      <c r="AB26" s="1044">
        <f t="shared" si="4"/>
        <v>1</v>
      </c>
      <c r="AC26" s="1044">
        <f t="shared" si="5"/>
        <v>1</v>
      </c>
    </row>
    <row r="27" s="786" customFormat="1" ht="15" spans="1:29">
      <c r="A27" s="1301"/>
      <c r="B27" s="874" t="s">
        <v>2181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1331</v>
      </c>
      <c r="S27" s="1031">
        <f t="shared" si="12"/>
        <v>100</v>
      </c>
      <c r="T27" s="1030" t="s">
        <v>1331</v>
      </c>
      <c r="U27" s="1031">
        <f t="shared" si="13"/>
        <v>100</v>
      </c>
      <c r="V27" s="1030" t="s">
        <v>1331</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1368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1331</v>
      </c>
      <c r="S28" s="1029">
        <f t="shared" si="12"/>
        <v>100</v>
      </c>
      <c r="T28" s="1028" t="s">
        <v>1331</v>
      </c>
      <c r="U28" s="1029">
        <f t="shared" si="13"/>
        <v>100</v>
      </c>
      <c r="V28" s="1028" t="s">
        <v>1331</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2182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1331</v>
      </c>
      <c r="S29" s="1029" t="e">
        <f t="shared" si="12"/>
        <v>#N/A</v>
      </c>
      <c r="T29" s="1028" t="s">
        <v>1331</v>
      </c>
      <c r="U29" s="1029" t="e">
        <f t="shared" si="13"/>
        <v>#N/A</v>
      </c>
      <c r="V29" s="1028" t="s">
        <v>1331</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2183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1331</v>
      </c>
      <c r="S30" s="1029">
        <f t="shared" si="12"/>
        <v>100</v>
      </c>
      <c r="T30" s="1028" t="s">
        <v>1331</v>
      </c>
      <c r="U30" s="1029">
        <f t="shared" si="13"/>
        <v>100</v>
      </c>
      <c r="V30" s="1028" t="s">
        <v>1331</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2184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1331</v>
      </c>
      <c r="S31" s="1024" t="e">
        <f t="shared" si="12"/>
        <v>#N/A</v>
      </c>
      <c r="T31" s="1023" t="s">
        <v>1331</v>
      </c>
      <c r="U31" s="1024" t="e">
        <f t="shared" si="13"/>
        <v>#N/A</v>
      </c>
      <c r="V31" s="1023" t="s">
        <v>1331</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2185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1364</v>
      </c>
      <c r="Q32" s="548" t="str">
        <f t="shared" si="11"/>
        <v>车位类型</v>
      </c>
      <c r="R32" s="1028" t="s">
        <v>1331</v>
      </c>
      <c r="S32" s="1029">
        <f t="shared" si="12"/>
        <v>100</v>
      </c>
      <c r="T32" s="1028" t="s">
        <v>1331</v>
      </c>
      <c r="U32" s="1029">
        <f t="shared" si="13"/>
        <v>100</v>
      </c>
      <c r="V32" s="1028" t="s">
        <v>1331</v>
      </c>
      <c r="W32" s="1029">
        <f t="shared" si="14"/>
        <v>100</v>
      </c>
      <c r="X32" s="1015"/>
      <c r="Y32" s="990" t="s">
        <v>1364</v>
      </c>
      <c r="Z32" s="1002" t="str">
        <f t="shared" si="15"/>
        <v>车位类型</v>
      </c>
      <c r="AA32" s="1044">
        <f t="shared" si="3"/>
        <v>1</v>
      </c>
      <c r="AB32" s="1044">
        <f t="shared" si="4"/>
        <v>1</v>
      </c>
      <c r="AC32" s="1044">
        <f t="shared" si="5"/>
        <v>1</v>
      </c>
    </row>
    <row r="33" ht="15" spans="1:29">
      <c r="A33" s="1303"/>
      <c r="B33" s="874" t="s">
        <v>2186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1331</v>
      </c>
      <c r="S33" s="1029">
        <f t="shared" si="12"/>
        <v>100</v>
      </c>
      <c r="T33" s="1028" t="s">
        <v>1331</v>
      </c>
      <c r="U33" s="1029">
        <f t="shared" si="13"/>
        <v>100</v>
      </c>
      <c r="V33" s="1028" t="s">
        <v>1331</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1331</v>
      </c>
      <c r="S34" s="1029">
        <f t="shared" si="12"/>
        <v>100</v>
      </c>
      <c r="T34" s="1028" t="s">
        <v>1331</v>
      </c>
      <c r="U34" s="1029">
        <f t="shared" si="13"/>
        <v>100</v>
      </c>
      <c r="V34" s="1028" t="s">
        <v>1331</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1331</v>
      </c>
      <c r="S35" s="1031">
        <f t="shared" si="12"/>
        <v>100</v>
      </c>
      <c r="T35" s="1030" t="s">
        <v>1331</v>
      </c>
      <c r="U35" s="1031">
        <f t="shared" si="13"/>
        <v>100</v>
      </c>
      <c r="V35" s="1030" t="s">
        <v>1331</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1331</v>
      </c>
      <c r="S36" s="1029">
        <f t="shared" si="12"/>
        <v>100</v>
      </c>
      <c r="T36" s="1028" t="s">
        <v>1331</v>
      </c>
      <c r="U36" s="1029">
        <f t="shared" si="13"/>
        <v>100</v>
      </c>
      <c r="V36" s="1028" t="s">
        <v>1331</v>
      </c>
      <c r="W36" s="1029">
        <f t="shared" si="14"/>
        <v>100</v>
      </c>
      <c r="X36" s="1015"/>
      <c r="Y36" s="990"/>
      <c r="Z36" s="1002">
        <f t="shared" si="15"/>
        <v>111</v>
      </c>
      <c r="AA36" s="1044">
        <f t="shared" si="3"/>
        <v>1</v>
      </c>
      <c r="AB36" s="1044">
        <f t="shared" si="4"/>
        <v>1</v>
      </c>
      <c r="AC36" s="1044">
        <f t="shared" si="5"/>
        <v>1</v>
      </c>
    </row>
    <row r="37" ht="15" spans="1:29">
      <c r="A37" s="895" t="s">
        <v>2187</v>
      </c>
      <c r="B37" s="1306" t="s">
        <v>2188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1383</v>
      </c>
      <c r="B38" s="1246" t="str">
        <f>B37</f>
        <v>元/车位</v>
      </c>
      <c r="C38" s="1247" t="e">
        <f>R39</f>
        <v>#DIV/0!</v>
      </c>
      <c r="D38" s="906" t="s">
        <v>1384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2189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1386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1387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1388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1389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1329</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1390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1332</v>
      </c>
      <c r="B51" s="1058"/>
      <c r="C51" s="1059" t="s">
        <v>1333</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1391</v>
      </c>
      <c r="B53" s="1064" t="s">
        <v>1337</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1340</v>
      </c>
      <c r="C55" s="1069" t="s">
        <v>1392</v>
      </c>
      <c r="D55" s="1069" t="s">
        <v>1393</v>
      </c>
      <c r="E55" s="1069" t="s">
        <v>1394</v>
      </c>
      <c r="F55" s="1069" t="s">
        <v>1395</v>
      </c>
      <c r="G55" s="1069" t="s">
        <v>1396</v>
      </c>
      <c r="H55" s="1069" t="s">
        <v>1397</v>
      </c>
      <c r="I55" s="1069" t="s">
        <v>1398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1399</v>
      </c>
      <c r="D56" s="1071" t="s">
        <v>1399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1343</v>
      </c>
      <c r="B63" s="1064" t="s">
        <v>1347</v>
      </c>
      <c r="C63" s="1085" t="s">
        <v>1400</v>
      </c>
      <c r="D63" s="1085" t="s">
        <v>1401</v>
      </c>
      <c r="E63" s="1085" t="s">
        <v>1402</v>
      </c>
      <c r="F63" s="1085" t="s">
        <v>1403</v>
      </c>
      <c r="G63" s="1085" t="s">
        <v>1404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1349</v>
      </c>
      <c r="C65" s="1087" t="s">
        <v>1400</v>
      </c>
      <c r="D65" s="1087" t="s">
        <v>1401</v>
      </c>
      <c r="E65" s="1087" t="s">
        <v>1402</v>
      </c>
      <c r="F65" s="1087" t="s">
        <v>1403</v>
      </c>
      <c r="G65" s="1087" t="s">
        <v>1404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1350</v>
      </c>
      <c r="C67" s="1092" t="s">
        <v>1405</v>
      </c>
      <c r="D67" s="1092" t="s">
        <v>1406</v>
      </c>
      <c r="E67" s="1092" t="s">
        <v>1407</v>
      </c>
      <c r="F67" s="1092" t="s">
        <v>1408</v>
      </c>
      <c r="G67" s="1092" t="s">
        <v>1409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1706</v>
      </c>
      <c r="C69" s="1087" t="s">
        <v>1400</v>
      </c>
      <c r="D69" s="1087" t="s">
        <v>1401</v>
      </c>
      <c r="E69" s="1087" t="s">
        <v>1402</v>
      </c>
      <c r="F69" s="1087" t="s">
        <v>1403</v>
      </c>
      <c r="G69" s="1087" t="s">
        <v>1404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1357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1361</v>
      </c>
      <c r="B79" s="1064" t="s">
        <v>2190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2181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1368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2182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2183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2184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2185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2186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2178</v>
      </c>
      <c r="B1" s="1201"/>
      <c r="C1" s="1202" t="s">
        <v>1309</v>
      </c>
      <c r="D1" s="1203"/>
      <c r="E1" s="1204"/>
      <c r="F1" s="1205"/>
      <c r="G1" s="1206" t="s">
        <v>1311</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1312</v>
      </c>
      <c r="B2" s="1208" t="e">
        <f ca="1">IF(C2="——",ROUND(C37*D3/10000,0),ROUND(C37*D3/10000,0)-D2)</f>
        <v>#DIV/0!</v>
      </c>
      <c r="C2" s="1209"/>
      <c r="D2" s="1162" t="e">
        <f ca="1">SUMIF(INDIRECT("'"&amp;F2&amp;"'"&amp;"!A:A"),"承租人权益价值",INDIRECT("'"&amp;F2&amp;"'"&amp;"!c:c"))</f>
        <v>#REF!</v>
      </c>
      <c r="E2" s="1210" t="s">
        <v>1313</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1314</v>
      </c>
      <c r="B3" s="801" t="e">
        <f ca="1">IF(C2="——",C37,ROUND(B2*10000/D3,0))</f>
        <v>#DIV/0!</v>
      </c>
      <c r="C3" s="1212" t="s">
        <v>1315</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15" t="s">
        <v>1319</v>
      </c>
      <c r="AC4" s="1040" t="s">
        <v>1320</v>
      </c>
    </row>
    <row r="5" ht="15" spans="1:29">
      <c r="A5" s="809"/>
      <c r="B5" s="810"/>
      <c r="C5" s="811" t="s">
        <v>1323</v>
      </c>
      <c r="D5" s="812"/>
      <c r="E5" s="813" t="s">
        <v>2147</v>
      </c>
      <c r="F5" s="814"/>
      <c r="G5" s="811" t="s">
        <v>2148</v>
      </c>
      <c r="H5" s="812"/>
      <c r="I5" s="811" t="s">
        <v>2149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1327</v>
      </c>
      <c r="D6" s="1164"/>
      <c r="E6" s="1165" t="s">
        <v>1327</v>
      </c>
      <c r="F6" s="1166"/>
      <c r="G6" s="1163" t="s">
        <v>1327</v>
      </c>
      <c r="H6" s="1164"/>
      <c r="I6" s="1163" t="s">
        <v>1327</v>
      </c>
      <c r="J6" s="1164"/>
      <c r="K6" s="960" t="s">
        <v>1328</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1330</v>
      </c>
      <c r="Q7" s="1022"/>
      <c r="R7" s="1023" t="s">
        <v>1331</v>
      </c>
      <c r="S7" s="1024">
        <f t="shared" ref="S7:S14" si="0">F7</f>
        <v>0</v>
      </c>
      <c r="T7" s="1023" t="s">
        <v>1331</v>
      </c>
      <c r="U7" s="1024">
        <f t="shared" ref="U7:U14" si="1">H7</f>
        <v>0</v>
      </c>
      <c r="V7" s="1023" t="s">
        <v>1331</v>
      </c>
      <c r="W7" s="1024">
        <f t="shared" ref="W7:W14"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34" si="3">D8/F8</f>
        <v>#DIV/0!</v>
      </c>
      <c r="AB8" s="1042" t="e">
        <f t="shared" ref="AB8:AB34" si="4">D8/H8</f>
        <v>#DIV/0!</v>
      </c>
      <c r="AC8" s="1042" t="e">
        <f t="shared" ref="AC8:AC34" si="5">D8/J8</f>
        <v>#DIV/0!</v>
      </c>
    </row>
    <row r="9" s="784" customFormat="1" spans="1:29">
      <c r="A9" s="829" t="s">
        <v>1336</v>
      </c>
      <c r="B9" s="830" t="s">
        <v>1337</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1338</v>
      </c>
      <c r="Q9" s="1027" t="str">
        <f t="shared" ref="Q9:Q14" si="6">B9</f>
        <v>用途</v>
      </c>
      <c r="R9" s="1023" t="s">
        <v>1331</v>
      </c>
      <c r="S9" s="1024">
        <f t="shared" si="0"/>
        <v>100</v>
      </c>
      <c r="T9" s="1023" t="s">
        <v>1331</v>
      </c>
      <c r="U9" s="1024">
        <f t="shared" si="1"/>
        <v>100</v>
      </c>
      <c r="V9" s="1023" t="s">
        <v>1331</v>
      </c>
      <c r="W9" s="1024">
        <f t="shared" si="2"/>
        <v>100</v>
      </c>
      <c r="X9" s="1025"/>
      <c r="Y9" s="1027" t="s">
        <v>1339</v>
      </c>
      <c r="Z9" s="1043" t="str">
        <f t="shared" ref="Z9:Z14" si="7">Q9</f>
        <v>用途</v>
      </c>
      <c r="AA9" s="1042">
        <f t="shared" si="3"/>
        <v>1</v>
      </c>
      <c r="AB9" s="1042">
        <f t="shared" si="4"/>
        <v>1</v>
      </c>
      <c r="AC9" s="1042">
        <f t="shared" si="5"/>
        <v>1</v>
      </c>
    </row>
    <row r="10" s="785" customFormat="1" ht="27" spans="1:29">
      <c r="A10" s="833"/>
      <c r="B10" s="834" t="s">
        <v>1340</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1331</v>
      </c>
      <c r="S10" s="1024">
        <f t="shared" si="0"/>
        <v>100</v>
      </c>
      <c r="T10" s="1023" t="s">
        <v>1331</v>
      </c>
      <c r="U10" s="1024">
        <f t="shared" si="1"/>
        <v>100</v>
      </c>
      <c r="V10" s="1023" t="s">
        <v>1331</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1331</v>
      </c>
      <c r="S11" s="1024">
        <f t="shared" si="0"/>
        <v>100</v>
      </c>
      <c r="T11" s="1023" t="s">
        <v>1331</v>
      </c>
      <c r="U11" s="1024">
        <f t="shared" si="1"/>
        <v>100</v>
      </c>
      <c r="V11" s="1023" t="s">
        <v>1331</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81" spans="1:29">
      <c r="A14" s="851" t="s">
        <v>1343</v>
      </c>
      <c r="B14" s="1169" t="s">
        <v>1347</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1345</v>
      </c>
      <c r="Q14" s="548" t="str">
        <f t="shared" si="6"/>
        <v>交通便捷度</v>
      </c>
      <c r="R14" s="1028" t="s">
        <v>1331</v>
      </c>
      <c r="S14" s="1029">
        <f t="shared" si="0"/>
        <v>100</v>
      </c>
      <c r="T14" s="1028" t="s">
        <v>1331</v>
      </c>
      <c r="U14" s="1029">
        <f t="shared" si="1"/>
        <v>100</v>
      </c>
      <c r="V14" s="1028" t="s">
        <v>1331</v>
      </c>
      <c r="W14" s="1029">
        <f t="shared" si="2"/>
        <v>100</v>
      </c>
      <c r="X14" s="1015"/>
      <c r="Y14" s="980" t="s">
        <v>1345</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1349</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1331</v>
      </c>
      <c r="S16" s="1029">
        <f>F16</f>
        <v>100</v>
      </c>
      <c r="T16" s="1028" t="s">
        <v>1331</v>
      </c>
      <c r="U16" s="1029">
        <f>H16</f>
        <v>100</v>
      </c>
      <c r="V16" s="1028" t="s">
        <v>1331</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1350</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1331</v>
      </c>
      <c r="S18" s="1029">
        <f>F18</f>
        <v>100</v>
      </c>
      <c r="T18" s="1028" t="s">
        <v>1331</v>
      </c>
      <c r="U18" s="1029">
        <f>H18</f>
        <v>100</v>
      </c>
      <c r="V18" s="1028" t="s">
        <v>1331</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1706</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1331</v>
      </c>
      <c r="S20" s="1029">
        <f>F20</f>
        <v>100</v>
      </c>
      <c r="T20" s="1028" t="s">
        <v>1331</v>
      </c>
      <c r="U20" s="1029">
        <f>H20</f>
        <v>100</v>
      </c>
      <c r="V20" s="1028" t="s">
        <v>1331</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1357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1331</v>
      </c>
      <c r="S22" s="1029">
        <f>F22</f>
        <v>100</v>
      </c>
      <c r="T22" s="1028" t="s">
        <v>1331</v>
      </c>
      <c r="U22" s="1029">
        <f>H22</f>
        <v>100</v>
      </c>
      <c r="V22" s="1028" t="s">
        <v>1331</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1331</v>
      </c>
      <c r="S23" s="1029">
        <f>F23</f>
        <v>100</v>
      </c>
      <c r="T23" s="1028" t="s">
        <v>1331</v>
      </c>
      <c r="U23" s="1029">
        <f>H23</f>
        <v>100</v>
      </c>
      <c r="V23" s="1028" t="s">
        <v>1331</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1331</v>
      </c>
      <c r="S24" s="1029">
        <f>F24</f>
        <v>100</v>
      </c>
      <c r="T24" s="1028" t="s">
        <v>1331</v>
      </c>
      <c r="U24" s="1029">
        <f>H24</f>
        <v>100</v>
      </c>
      <c r="V24" s="1028" t="s">
        <v>1331</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1331</v>
      </c>
      <c r="S25" s="1024">
        <f>F25</f>
        <v>100</v>
      </c>
      <c r="T25" s="1023" t="s">
        <v>1331</v>
      </c>
      <c r="U25" s="1024">
        <f>H25</f>
        <v>100</v>
      </c>
      <c r="V25" s="1023" t="s">
        <v>1331</v>
      </c>
      <c r="W25" s="1024">
        <f>J25</f>
        <v>100</v>
      </c>
      <c r="X25" s="1025"/>
      <c r="Y25" s="981"/>
      <c r="Z25" s="1043">
        <f>Q25</f>
        <v>111</v>
      </c>
      <c r="AA25" s="1044">
        <f t="shared" si="3"/>
        <v>1</v>
      </c>
      <c r="AB25" s="1044">
        <f t="shared" si="4"/>
        <v>1</v>
      </c>
      <c r="AC25" s="1044">
        <f t="shared" si="5"/>
        <v>1</v>
      </c>
    </row>
    <row r="26" ht="28.5" spans="1:29">
      <c r="A26" s="1229" t="s">
        <v>1361</v>
      </c>
      <c r="B26" s="830" t="s">
        <v>1368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1364</v>
      </c>
      <c r="Q26" s="548" t="str">
        <f t="shared" si="11"/>
        <v>公共部分装修</v>
      </c>
      <c r="R26" s="1028" t="s">
        <v>1331</v>
      </c>
      <c r="S26" s="1029">
        <f t="shared" ref="S26:S34" si="12">F26</f>
        <v>100</v>
      </c>
      <c r="T26" s="1028" t="s">
        <v>1331</v>
      </c>
      <c r="U26" s="1029">
        <f t="shared" ref="U26:U34" si="13">H26</f>
        <v>100</v>
      </c>
      <c r="V26" s="1028" t="s">
        <v>1331</v>
      </c>
      <c r="W26" s="1029">
        <f t="shared" ref="W26:W34" si="14">J26</f>
        <v>100</v>
      </c>
      <c r="X26" s="1015"/>
      <c r="Y26" s="990" t="s">
        <v>1364</v>
      </c>
      <c r="Z26" s="1002" t="str">
        <f t="shared" ref="Z26:Z34" si="15">Q26</f>
        <v>公共部分装修</v>
      </c>
      <c r="AA26" s="1044">
        <f t="shared" si="3"/>
        <v>1</v>
      </c>
      <c r="AB26" s="1044">
        <f t="shared" si="4"/>
        <v>1</v>
      </c>
      <c r="AC26" s="1044">
        <f t="shared" si="5"/>
        <v>1</v>
      </c>
    </row>
    <row r="27" s="786" customFormat="1" ht="15" spans="1:29">
      <c r="A27" s="893"/>
      <c r="B27" s="834" t="s">
        <v>2182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1331</v>
      </c>
      <c r="S27" s="1031" t="e">
        <f t="shared" si="12"/>
        <v>#N/A</v>
      </c>
      <c r="T27" s="1030" t="s">
        <v>1331</v>
      </c>
      <c r="U27" s="1031" t="e">
        <f t="shared" si="13"/>
        <v>#N/A</v>
      </c>
      <c r="V27" s="1030" t="s">
        <v>1331</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2183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1331</v>
      </c>
      <c r="S28" s="1029">
        <f t="shared" si="12"/>
        <v>100</v>
      </c>
      <c r="T28" s="1028" t="s">
        <v>1331</v>
      </c>
      <c r="U28" s="1029">
        <f t="shared" si="13"/>
        <v>100</v>
      </c>
      <c r="V28" s="1028" t="s">
        <v>1331</v>
      </c>
      <c r="W28" s="1029">
        <f t="shared" si="14"/>
        <v>100</v>
      </c>
      <c r="X28" s="1015"/>
      <c r="Y28" s="990"/>
      <c r="Z28" s="1002" t="str">
        <f t="shared" si="15"/>
        <v>物业等级</v>
      </c>
      <c r="AA28" s="1044">
        <f t="shared" si="3"/>
        <v>1</v>
      </c>
      <c r="AB28" s="1044">
        <f t="shared" si="4"/>
        <v>1</v>
      </c>
      <c r="AC28" s="1044">
        <f t="shared" si="5"/>
        <v>1</v>
      </c>
    </row>
    <row r="29" ht="15" spans="1:29">
      <c r="A29" s="888"/>
      <c r="B29" s="834" t="s">
        <v>2191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1331</v>
      </c>
      <c r="S29" s="1029">
        <f t="shared" si="12"/>
        <v>100</v>
      </c>
      <c r="T29" s="1028" t="s">
        <v>1331</v>
      </c>
      <c r="U29" s="1029">
        <f t="shared" si="13"/>
        <v>100</v>
      </c>
      <c r="V29" s="1028" t="s">
        <v>1331</v>
      </c>
      <c r="W29" s="1029">
        <f t="shared" si="14"/>
        <v>100</v>
      </c>
      <c r="X29" s="1015"/>
      <c r="Y29" s="990"/>
      <c r="Z29" s="1002" t="str">
        <f t="shared" si="15"/>
        <v>有无电梯</v>
      </c>
      <c r="AA29" s="1044">
        <f t="shared" si="3"/>
        <v>1</v>
      </c>
      <c r="AB29" s="1044">
        <f t="shared" si="4"/>
        <v>1</v>
      </c>
      <c r="AC29" s="1044">
        <f t="shared" si="5"/>
        <v>1</v>
      </c>
    </row>
    <row r="30" ht="15" spans="1:29">
      <c r="A30" s="888"/>
      <c r="B30" s="834" t="s">
        <v>580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1331</v>
      </c>
      <c r="S30" s="1029" t="e">
        <f t="shared" si="12"/>
        <v>#N/A</v>
      </c>
      <c r="T30" s="1028" t="s">
        <v>1331</v>
      </c>
      <c r="U30" s="1029" t="e">
        <f t="shared" si="13"/>
        <v>#N/A</v>
      </c>
      <c r="V30" s="1028" t="s">
        <v>1331</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2192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1331</v>
      </c>
      <c r="S31" s="1024">
        <f t="shared" si="12"/>
        <v>100</v>
      </c>
      <c r="T31" s="1023" t="s">
        <v>1331</v>
      </c>
      <c r="U31" s="1024">
        <f t="shared" si="13"/>
        <v>100</v>
      </c>
      <c r="V31" s="1023" t="s">
        <v>1331</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1364</v>
      </c>
      <c r="Q32" s="548">
        <f t="shared" si="11"/>
        <v>111</v>
      </c>
      <c r="R32" s="1028" t="s">
        <v>1331</v>
      </c>
      <c r="S32" s="1029">
        <f t="shared" si="12"/>
        <v>100</v>
      </c>
      <c r="T32" s="1028" t="s">
        <v>1331</v>
      </c>
      <c r="U32" s="1029">
        <f t="shared" si="13"/>
        <v>100</v>
      </c>
      <c r="V32" s="1028" t="s">
        <v>1331</v>
      </c>
      <c r="W32" s="1029">
        <f t="shared" si="14"/>
        <v>100</v>
      </c>
      <c r="X32" s="1015"/>
      <c r="Y32" s="990" t="s">
        <v>1364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1331</v>
      </c>
      <c r="S33" s="1029">
        <f t="shared" si="12"/>
        <v>100</v>
      </c>
      <c r="T33" s="1028" t="s">
        <v>1331</v>
      </c>
      <c r="U33" s="1029">
        <f t="shared" si="13"/>
        <v>100</v>
      </c>
      <c r="V33" s="1028" t="s">
        <v>1331</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1331</v>
      </c>
      <c r="S34" s="1029">
        <f t="shared" si="12"/>
        <v>100</v>
      </c>
      <c r="T34" s="1028" t="s">
        <v>1331</v>
      </c>
      <c r="U34" s="1029">
        <f t="shared" si="13"/>
        <v>100</v>
      </c>
      <c r="V34" s="1028" t="s">
        <v>1331</v>
      </c>
      <c r="W34" s="1029">
        <f t="shared" si="14"/>
        <v>100</v>
      </c>
      <c r="X34" s="1015"/>
      <c r="Y34" s="990"/>
      <c r="Z34" s="1002">
        <f t="shared" si="15"/>
        <v>111</v>
      </c>
      <c r="AA34" s="1044">
        <f t="shared" si="3"/>
        <v>1</v>
      </c>
      <c r="AB34" s="1044">
        <f t="shared" si="4"/>
        <v>1</v>
      </c>
      <c r="AC34" s="1044">
        <f t="shared" si="5"/>
        <v>1</v>
      </c>
    </row>
    <row r="35" ht="15" spans="1:29">
      <c r="A35" s="895" t="s">
        <v>1382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1383</v>
      </c>
      <c r="B36" s="1246"/>
      <c r="C36" s="1247" t="e">
        <f>R37</f>
        <v>#DIV/0!</v>
      </c>
      <c r="D36" s="906" t="s">
        <v>1384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1385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1386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1387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1388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1389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1329</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1390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1332</v>
      </c>
      <c r="B49" s="1058"/>
      <c r="C49" s="1059" t="s">
        <v>1333</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1391</v>
      </c>
      <c r="B51" s="1064" t="s">
        <v>1337</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1340</v>
      </c>
      <c r="C53" s="1069" t="s">
        <v>1392</v>
      </c>
      <c r="D53" s="1069" t="s">
        <v>1393</v>
      </c>
      <c r="E53" s="1069" t="s">
        <v>1394</v>
      </c>
      <c r="F53" s="1069" t="s">
        <v>1395</v>
      </c>
      <c r="G53" s="1069" t="s">
        <v>1396</v>
      </c>
      <c r="H53" s="1069" t="s">
        <v>1397</v>
      </c>
      <c r="I53" s="1069" t="s">
        <v>1398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1399</v>
      </c>
      <c r="D54" s="1071" t="s">
        <v>1399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1343</v>
      </c>
      <c r="B61" s="1064" t="s">
        <v>1347</v>
      </c>
      <c r="C61" s="1085" t="s">
        <v>1400</v>
      </c>
      <c r="D61" s="1085" t="s">
        <v>1401</v>
      </c>
      <c r="E61" s="1085" t="s">
        <v>1402</v>
      </c>
      <c r="F61" s="1085" t="s">
        <v>1403</v>
      </c>
      <c r="G61" s="1085" t="s">
        <v>1404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2193</v>
      </c>
      <c r="C63" s="1087" t="s">
        <v>1400</v>
      </c>
      <c r="D63" s="1087" t="s">
        <v>1401</v>
      </c>
      <c r="E63" s="1087" t="s">
        <v>1402</v>
      </c>
      <c r="F63" s="1087" t="s">
        <v>1403</v>
      </c>
      <c r="G63" s="1087" t="s">
        <v>1404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1350</v>
      </c>
      <c r="C65" s="1092" t="s">
        <v>1405</v>
      </c>
      <c r="D65" s="1092" t="s">
        <v>1406</v>
      </c>
      <c r="E65" s="1092" t="s">
        <v>1407</v>
      </c>
      <c r="F65" s="1092" t="s">
        <v>1408</v>
      </c>
      <c r="G65" s="1092" t="s">
        <v>1409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1706</v>
      </c>
      <c r="C67" s="1087" t="s">
        <v>1400</v>
      </c>
      <c r="D67" s="1087" t="s">
        <v>1401</v>
      </c>
      <c r="E67" s="1087" t="s">
        <v>1402</v>
      </c>
      <c r="F67" s="1087" t="s">
        <v>1403</v>
      </c>
      <c r="G67" s="1087" t="s">
        <v>1404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1357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1361</v>
      </c>
      <c r="B77" s="1064" t="s">
        <v>1368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2182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2183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2191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580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2192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2194</v>
      </c>
      <c r="B1" s="794"/>
      <c r="C1" s="795" t="s">
        <v>2195</v>
      </c>
      <c r="D1" s="796"/>
      <c r="E1" s="796"/>
      <c r="F1" s="797" t="s">
        <v>1311</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1312</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1314</v>
      </c>
      <c r="B3" s="801" t="e">
        <f>ROUND(IF(D3="",B2*10000/'数据-汇总表'!E3,B2*10000/D3),0)</f>
        <v>#DIV/0!</v>
      </c>
      <c r="C3" s="150" t="s">
        <v>1315</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15" t="s">
        <v>1319</v>
      </c>
      <c r="AC4" s="1040" t="s">
        <v>1320</v>
      </c>
    </row>
    <row r="5" ht="15" spans="1:29">
      <c r="A5" s="809"/>
      <c r="B5" s="810"/>
      <c r="C5" s="811" t="s">
        <v>1323</v>
      </c>
      <c r="D5" s="812"/>
      <c r="E5" s="813" t="s">
        <v>2147</v>
      </c>
      <c r="F5" s="814"/>
      <c r="G5" s="811" t="s">
        <v>2148</v>
      </c>
      <c r="H5" s="812"/>
      <c r="I5" s="811" t="s">
        <v>2149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1327</v>
      </c>
      <c r="D6" s="1164"/>
      <c r="E6" s="1165" t="s">
        <v>1327</v>
      </c>
      <c r="F6" s="1166"/>
      <c r="G6" s="1163" t="s">
        <v>1327</v>
      </c>
      <c r="H6" s="1164"/>
      <c r="I6" s="1163" t="s">
        <v>1327</v>
      </c>
      <c r="J6" s="1164"/>
      <c r="K6" s="960" t="s">
        <v>1328</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1330</v>
      </c>
      <c r="Q7" s="1022"/>
      <c r="R7" s="1023" t="s">
        <v>1331</v>
      </c>
      <c r="S7" s="1024">
        <f t="shared" ref="S7:S15" si="0">F7</f>
        <v>0</v>
      </c>
      <c r="T7" s="1023" t="s">
        <v>1331</v>
      </c>
      <c r="U7" s="1024">
        <f t="shared" ref="U7:U15" si="1">H7</f>
        <v>0</v>
      </c>
      <c r="V7" s="1023" t="s">
        <v>1331</v>
      </c>
      <c r="W7" s="1024">
        <f t="shared" ref="W7:W15"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45" si="3">D8/F8</f>
        <v>#DIV/0!</v>
      </c>
      <c r="AB8" s="1042" t="e">
        <f t="shared" ref="AB8:AB45" si="4">D8/H8</f>
        <v>#DIV/0!</v>
      </c>
      <c r="AC8" s="1042" t="e">
        <f t="shared" ref="AC8:AC45" si="5">D8/J8</f>
        <v>#DIV/0!</v>
      </c>
    </row>
    <row r="9" s="784" customFormat="1" spans="1:29">
      <c r="A9" s="829" t="s">
        <v>1336</v>
      </c>
      <c r="B9" s="830" t="s">
        <v>1337</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1042">
        <f t="shared" si="5"/>
        <v>1</v>
      </c>
    </row>
    <row r="10" s="785" customFormat="1" ht="27" spans="1:29">
      <c r="A10" s="833"/>
      <c r="B10" s="834" t="s">
        <v>1340</v>
      </c>
      <c r="C10" s="835"/>
      <c r="D10" s="836">
        <v>100</v>
      </c>
      <c r="E10" s="1167"/>
      <c r="F10" s="836">
        <f>ROUND(100/'数据-取费表'!G16,0)</f>
        <v>115</v>
      </c>
      <c r="G10" s="1168"/>
      <c r="H10" s="836">
        <f>ROUND(100/'数据-取费表'!G16,0)</f>
        <v>115</v>
      </c>
      <c r="I10" s="1168"/>
      <c r="J10" s="836">
        <f>ROUND(100/'数据-取费表'!G16,0)</f>
        <v>115</v>
      </c>
      <c r="K10" s="971"/>
      <c r="L10" s="972"/>
      <c r="M10" s="973"/>
      <c r="N10" s="973"/>
      <c r="O10" s="974"/>
      <c r="P10" s="548"/>
      <c r="Q10" s="1027" t="str">
        <f t="shared" si="6"/>
        <v>土地使用年限（年）</v>
      </c>
      <c r="R10" s="1023" t="s">
        <v>1331</v>
      </c>
      <c r="S10" s="1024">
        <f t="shared" si="0"/>
        <v>115</v>
      </c>
      <c r="T10" s="1023" t="s">
        <v>1331</v>
      </c>
      <c r="U10" s="1024">
        <f t="shared" si="1"/>
        <v>115</v>
      </c>
      <c r="V10" s="1023" t="s">
        <v>1331</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1342</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1331</v>
      </c>
      <c r="S11" s="1024" t="e">
        <f t="shared" si="0"/>
        <v>#N/A</v>
      </c>
      <c r="T11" s="1023" t="s">
        <v>1331</v>
      </c>
      <c r="U11" s="1024" t="e">
        <f t="shared" si="1"/>
        <v>#N/A</v>
      </c>
      <c r="V11" s="1023" t="s">
        <v>1331</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2196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1331</v>
      </c>
      <c r="S12" s="1024">
        <f t="shared" si="0"/>
        <v>100</v>
      </c>
      <c r="T12" s="1023" t="s">
        <v>1331</v>
      </c>
      <c r="U12" s="1024">
        <f t="shared" si="1"/>
        <v>100</v>
      </c>
      <c r="V12" s="1023" t="s">
        <v>1331</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1042">
        <f t="shared" si="5"/>
        <v>1</v>
      </c>
    </row>
    <row r="15" ht="94.5" spans="1:29">
      <c r="A15" s="851" t="s">
        <v>1343</v>
      </c>
      <c r="B15" s="1169" t="s">
        <v>1722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1345</v>
      </c>
      <c r="Q15" s="548" t="str">
        <f t="shared" si="6"/>
        <v>居住社区成熟度</v>
      </c>
      <c r="R15" s="1028" t="s">
        <v>1331</v>
      </c>
      <c r="S15" s="1029">
        <f t="shared" si="0"/>
        <v>100</v>
      </c>
      <c r="T15" s="1028" t="s">
        <v>1331</v>
      </c>
      <c r="U15" s="1029">
        <f t="shared" si="1"/>
        <v>100</v>
      </c>
      <c r="V15" s="1028" t="s">
        <v>1331</v>
      </c>
      <c r="W15" s="1029">
        <f t="shared" si="2"/>
        <v>100</v>
      </c>
      <c r="X15" s="1015"/>
      <c r="Y15" s="980" t="s">
        <v>1345</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1705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1331</v>
      </c>
      <c r="S17" s="1029">
        <f>F17</f>
        <v>100</v>
      </c>
      <c r="T17" s="1028" t="s">
        <v>1331</v>
      </c>
      <c r="U17" s="1029">
        <f>H17</f>
        <v>100</v>
      </c>
      <c r="V17" s="1028" t="s">
        <v>1331</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1344</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1331</v>
      </c>
      <c r="S19" s="1029">
        <f>F19</f>
        <v>100</v>
      </c>
      <c r="T19" s="1028" t="s">
        <v>1331</v>
      </c>
      <c r="U19" s="1029">
        <f>H19</f>
        <v>100</v>
      </c>
      <c r="V19" s="1028" t="s">
        <v>1331</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1347</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1331</v>
      </c>
      <c r="S21" s="1029">
        <f>F21</f>
        <v>100</v>
      </c>
      <c r="T21" s="1028" t="s">
        <v>1331</v>
      </c>
      <c r="U21" s="1029">
        <f>H21</f>
        <v>100</v>
      </c>
      <c r="V21" s="1028" t="s">
        <v>1331</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1331</v>
      </c>
      <c r="S23" s="1029">
        <f>F23</f>
        <v>100</v>
      </c>
      <c r="T23" s="1028" t="s">
        <v>1331</v>
      </c>
      <c r="U23" s="1029">
        <f>H23</f>
        <v>100</v>
      </c>
      <c r="V23" s="1028" t="s">
        <v>1331</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2198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1331</v>
      </c>
      <c r="S25" s="1029">
        <f>F25</f>
        <v>100</v>
      </c>
      <c r="T25" s="1028" t="s">
        <v>1331</v>
      </c>
      <c r="U25" s="1029">
        <f>H25</f>
        <v>100</v>
      </c>
      <c r="V25" s="1028" t="s">
        <v>1331</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1349</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1331</v>
      </c>
      <c r="S27" s="1024">
        <f>F27</f>
        <v>100</v>
      </c>
      <c r="T27" s="1023" t="s">
        <v>1331</v>
      </c>
      <c r="U27" s="1024">
        <f>H27</f>
        <v>100</v>
      </c>
      <c r="V27" s="1023" t="s">
        <v>1331</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1350</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1331</v>
      </c>
      <c r="S29" s="1024">
        <f>F29</f>
        <v>100</v>
      </c>
      <c r="T29" s="1023" t="s">
        <v>1331</v>
      </c>
      <c r="U29" s="1024">
        <f>H29</f>
        <v>100</v>
      </c>
      <c r="V29" s="1023" t="s">
        <v>1331</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1707</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1331</v>
      </c>
      <c r="S31" s="1029">
        <f t="shared" ref="S31:S45" si="10">F31</f>
        <v>100</v>
      </c>
      <c r="T31" s="1028" t="s">
        <v>1331</v>
      </c>
      <c r="U31" s="1029">
        <f t="shared" ref="U31:U45" si="11">H31</f>
        <v>100</v>
      </c>
      <c r="V31" s="1028" t="s">
        <v>1331</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1352</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1331</v>
      </c>
      <c r="S32" s="1029">
        <f t="shared" si="10"/>
        <v>100</v>
      </c>
      <c r="T32" s="1028" t="s">
        <v>1331</v>
      </c>
      <c r="U32" s="1029">
        <f t="shared" si="11"/>
        <v>100</v>
      </c>
      <c r="V32" s="1028" t="s">
        <v>1331</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2199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1331</v>
      </c>
      <c r="S34" s="1029">
        <f t="shared" si="10"/>
        <v>100</v>
      </c>
      <c r="T34" s="1028" t="s">
        <v>1331</v>
      </c>
      <c r="U34" s="1029">
        <f t="shared" si="11"/>
        <v>100</v>
      </c>
      <c r="V34" s="1028" t="s">
        <v>1331</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1331</v>
      </c>
      <c r="S35" s="1029">
        <f t="shared" si="10"/>
        <v>100</v>
      </c>
      <c r="T35" s="1028" t="s">
        <v>1331</v>
      </c>
      <c r="U35" s="1029">
        <f t="shared" si="11"/>
        <v>100</v>
      </c>
      <c r="V35" s="1028" t="s">
        <v>1331</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1364</v>
      </c>
      <c r="Q36" s="548">
        <f t="shared" si="8"/>
        <v>111</v>
      </c>
      <c r="R36" s="1028" t="s">
        <v>1331</v>
      </c>
      <c r="S36" s="1029">
        <f t="shared" si="10"/>
        <v>100</v>
      </c>
      <c r="T36" s="1028" t="s">
        <v>1331</v>
      </c>
      <c r="U36" s="1029">
        <f t="shared" si="11"/>
        <v>100</v>
      </c>
      <c r="V36" s="1028" t="s">
        <v>1331</v>
      </c>
      <c r="W36" s="1029">
        <f t="shared" si="12"/>
        <v>100</v>
      </c>
      <c r="X36" s="1015"/>
      <c r="Y36" s="990" t="s">
        <v>1364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1331</v>
      </c>
      <c r="S37" s="1031">
        <f t="shared" si="10"/>
        <v>100</v>
      </c>
      <c r="T37" s="1030" t="s">
        <v>1331</v>
      </c>
      <c r="U37" s="1031">
        <f t="shared" si="11"/>
        <v>100</v>
      </c>
      <c r="V37" s="1030" t="s">
        <v>1331</v>
      </c>
      <c r="W37" s="1031">
        <f t="shared" si="12"/>
        <v>100</v>
      </c>
      <c r="X37" s="1032"/>
      <c r="Y37" s="990"/>
      <c r="Z37" s="1045">
        <f t="shared" si="13"/>
        <v>111</v>
      </c>
      <c r="AA37" s="1044">
        <f t="shared" si="3"/>
        <v>1</v>
      </c>
      <c r="AB37" s="1044">
        <f t="shared" si="4"/>
        <v>1</v>
      </c>
      <c r="AC37" s="1044">
        <f t="shared" si="5"/>
        <v>1</v>
      </c>
    </row>
    <row r="38" ht="15" spans="1:29">
      <c r="A38" s="888" t="s">
        <v>1361</v>
      </c>
      <c r="B38" s="885" t="s">
        <v>2200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1331</v>
      </c>
      <c r="S38" s="1029" t="e">
        <f t="shared" si="10"/>
        <v>#N/A</v>
      </c>
      <c r="T38" s="1028" t="s">
        <v>1331</v>
      </c>
      <c r="U38" s="1029" t="e">
        <f t="shared" si="11"/>
        <v>#N/A</v>
      </c>
      <c r="V38" s="1028" t="s">
        <v>1331</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2201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1331</v>
      </c>
      <c r="S39" s="1029">
        <f t="shared" si="10"/>
        <v>100</v>
      </c>
      <c r="T39" s="1028" t="s">
        <v>1331</v>
      </c>
      <c r="U39" s="1029">
        <f t="shared" si="11"/>
        <v>100</v>
      </c>
      <c r="V39" s="1028" t="s">
        <v>1331</v>
      </c>
      <c r="W39" s="1029">
        <f t="shared" si="12"/>
        <v>100</v>
      </c>
      <c r="X39" s="1015"/>
      <c r="Y39" s="990"/>
      <c r="Z39" s="1002" t="str">
        <f t="shared" si="13"/>
        <v>宗地形状</v>
      </c>
      <c r="AA39" s="1044">
        <f t="shared" si="3"/>
        <v>1</v>
      </c>
      <c r="AB39" s="1044">
        <f t="shared" si="4"/>
        <v>1</v>
      </c>
      <c r="AC39" s="1044">
        <f t="shared" si="5"/>
        <v>1</v>
      </c>
    </row>
    <row r="40" ht="15" spans="1:29">
      <c r="A40" s="888"/>
      <c r="B40" s="834" t="s">
        <v>2202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1331</v>
      </c>
      <c r="S40" s="1029">
        <f t="shared" si="10"/>
        <v>100</v>
      </c>
      <c r="T40" s="1028" t="s">
        <v>1331</v>
      </c>
      <c r="U40" s="1029">
        <f t="shared" si="11"/>
        <v>100</v>
      </c>
      <c r="V40" s="1028" t="s">
        <v>1331</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2203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1331</v>
      </c>
      <c r="S41" s="1024">
        <f t="shared" si="10"/>
        <v>100</v>
      </c>
      <c r="T41" s="1023" t="s">
        <v>1331</v>
      </c>
      <c r="U41" s="1024">
        <f t="shared" si="11"/>
        <v>100</v>
      </c>
      <c r="V41" s="1023" t="s">
        <v>1331</v>
      </c>
      <c r="W41" s="1024">
        <f t="shared" si="12"/>
        <v>100</v>
      </c>
      <c r="X41" s="1025"/>
      <c r="Y41" s="990"/>
      <c r="Z41" s="1043" t="str">
        <f t="shared" si="13"/>
        <v>宗地开发程度</v>
      </c>
      <c r="AA41" s="1042">
        <f t="shared" si="3"/>
        <v>1</v>
      </c>
      <c r="AB41" s="1042">
        <f t="shared" si="4"/>
        <v>1</v>
      </c>
      <c r="AC41" s="1042">
        <f t="shared" si="5"/>
        <v>1</v>
      </c>
    </row>
    <row r="42" ht="15" spans="1:29">
      <c r="A42" s="888"/>
      <c r="B42" s="834" t="s">
        <v>2204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1364</v>
      </c>
      <c r="Q42" s="548" t="str">
        <f t="shared" si="14"/>
        <v>工程地质条件</v>
      </c>
      <c r="R42" s="1028" t="s">
        <v>1331</v>
      </c>
      <c r="S42" s="1029">
        <f t="shared" si="10"/>
        <v>100</v>
      </c>
      <c r="T42" s="1028" t="s">
        <v>1331</v>
      </c>
      <c r="U42" s="1029">
        <f t="shared" si="11"/>
        <v>100</v>
      </c>
      <c r="V42" s="1028" t="s">
        <v>1331</v>
      </c>
      <c r="W42" s="1029">
        <f t="shared" si="12"/>
        <v>100</v>
      </c>
      <c r="X42" s="1015"/>
      <c r="Y42" s="990" t="s">
        <v>1364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1331</v>
      </c>
      <c r="S43" s="1029">
        <f t="shared" si="10"/>
        <v>100</v>
      </c>
      <c r="T43" s="1028" t="s">
        <v>1331</v>
      </c>
      <c r="U43" s="1029">
        <f t="shared" si="11"/>
        <v>100</v>
      </c>
      <c r="V43" s="1028" t="s">
        <v>1331</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1331</v>
      </c>
      <c r="S44" s="1029">
        <f t="shared" si="10"/>
        <v>100</v>
      </c>
      <c r="T44" s="1028" t="s">
        <v>1331</v>
      </c>
      <c r="U44" s="1029">
        <f t="shared" si="11"/>
        <v>100</v>
      </c>
      <c r="V44" s="1028" t="s">
        <v>1331</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1331</v>
      </c>
      <c r="S45" s="1031">
        <f t="shared" si="10"/>
        <v>100</v>
      </c>
      <c r="T45" s="1030" t="s">
        <v>1331</v>
      </c>
      <c r="U45" s="1031">
        <f t="shared" si="11"/>
        <v>100</v>
      </c>
      <c r="V45" s="1030" t="s">
        <v>1331</v>
      </c>
      <c r="W45" s="1031">
        <f t="shared" si="12"/>
        <v>100</v>
      </c>
      <c r="X45" s="1032"/>
      <c r="Y45" s="990"/>
      <c r="Z45" s="1045">
        <f t="shared" si="13"/>
        <v>111</v>
      </c>
      <c r="AA45" s="1044">
        <f t="shared" si="3"/>
        <v>1</v>
      </c>
      <c r="AB45" s="1044">
        <f t="shared" si="4"/>
        <v>1</v>
      </c>
      <c r="AC45" s="1044">
        <f t="shared" si="5"/>
        <v>1</v>
      </c>
    </row>
    <row r="46" ht="15" spans="1:29">
      <c r="A46" s="895" t="s">
        <v>2187</v>
      </c>
      <c r="B46" s="896" t="s">
        <v>2205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1383</v>
      </c>
      <c r="B47" s="904"/>
      <c r="C47" s="905" t="e">
        <f>R48</f>
        <v>#DIV/0!</v>
      </c>
      <c r="D47" s="906" t="s">
        <v>1384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2206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1386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1387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1388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2207</v>
      </c>
      <c r="B55" s="922" t="s">
        <v>2208</v>
      </c>
      <c r="C55" s="923" t="s">
        <v>2209</v>
      </c>
      <c r="D55" s="924" t="s">
        <v>2210</v>
      </c>
      <c r="E55" s="925" t="s">
        <v>2211</v>
      </c>
      <c r="F55" s="1180" t="s">
        <v>2212</v>
      </c>
      <c r="G55" s="805" t="s">
        <v>2213</v>
      </c>
      <c r="H55" s="544"/>
      <c r="I55" s="1184" t="s">
        <v>2214</v>
      </c>
      <c r="J55" s="1185">
        <f>项目基本情况!F35</f>
        <v>0</v>
      </c>
      <c r="K55" s="1003" t="s">
        <v>2215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2216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2217</v>
      </c>
      <c r="B57" s="164" t="e">
        <f>ROUND($C$48*C57*D57,0)</f>
        <v>#DIV/0!</v>
      </c>
      <c r="C57" s="489">
        <f t="shared" ref="C57:C65" si="16">IF($C$55="北京市系数",I57,J57)</f>
        <v>0.7</v>
      </c>
      <c r="D57" s="934">
        <v>0.25</v>
      </c>
      <c r="E57" s="935"/>
      <c r="F57" s="1181" t="e">
        <f t="shared" si="15"/>
        <v>#DIV/0!</v>
      </c>
      <c r="G57" s="936" t="s">
        <v>2218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2219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2220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2221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2222</v>
      </c>
      <c r="B61" s="164" t="e">
        <f t="shared" si="17"/>
        <v>#DIV/0!</v>
      </c>
      <c r="C61" s="489">
        <f t="shared" si="16"/>
        <v>0.25</v>
      </c>
      <c r="D61" s="934">
        <v>0.25</v>
      </c>
      <c r="E61" s="163">
        <f>'数据-汇总表'!E11</f>
        <v>0</v>
      </c>
      <c r="F61" s="1181" t="e">
        <f t="shared" si="15"/>
        <v>#DIV/0!</v>
      </c>
      <c r="G61" s="936" t="s">
        <v>2223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2224</v>
      </c>
      <c r="B62" s="164" t="e">
        <f t="shared" si="17"/>
        <v>#DIV/0!</v>
      </c>
      <c r="C62" s="489">
        <f t="shared" si="16"/>
        <v>0.25</v>
      </c>
      <c r="D62" s="934">
        <v>0.25</v>
      </c>
      <c r="E62" s="163">
        <f>'数据-汇总表'!E12</f>
        <v>0</v>
      </c>
      <c r="F62" s="1181" t="e">
        <f t="shared" si="15"/>
        <v>#DIV/0!</v>
      </c>
      <c r="G62" s="938" t="s">
        <v>2225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2226</v>
      </c>
      <c r="B63" s="164" t="e">
        <f t="shared" si="17"/>
        <v>#DIV/0!</v>
      </c>
      <c r="C63" s="489">
        <f t="shared" si="16"/>
        <v>0</v>
      </c>
      <c r="D63" s="934">
        <v>0.25</v>
      </c>
      <c r="E63" s="163">
        <f>'数据-汇总表'!E13</f>
        <v>0</v>
      </c>
      <c r="F63" s="1181" t="e">
        <f t="shared" si="15"/>
        <v>#DIV/0!</v>
      </c>
      <c r="G63" s="938" t="s">
        <v>2227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2228</v>
      </c>
      <c r="B64" s="164" t="e">
        <f t="shared" si="17"/>
        <v>#DIV/0!</v>
      </c>
      <c r="C64" s="489">
        <f t="shared" si="16"/>
        <v>0.2</v>
      </c>
      <c r="D64" s="934">
        <v>0.25</v>
      </c>
      <c r="E64" s="163">
        <f>'数据-汇总表'!E14</f>
        <v>0</v>
      </c>
      <c r="F64" s="1181" t="e">
        <f t="shared" si="15"/>
        <v>#DIV/0!</v>
      </c>
      <c r="G64" s="936" t="s">
        <v>2218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2229</v>
      </c>
      <c r="B65" s="164" t="e">
        <f t="shared" si="17"/>
        <v>#DIV/0!</v>
      </c>
      <c r="C65" s="489">
        <f t="shared" si="16"/>
        <v>0.2</v>
      </c>
      <c r="D65" s="934">
        <v>0.25</v>
      </c>
      <c r="E65" s="163">
        <f>'数据-汇总表'!E15</f>
        <v>0</v>
      </c>
      <c r="F65" s="1181" t="e">
        <f t="shared" si="15"/>
        <v>#DIV/0!</v>
      </c>
      <c r="G65" s="939" t="s">
        <v>2223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2230</v>
      </c>
      <c r="B66" s="942" t="s">
        <v>1399</v>
      </c>
      <c r="C66" s="942" t="s">
        <v>1399</v>
      </c>
      <c r="D66" s="942" t="s">
        <v>1399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1389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2231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2232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1390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1332</v>
      </c>
      <c r="B73" s="1058"/>
      <c r="C73" s="1059" t="s">
        <v>1333</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1391</v>
      </c>
      <c r="B75" s="1064" t="s">
        <v>1337</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1340</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1342</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1343</v>
      </c>
      <c r="B88" s="1064" t="s">
        <v>1722</v>
      </c>
      <c r="C88" s="1085" t="s">
        <v>1400</v>
      </c>
      <c r="D88" s="1085" t="s">
        <v>1401</v>
      </c>
      <c r="E88" s="1085" t="s">
        <v>1402</v>
      </c>
      <c r="F88" s="1085" t="s">
        <v>1403</v>
      </c>
      <c r="G88" s="1085" t="s">
        <v>1404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1705</v>
      </c>
      <c r="C90" s="1087" t="s">
        <v>1400</v>
      </c>
      <c r="D90" s="1087" t="s">
        <v>1401</v>
      </c>
      <c r="E90" s="1087" t="s">
        <v>1402</v>
      </c>
      <c r="F90" s="1087" t="s">
        <v>1403</v>
      </c>
      <c r="G90" s="1087" t="s">
        <v>1404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1344</v>
      </c>
      <c r="C92" s="1087" t="s">
        <v>1400</v>
      </c>
      <c r="D92" s="1087" t="s">
        <v>1401</v>
      </c>
      <c r="E92" s="1087" t="s">
        <v>1402</v>
      </c>
      <c r="F92" s="1087" t="s">
        <v>1403</v>
      </c>
      <c r="G92" s="1087" t="s">
        <v>1404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1347</v>
      </c>
      <c r="C94" s="1087" t="s">
        <v>1400</v>
      </c>
      <c r="D94" s="1087" t="s">
        <v>1401</v>
      </c>
      <c r="E94" s="1087" t="s">
        <v>1402</v>
      </c>
      <c r="F94" s="1087" t="s">
        <v>1403</v>
      </c>
      <c r="G94" s="1087" t="s">
        <v>1404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2197</v>
      </c>
      <c r="C96" s="1087" t="s">
        <v>1400</v>
      </c>
      <c r="D96" s="1087" t="s">
        <v>1401</v>
      </c>
      <c r="E96" s="1087" t="s">
        <v>1402</v>
      </c>
      <c r="F96" s="1087" t="s">
        <v>1403</v>
      </c>
      <c r="G96" s="1087" t="s">
        <v>1404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2198</v>
      </c>
      <c r="C98" s="1085" t="s">
        <v>1400</v>
      </c>
      <c r="D98" s="1085" t="s">
        <v>1401</v>
      </c>
      <c r="E98" s="1085" t="s">
        <v>1402</v>
      </c>
      <c r="F98" s="1085" t="s">
        <v>1403</v>
      </c>
      <c r="G98" s="1085" t="s">
        <v>1404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1349</v>
      </c>
      <c r="C100" s="1085" t="s">
        <v>1400</v>
      </c>
      <c r="D100" s="1085" t="s">
        <v>1401</v>
      </c>
      <c r="E100" s="1085" t="s">
        <v>1402</v>
      </c>
      <c r="F100" s="1085" t="s">
        <v>1403</v>
      </c>
      <c r="G100" s="1085" t="s">
        <v>1404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1350</v>
      </c>
      <c r="C102" s="1092" t="s">
        <v>1405</v>
      </c>
      <c r="D102" s="1092" t="s">
        <v>1406</v>
      </c>
      <c r="E102" s="1092" t="s">
        <v>1407</v>
      </c>
      <c r="F102" s="1092" t="s">
        <v>1408</v>
      </c>
      <c r="G102" s="1092" t="s">
        <v>1409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2233</v>
      </c>
      <c r="D104" s="1069" t="s">
        <v>2234</v>
      </c>
      <c r="E104" s="1069" t="s">
        <v>2235</v>
      </c>
      <c r="F104" s="1069" t="s">
        <v>2236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1352</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2199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1361</v>
      </c>
      <c r="B116" s="1064" t="s">
        <v>2200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2201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2202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2203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2204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2194</v>
      </c>
      <c r="B1" s="794"/>
      <c r="C1" s="795" t="s">
        <v>2174</v>
      </c>
      <c r="D1" s="796"/>
      <c r="E1" s="796"/>
      <c r="F1" s="797" t="s">
        <v>1311</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1312</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1314</v>
      </c>
      <c r="B3" s="801" t="e">
        <f>ROUND(IF(D3="",B2*10000/'数据-汇总表'!E3,B2*10000/D3),0)</f>
        <v>#DIV/0!</v>
      </c>
      <c r="C3" s="150" t="s">
        <v>1315</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1316</v>
      </c>
      <c r="B4" s="804"/>
      <c r="C4" s="805" t="s">
        <v>1317</v>
      </c>
      <c r="D4" s="806"/>
      <c r="E4" s="807" t="s">
        <v>1318</v>
      </c>
      <c r="F4" s="808"/>
      <c r="G4" s="805" t="s">
        <v>1319</v>
      </c>
      <c r="H4" s="806"/>
      <c r="I4" s="805" t="s">
        <v>1320</v>
      </c>
      <c r="J4" s="806"/>
      <c r="K4" s="960" t="s">
        <v>1321</v>
      </c>
      <c r="L4" s="961"/>
      <c r="M4" s="962"/>
      <c r="N4" s="962"/>
      <c r="O4" s="962"/>
      <c r="P4" s="963" t="s">
        <v>1322</v>
      </c>
      <c r="Q4" s="1012"/>
      <c r="R4" s="1013" t="s">
        <v>1318</v>
      </c>
      <c r="S4" s="1014"/>
      <c r="T4" s="1013" t="s">
        <v>1319</v>
      </c>
      <c r="U4" s="1014"/>
      <c r="V4" s="1002" t="s">
        <v>1320</v>
      </c>
      <c r="W4" s="1002"/>
      <c r="X4" s="1015"/>
      <c r="Y4" s="1013" t="s">
        <v>1322</v>
      </c>
      <c r="Z4" s="1014"/>
      <c r="AA4" s="1040" t="s">
        <v>1318</v>
      </c>
      <c r="AB4" s="1015" t="s">
        <v>1319</v>
      </c>
      <c r="AC4" s="1040" t="s">
        <v>1320</v>
      </c>
    </row>
    <row r="5" ht="15" spans="1:29">
      <c r="A5" s="809"/>
      <c r="B5" s="810"/>
      <c r="C5" s="811" t="s">
        <v>1323</v>
      </c>
      <c r="D5" s="812"/>
      <c r="E5" s="813" t="s">
        <v>2147</v>
      </c>
      <c r="F5" s="814"/>
      <c r="G5" s="811" t="s">
        <v>2148</v>
      </c>
      <c r="H5" s="812"/>
      <c r="I5" s="811" t="s">
        <v>2149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2237</v>
      </c>
      <c r="D6" s="818"/>
      <c r="E6" s="819" t="s">
        <v>2237</v>
      </c>
      <c r="F6" s="820"/>
      <c r="G6" s="817" t="s">
        <v>2237</v>
      </c>
      <c r="H6" s="818"/>
      <c r="I6" s="817" t="s">
        <v>2237</v>
      </c>
      <c r="J6" s="818"/>
      <c r="K6" s="960" t="s">
        <v>1328</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1329</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1330</v>
      </c>
      <c r="Q7" s="1022"/>
      <c r="R7" s="1023" t="s">
        <v>1331</v>
      </c>
      <c r="S7" s="1024">
        <f t="shared" ref="S7:S15" si="0">F7</f>
        <v>0</v>
      </c>
      <c r="T7" s="1023" t="s">
        <v>1331</v>
      </c>
      <c r="U7" s="1024">
        <f t="shared" ref="U7:U15" si="1">H7</f>
        <v>0</v>
      </c>
      <c r="V7" s="1023" t="s">
        <v>1331</v>
      </c>
      <c r="W7" s="1024">
        <f t="shared" ref="W7:W15" si="2">J7</f>
        <v>0</v>
      </c>
      <c r="X7" s="1025"/>
      <c r="Y7" s="969" t="s">
        <v>1330</v>
      </c>
      <c r="Z7" s="1026"/>
      <c r="AA7" s="1042" t="e">
        <f>D7/F7</f>
        <v>#DIV/0!</v>
      </c>
      <c r="AB7" s="1042" t="e">
        <f>D7/H7</f>
        <v>#DIV/0!</v>
      </c>
      <c r="AC7" s="1042" t="e">
        <f>D7/J7</f>
        <v>#DIV/0!</v>
      </c>
    </row>
    <row r="8" s="784" customFormat="1" ht="15.75" spans="1:29">
      <c r="A8" s="821" t="s">
        <v>1332</v>
      </c>
      <c r="B8" s="822"/>
      <c r="C8" s="828" t="s">
        <v>1333</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1335</v>
      </c>
      <c r="Q8" s="1026"/>
      <c r="R8" s="1023" t="s">
        <v>1331</v>
      </c>
      <c r="S8" s="1024">
        <f t="shared" si="0"/>
        <v>0</v>
      </c>
      <c r="T8" s="1023" t="s">
        <v>1331</v>
      </c>
      <c r="U8" s="1024">
        <f t="shared" si="1"/>
        <v>0</v>
      </c>
      <c r="V8" s="1023" t="s">
        <v>1331</v>
      </c>
      <c r="W8" s="1024">
        <f t="shared" si="2"/>
        <v>0</v>
      </c>
      <c r="X8" s="1025"/>
      <c r="Y8" s="969" t="s">
        <v>1335</v>
      </c>
      <c r="Z8" s="1026"/>
      <c r="AA8" s="1042" t="e">
        <f t="shared" ref="AA8:AA40" si="3">D8/F8</f>
        <v>#DIV/0!</v>
      </c>
      <c r="AB8" s="1042" t="e">
        <f t="shared" ref="AB8:AB40" si="4">D8/H8</f>
        <v>#DIV/0!</v>
      </c>
      <c r="AC8" s="1042" t="e">
        <f t="shared" ref="AC8:AC40" si="5">D8/J8</f>
        <v>#DIV/0!</v>
      </c>
    </row>
    <row r="9" s="784" customFormat="1" spans="1:29">
      <c r="A9" s="829" t="s">
        <v>1336</v>
      </c>
      <c r="B9" s="830" t="s">
        <v>1337</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1338</v>
      </c>
      <c r="Q9" s="1027" t="str">
        <f t="shared" ref="Q9:Q15" si="6">B9</f>
        <v>用途</v>
      </c>
      <c r="R9" s="1023" t="s">
        <v>1331</v>
      </c>
      <c r="S9" s="1024">
        <f t="shared" si="0"/>
        <v>100</v>
      </c>
      <c r="T9" s="1023" t="s">
        <v>1331</v>
      </c>
      <c r="U9" s="1024">
        <f t="shared" si="1"/>
        <v>100</v>
      </c>
      <c r="V9" s="1023" t="s">
        <v>1331</v>
      </c>
      <c r="W9" s="1024">
        <f t="shared" si="2"/>
        <v>100</v>
      </c>
      <c r="X9" s="1025"/>
      <c r="Y9" s="1027" t="s">
        <v>1339</v>
      </c>
      <c r="Z9" s="1043" t="str">
        <f t="shared" ref="Z9:Z15" si="7">Q9</f>
        <v>用途</v>
      </c>
      <c r="AA9" s="1042">
        <f t="shared" si="3"/>
        <v>1</v>
      </c>
      <c r="AB9" s="1042">
        <f t="shared" si="4"/>
        <v>1</v>
      </c>
      <c r="AC9" s="1042">
        <f t="shared" si="5"/>
        <v>1</v>
      </c>
    </row>
    <row r="10" s="785" customFormat="1" ht="27" spans="1:29">
      <c r="A10" s="833"/>
      <c r="B10" s="834" t="s">
        <v>1340</v>
      </c>
      <c r="C10" s="835"/>
      <c r="D10" s="836">
        <v>100</v>
      </c>
      <c r="E10" s="835"/>
      <c r="F10" s="836">
        <f>ROUND(100/'数据-取费表'!G16,0)</f>
        <v>115</v>
      </c>
      <c r="G10" s="835"/>
      <c r="H10" s="836">
        <f>ROUND(100/'数据-取费表'!G16,0)</f>
        <v>115</v>
      </c>
      <c r="I10" s="835"/>
      <c r="J10" s="836">
        <f>ROUND(100/'数据-取费表'!G16,0)</f>
        <v>115</v>
      </c>
      <c r="K10" s="971"/>
      <c r="L10" s="972"/>
      <c r="M10" s="973"/>
      <c r="N10" s="973"/>
      <c r="O10" s="974"/>
      <c r="P10" s="548"/>
      <c r="Q10" s="1027" t="str">
        <f t="shared" si="6"/>
        <v>土地使用年限（年）</v>
      </c>
      <c r="R10" s="1023" t="s">
        <v>1331</v>
      </c>
      <c r="S10" s="1024">
        <f t="shared" si="0"/>
        <v>115</v>
      </c>
      <c r="T10" s="1023" t="s">
        <v>1331</v>
      </c>
      <c r="U10" s="1024">
        <f t="shared" si="1"/>
        <v>115</v>
      </c>
      <c r="V10" s="1023" t="s">
        <v>1331</v>
      </c>
      <c r="W10" s="1024">
        <f t="shared" si="2"/>
        <v>115</v>
      </c>
      <c r="X10" s="1025"/>
      <c r="Y10" s="1027"/>
      <c r="Z10" s="1043" t="str">
        <f t="shared" si="7"/>
        <v>土地使用年限（年）</v>
      </c>
      <c r="AA10" s="1042">
        <f t="shared" si="3"/>
        <v>0.869565217391304</v>
      </c>
      <c r="AB10" s="1042">
        <f t="shared" si="4"/>
        <v>0.869565217391304</v>
      </c>
      <c r="AC10" s="1042">
        <f t="shared" si="5"/>
        <v>0.869565217391304</v>
      </c>
    </row>
    <row r="11" ht="15" spans="1:29">
      <c r="A11" s="837"/>
      <c r="B11" s="834" t="s">
        <v>1342</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1331</v>
      </c>
      <c r="S11" s="1024" t="e">
        <f t="shared" si="0"/>
        <v>#N/A</v>
      </c>
      <c r="T11" s="1023" t="s">
        <v>1331</v>
      </c>
      <c r="U11" s="1024" t="e">
        <f t="shared" si="1"/>
        <v>#N/A</v>
      </c>
      <c r="V11" s="1023" t="s">
        <v>1331</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1331</v>
      </c>
      <c r="S12" s="1024">
        <f t="shared" si="0"/>
        <v>100</v>
      </c>
      <c r="T12" s="1023" t="s">
        <v>1331</v>
      </c>
      <c r="U12" s="1024">
        <f t="shared" si="1"/>
        <v>100</v>
      </c>
      <c r="V12" s="1023" t="s">
        <v>1331</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1331</v>
      </c>
      <c r="S13" s="1024">
        <f t="shared" si="0"/>
        <v>100</v>
      </c>
      <c r="T13" s="1023" t="s">
        <v>1331</v>
      </c>
      <c r="U13" s="1024">
        <f t="shared" si="1"/>
        <v>100</v>
      </c>
      <c r="V13" s="1023" t="s">
        <v>1331</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1331</v>
      </c>
      <c r="S14" s="1024">
        <f t="shared" si="0"/>
        <v>100</v>
      </c>
      <c r="T14" s="1023" t="s">
        <v>1331</v>
      </c>
      <c r="U14" s="1024">
        <f t="shared" si="1"/>
        <v>100</v>
      </c>
      <c r="V14" s="1023" t="s">
        <v>1331</v>
      </c>
      <c r="W14" s="1024">
        <f t="shared" si="2"/>
        <v>100</v>
      </c>
      <c r="X14" s="1025"/>
      <c r="Y14" s="1027"/>
      <c r="Z14" s="1043">
        <f t="shared" si="7"/>
        <v>111</v>
      </c>
      <c r="AA14" s="1042">
        <f t="shared" si="3"/>
        <v>1</v>
      </c>
      <c r="AB14" s="1042">
        <f t="shared" si="4"/>
        <v>1</v>
      </c>
      <c r="AC14" s="1042">
        <f t="shared" si="5"/>
        <v>1</v>
      </c>
    </row>
    <row r="15" ht="56.25" spans="1:29">
      <c r="A15" s="851" t="s">
        <v>1343</v>
      </c>
      <c r="B15" s="852" t="s">
        <v>2175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1345</v>
      </c>
      <c r="Q15" s="548" t="str">
        <f t="shared" si="6"/>
        <v>产业集聚程度</v>
      </c>
      <c r="R15" s="1028" t="s">
        <v>1331</v>
      </c>
      <c r="S15" s="1029">
        <f t="shared" si="0"/>
        <v>100</v>
      </c>
      <c r="T15" s="1028" t="s">
        <v>1331</v>
      </c>
      <c r="U15" s="1029">
        <f t="shared" si="1"/>
        <v>100</v>
      </c>
      <c r="V15" s="1028" t="s">
        <v>1331</v>
      </c>
      <c r="W15" s="1029">
        <f t="shared" si="2"/>
        <v>100</v>
      </c>
      <c r="X15" s="1015"/>
      <c r="Y15" s="980" t="s">
        <v>1345</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1347</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1331</v>
      </c>
      <c r="S17" s="1029">
        <f>F17</f>
        <v>100</v>
      </c>
      <c r="T17" s="1028" t="s">
        <v>1331</v>
      </c>
      <c r="U17" s="1029">
        <f>H17</f>
        <v>100</v>
      </c>
      <c r="V17" s="1028" t="s">
        <v>1331</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2197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1331</v>
      </c>
      <c r="S19" s="1029">
        <f>F19</f>
        <v>100</v>
      </c>
      <c r="T19" s="1028" t="s">
        <v>1331</v>
      </c>
      <c r="U19" s="1029">
        <f>H19</f>
        <v>100</v>
      </c>
      <c r="V19" s="1028" t="s">
        <v>1331</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2238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1331</v>
      </c>
      <c r="S21" s="1029">
        <f>F21</f>
        <v>100</v>
      </c>
      <c r="T21" s="1028" t="s">
        <v>1331</v>
      </c>
      <c r="U21" s="1029">
        <f>H21</f>
        <v>100</v>
      </c>
      <c r="V21" s="1028" t="s">
        <v>1331</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1349</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1331</v>
      </c>
      <c r="S23" s="1024">
        <f>F23</f>
        <v>100</v>
      </c>
      <c r="T23" s="1023" t="s">
        <v>1331</v>
      </c>
      <c r="U23" s="1024">
        <f>H23</f>
        <v>100</v>
      </c>
      <c r="V23" s="1023" t="s">
        <v>1331</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1350</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1331</v>
      </c>
      <c r="S25" s="1024">
        <f>F25</f>
        <v>100</v>
      </c>
      <c r="T25" s="1023" t="s">
        <v>1331</v>
      </c>
      <c r="U25" s="1024">
        <f>H25</f>
        <v>100</v>
      </c>
      <c r="V25" s="1023" t="s">
        <v>1331</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1707</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1331</v>
      </c>
      <c r="S27" s="1029">
        <f t="shared" ref="S27:S40" si="10">F27</f>
        <v>100</v>
      </c>
      <c r="T27" s="1028" t="s">
        <v>1331</v>
      </c>
      <c r="U27" s="1029">
        <f t="shared" ref="U27:U40" si="11">H27</f>
        <v>100</v>
      </c>
      <c r="V27" s="1028" t="s">
        <v>1331</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1352</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1331</v>
      </c>
      <c r="S28" s="1029">
        <f t="shared" si="10"/>
        <v>100</v>
      </c>
      <c r="T28" s="1028" t="s">
        <v>1331</v>
      </c>
      <c r="U28" s="1029">
        <f t="shared" si="11"/>
        <v>100</v>
      </c>
      <c r="V28" s="1028" t="s">
        <v>1331</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2199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1331</v>
      </c>
      <c r="S30" s="1029">
        <f t="shared" si="10"/>
        <v>100</v>
      </c>
      <c r="T30" s="1028" t="s">
        <v>1331</v>
      </c>
      <c r="U30" s="1029">
        <f t="shared" si="11"/>
        <v>100</v>
      </c>
      <c r="V30" s="1028" t="s">
        <v>1331</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1331</v>
      </c>
      <c r="S31" s="1029">
        <f t="shared" si="10"/>
        <v>100</v>
      </c>
      <c r="T31" s="1028" t="s">
        <v>1331</v>
      </c>
      <c r="U31" s="1029">
        <f t="shared" si="11"/>
        <v>100</v>
      </c>
      <c r="V31" s="1028" t="s">
        <v>1331</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1364</v>
      </c>
      <c r="Q32" s="548">
        <f t="shared" si="8"/>
        <v>111</v>
      </c>
      <c r="R32" s="1028" t="s">
        <v>1331</v>
      </c>
      <c r="S32" s="1029">
        <f t="shared" si="10"/>
        <v>100</v>
      </c>
      <c r="T32" s="1028" t="s">
        <v>1331</v>
      </c>
      <c r="U32" s="1029">
        <f t="shared" si="11"/>
        <v>100</v>
      </c>
      <c r="V32" s="1028" t="s">
        <v>1331</v>
      </c>
      <c r="W32" s="1029">
        <f t="shared" si="12"/>
        <v>100</v>
      </c>
      <c r="X32" s="1015"/>
      <c r="Y32" s="990" t="s">
        <v>1364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1331</v>
      </c>
      <c r="S33" s="1031">
        <f t="shared" si="10"/>
        <v>100</v>
      </c>
      <c r="T33" s="1030" t="s">
        <v>1331</v>
      </c>
      <c r="U33" s="1031">
        <f t="shared" si="11"/>
        <v>100</v>
      </c>
      <c r="V33" s="1030" t="s">
        <v>1331</v>
      </c>
      <c r="W33" s="1031">
        <f t="shared" si="12"/>
        <v>100</v>
      </c>
      <c r="X33" s="1032"/>
      <c r="Y33" s="990"/>
      <c r="Z33" s="1045">
        <f t="shared" si="13"/>
        <v>111</v>
      </c>
      <c r="AA33" s="1044">
        <f t="shared" si="3"/>
        <v>1</v>
      </c>
      <c r="AB33" s="1044">
        <f t="shared" si="4"/>
        <v>1</v>
      </c>
      <c r="AC33" s="1044">
        <f t="shared" si="5"/>
        <v>1</v>
      </c>
    </row>
    <row r="34" ht="15" spans="1:29">
      <c r="A34" s="851" t="s">
        <v>1361</v>
      </c>
      <c r="B34" s="885" t="s">
        <v>2200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1331</v>
      </c>
      <c r="S34" s="1029" t="e">
        <f t="shared" si="10"/>
        <v>#N/A</v>
      </c>
      <c r="T34" s="1028" t="s">
        <v>1331</v>
      </c>
      <c r="U34" s="1029" t="e">
        <f t="shared" si="11"/>
        <v>#N/A</v>
      </c>
      <c r="V34" s="1028" t="s">
        <v>1331</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2201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1331</v>
      </c>
      <c r="S35" s="1029">
        <f t="shared" si="10"/>
        <v>100</v>
      </c>
      <c r="T35" s="1028" t="s">
        <v>1331</v>
      </c>
      <c r="U35" s="1029">
        <f t="shared" si="11"/>
        <v>100</v>
      </c>
      <c r="V35" s="1028" t="s">
        <v>1331</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2203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1331</v>
      </c>
      <c r="S36" s="1024">
        <f t="shared" si="10"/>
        <v>100</v>
      </c>
      <c r="T36" s="1023" t="s">
        <v>1331</v>
      </c>
      <c r="U36" s="1024">
        <f t="shared" si="11"/>
        <v>100</v>
      </c>
      <c r="V36" s="1023" t="s">
        <v>1331</v>
      </c>
      <c r="W36" s="1024">
        <f t="shared" si="12"/>
        <v>100</v>
      </c>
      <c r="X36" s="1025"/>
      <c r="Y36" s="990"/>
      <c r="Z36" s="1043" t="str">
        <f t="shared" si="13"/>
        <v>宗地开发程度</v>
      </c>
      <c r="AA36" s="1042">
        <f t="shared" si="3"/>
        <v>1</v>
      </c>
      <c r="AB36" s="1042">
        <f t="shared" si="4"/>
        <v>1</v>
      </c>
      <c r="AC36" s="1042">
        <f t="shared" si="5"/>
        <v>1</v>
      </c>
    </row>
    <row r="37" ht="15" spans="1:29">
      <c r="A37" s="888"/>
      <c r="B37" s="834" t="s">
        <v>2204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1364</v>
      </c>
      <c r="Q37" s="548" t="str">
        <f t="shared" si="14"/>
        <v>工程地质条件</v>
      </c>
      <c r="R37" s="1028" t="s">
        <v>1331</v>
      </c>
      <c r="S37" s="1029">
        <f t="shared" si="10"/>
        <v>100</v>
      </c>
      <c r="T37" s="1028" t="s">
        <v>1331</v>
      </c>
      <c r="U37" s="1029">
        <f t="shared" si="11"/>
        <v>100</v>
      </c>
      <c r="V37" s="1028" t="s">
        <v>1331</v>
      </c>
      <c r="W37" s="1029">
        <f t="shared" si="12"/>
        <v>100</v>
      </c>
      <c r="X37" s="1015"/>
      <c r="Y37" s="990" t="s">
        <v>1364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1331</v>
      </c>
      <c r="S38" s="1029">
        <f t="shared" si="10"/>
        <v>100</v>
      </c>
      <c r="T38" s="1028" t="s">
        <v>1331</v>
      </c>
      <c r="U38" s="1029">
        <f t="shared" si="11"/>
        <v>100</v>
      </c>
      <c r="V38" s="1028" t="s">
        <v>1331</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1331</v>
      </c>
      <c r="S39" s="1029">
        <f t="shared" si="10"/>
        <v>100</v>
      </c>
      <c r="T39" s="1028" t="s">
        <v>1331</v>
      </c>
      <c r="U39" s="1029">
        <f t="shared" si="11"/>
        <v>100</v>
      </c>
      <c r="V39" s="1028" t="s">
        <v>1331</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1331</v>
      </c>
      <c r="S40" s="1031">
        <f t="shared" si="10"/>
        <v>100</v>
      </c>
      <c r="T40" s="1030" t="s">
        <v>1331</v>
      </c>
      <c r="U40" s="1031">
        <f t="shared" si="11"/>
        <v>100</v>
      </c>
      <c r="V40" s="1030" t="s">
        <v>1331</v>
      </c>
      <c r="W40" s="1031">
        <f t="shared" si="12"/>
        <v>100</v>
      </c>
      <c r="X40" s="1032"/>
      <c r="Y40" s="990"/>
      <c r="Z40" s="1045">
        <f t="shared" si="13"/>
        <v>111</v>
      </c>
      <c r="AA40" s="1044">
        <f t="shared" si="3"/>
        <v>1</v>
      </c>
      <c r="AB40" s="1044">
        <f t="shared" si="4"/>
        <v>1</v>
      </c>
      <c r="AC40" s="1044">
        <f t="shared" si="5"/>
        <v>1</v>
      </c>
    </row>
    <row r="41" ht="15" spans="1:29">
      <c r="A41" s="895" t="s">
        <v>2187</v>
      </c>
      <c r="B41" s="896" t="s">
        <v>2239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1383</v>
      </c>
      <c r="B42" s="904"/>
      <c r="C42" s="905" t="e">
        <f>R43</f>
        <v>#DIV/0!</v>
      </c>
      <c r="D42" s="906" t="s">
        <v>1384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1385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1386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1387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1388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2207</v>
      </c>
      <c r="B50" s="922" t="s">
        <v>2208</v>
      </c>
      <c r="C50" s="923" t="s">
        <v>2209</v>
      </c>
      <c r="D50" s="924" t="s">
        <v>2210</v>
      </c>
      <c r="E50" s="925" t="s">
        <v>2211</v>
      </c>
      <c r="F50" s="926" t="s">
        <v>2212</v>
      </c>
      <c r="G50" s="805" t="s">
        <v>2213</v>
      </c>
      <c r="H50" s="544"/>
      <c r="I50" s="1002" t="s">
        <v>2240</v>
      </c>
      <c r="J50" s="1002">
        <f>项目基本情况!F35</f>
        <v>0</v>
      </c>
      <c r="K50" s="1003" t="s">
        <v>2215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2216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2217</v>
      </c>
      <c r="B52" s="164" t="e">
        <f>ROUND($C$43*C52*D52,0)</f>
        <v>#DIV/0!</v>
      </c>
      <c r="C52" s="489">
        <f t="shared" ref="C52:C60" si="16">IF($C$50="北京市系数",I52,J52)</f>
        <v>0.7</v>
      </c>
      <c r="D52" s="934">
        <v>0.25</v>
      </c>
      <c r="E52" s="935"/>
      <c r="F52" s="931" t="e">
        <f t="shared" si="15"/>
        <v>#DIV/0!</v>
      </c>
      <c r="G52" s="936" t="s">
        <v>2218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2219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2220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2221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2222</v>
      </c>
      <c r="B56" s="164" t="e">
        <f t="shared" si="17"/>
        <v>#DIV/0!</v>
      </c>
      <c r="C56" s="489">
        <f t="shared" si="16"/>
        <v>0.25</v>
      </c>
      <c r="D56" s="934">
        <v>0.25</v>
      </c>
      <c r="E56" s="163">
        <f>'数据-汇总表'!E11</f>
        <v>0</v>
      </c>
      <c r="F56" s="931" t="e">
        <f t="shared" si="15"/>
        <v>#DIV/0!</v>
      </c>
      <c r="G56" s="936" t="s">
        <v>2223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2224</v>
      </c>
      <c r="B57" s="164" t="e">
        <f t="shared" si="17"/>
        <v>#DIV/0!</v>
      </c>
      <c r="C57" s="489">
        <f t="shared" si="16"/>
        <v>0.25</v>
      </c>
      <c r="D57" s="934">
        <v>0.25</v>
      </c>
      <c r="E57" s="163">
        <f>'数据-汇总表'!E12</f>
        <v>0</v>
      </c>
      <c r="F57" s="931" t="e">
        <f t="shared" si="15"/>
        <v>#DIV/0!</v>
      </c>
      <c r="G57" s="938" t="s">
        <v>2225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2226</v>
      </c>
      <c r="B58" s="164" t="e">
        <f t="shared" si="17"/>
        <v>#DIV/0!</v>
      </c>
      <c r="C58" s="489">
        <f t="shared" si="16"/>
        <v>0</v>
      </c>
      <c r="D58" s="934">
        <v>0.25</v>
      </c>
      <c r="E58" s="163">
        <f>'数据-汇总表'!E13</f>
        <v>0</v>
      </c>
      <c r="F58" s="931" t="e">
        <f t="shared" si="15"/>
        <v>#DIV/0!</v>
      </c>
      <c r="G58" s="938" t="s">
        <v>2227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2228</v>
      </c>
      <c r="B59" s="164" t="e">
        <f t="shared" si="17"/>
        <v>#DIV/0!</v>
      </c>
      <c r="C59" s="489">
        <f t="shared" si="16"/>
        <v>0.2</v>
      </c>
      <c r="D59" s="934">
        <v>0.25</v>
      </c>
      <c r="E59" s="163">
        <f>'数据-汇总表'!E14</f>
        <v>0</v>
      </c>
      <c r="F59" s="931" t="e">
        <f t="shared" si="15"/>
        <v>#DIV/0!</v>
      </c>
      <c r="G59" s="936" t="s">
        <v>2218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2229</v>
      </c>
      <c r="B60" s="164" t="e">
        <f t="shared" si="17"/>
        <v>#DIV/0!</v>
      </c>
      <c r="C60" s="489">
        <f t="shared" si="16"/>
        <v>0.2</v>
      </c>
      <c r="D60" s="934">
        <v>0.25</v>
      </c>
      <c r="E60" s="163">
        <f>'数据-汇总表'!E15</f>
        <v>0</v>
      </c>
      <c r="F60" s="931" t="e">
        <f t="shared" si="15"/>
        <v>#DIV/0!</v>
      </c>
      <c r="G60" s="939" t="s">
        <v>2223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2230</v>
      </c>
      <c r="B61" s="942" t="s">
        <v>1399</v>
      </c>
      <c r="C61" s="942" t="s">
        <v>1399</v>
      </c>
      <c r="D61" s="942" t="s">
        <v>1399</v>
      </c>
      <c r="E61" s="942">
        <f>IF(B41="楼面地价",SUM(E51:E60),'数据-汇总表'!D3)</f>
        <v>9082.33</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1389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2231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2241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1390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1332</v>
      </c>
      <c r="B68" s="1058"/>
      <c r="C68" s="1059" t="s">
        <v>1333</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1391</v>
      </c>
      <c r="B70" s="1064" t="s">
        <v>1337</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1340</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1342</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1343</v>
      </c>
      <c r="B83" s="1064" t="s">
        <v>2175</v>
      </c>
      <c r="C83" s="1085" t="s">
        <v>1400</v>
      </c>
      <c r="D83" s="1085" t="s">
        <v>1401</v>
      </c>
      <c r="E83" s="1085" t="s">
        <v>1402</v>
      </c>
      <c r="F83" s="1085" t="s">
        <v>1403</v>
      </c>
      <c r="G83" s="1085" t="s">
        <v>1404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1347</v>
      </c>
      <c r="C85" s="1087" t="s">
        <v>1400</v>
      </c>
      <c r="D85" s="1087" t="s">
        <v>1401</v>
      </c>
      <c r="E85" s="1087" t="s">
        <v>1402</v>
      </c>
      <c r="F85" s="1087" t="s">
        <v>1403</v>
      </c>
      <c r="G85" s="1087" t="s">
        <v>1404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2197</v>
      </c>
      <c r="C87" s="1085" t="s">
        <v>1400</v>
      </c>
      <c r="D87" s="1085" t="s">
        <v>1401</v>
      </c>
      <c r="E87" s="1085" t="s">
        <v>1402</v>
      </c>
      <c r="F87" s="1085" t="s">
        <v>1403</v>
      </c>
      <c r="G87" s="1085" t="s">
        <v>1404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2198</v>
      </c>
      <c r="C89" s="1085" t="s">
        <v>1400</v>
      </c>
      <c r="D89" s="1085" t="s">
        <v>1401</v>
      </c>
      <c r="E89" s="1085" t="s">
        <v>1402</v>
      </c>
      <c r="F89" s="1085" t="s">
        <v>1403</v>
      </c>
      <c r="G89" s="1085" t="s">
        <v>1404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1349</v>
      </c>
      <c r="C91" s="1085" t="s">
        <v>1400</v>
      </c>
      <c r="D91" s="1085" t="s">
        <v>1401</v>
      </c>
      <c r="E91" s="1085" t="s">
        <v>1402</v>
      </c>
      <c r="F91" s="1085" t="s">
        <v>1403</v>
      </c>
      <c r="G91" s="1085" t="s">
        <v>1404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1350</v>
      </c>
      <c r="C93" s="1092" t="s">
        <v>1405</v>
      </c>
      <c r="D93" s="1092" t="s">
        <v>1406</v>
      </c>
      <c r="E93" s="1092" t="s">
        <v>1407</v>
      </c>
      <c r="F93" s="1092" t="s">
        <v>1408</v>
      </c>
      <c r="G93" s="1092" t="s">
        <v>1409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2233</v>
      </c>
      <c r="D95" s="1069" t="s">
        <v>2234</v>
      </c>
      <c r="E95" s="1069" t="s">
        <v>2235</v>
      </c>
      <c r="F95" s="1069" t="s">
        <v>2236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1352</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2199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1361</v>
      </c>
      <c r="B107" s="1064" t="s">
        <v>2200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2201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2203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2204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2242</v>
      </c>
      <c r="B1" s="144"/>
      <c r="C1" s="147" t="s">
        <v>1315</v>
      </c>
      <c r="D1" s="450">
        <f>SUM(D29:D30,D33:D39)</f>
        <v>0</v>
      </c>
      <c r="E1" s="451"/>
      <c r="F1" s="451"/>
      <c r="G1" s="451"/>
      <c r="H1" s="451"/>
      <c r="I1" s="451"/>
      <c r="J1" s="451"/>
      <c r="K1" s="443"/>
      <c r="L1" s="634" t="s">
        <v>2243</v>
      </c>
      <c r="M1" s="635">
        <f>SUMPRODUCT((区片价!B5:B9=I2)*(区片价!C3:F3=E2)*(区片价!C5:F9))</f>
        <v>0</v>
      </c>
      <c r="N1" s="636">
        <f>SUMPRODUCT((因素修正幅度!B5:B9=I2)*(因素修正幅度!C3:F3=E2)*(因素修正幅度!C5:F9))</f>
        <v>0</v>
      </c>
      <c r="O1" s="444"/>
      <c r="P1" s="444"/>
      <c r="Q1" s="443"/>
      <c r="R1" s="717" t="s">
        <v>2244</v>
      </c>
      <c r="S1" s="717" t="s">
        <v>2245</v>
      </c>
      <c r="T1" s="717" t="s">
        <v>2246</v>
      </c>
      <c r="U1" s="717" t="s">
        <v>2247</v>
      </c>
      <c r="V1" s="717" t="s">
        <v>2248</v>
      </c>
      <c r="W1" s="718"/>
      <c r="X1" s="718"/>
      <c r="Y1" s="718"/>
      <c r="Z1" s="718"/>
      <c r="AA1" s="718"/>
      <c r="AB1" s="718"/>
      <c r="AC1" s="728"/>
      <c r="AD1" s="729"/>
      <c r="AE1" s="729"/>
      <c r="AF1" s="729"/>
      <c r="AG1" s="729"/>
      <c r="AH1" s="729"/>
      <c r="AI1" s="729"/>
      <c r="AJ1" s="739"/>
    </row>
    <row r="2" ht="15.75" spans="1:36">
      <c r="A2" s="147" t="s">
        <v>1312</v>
      </c>
      <c r="B2" s="151" t="e">
        <f ca="1">C26</f>
        <v>#DIV/0!</v>
      </c>
      <c r="C2" s="452" t="s">
        <v>1313</v>
      </c>
      <c r="D2" s="453" t="s">
        <v>2249</v>
      </c>
      <c r="E2" s="454"/>
      <c r="F2" s="453" t="s">
        <v>2250</v>
      </c>
      <c r="G2" s="455">
        <f>IF(E2="商业",项目基本情况!B37,IF(E2="办公",项目基本情况!C37,IF(E2="住宅",项目基本情况!D37,项目基本情况!E37)))</f>
        <v>0</v>
      </c>
      <c r="H2" s="453" t="s">
        <v>2251</v>
      </c>
      <c r="I2" s="455">
        <f>IF(E2="商业",项目基本情况!B38,IF(E2="办公",项目基本情况!C38,IF(E2="住宅",项目基本情况!D38,项目基本情况!E38)))</f>
        <v>0</v>
      </c>
      <c r="J2" s="637"/>
      <c r="K2" s="443"/>
      <c r="L2" s="638" t="s">
        <v>2252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1314</v>
      </c>
      <c r="B3" s="151" t="e">
        <f ca="1">ROUND(B2*10000/D1,0)</f>
        <v>#DIV/0!</v>
      </c>
      <c r="C3" s="452" t="s">
        <v>1935</v>
      </c>
      <c r="D3" s="453" t="s">
        <v>2253</v>
      </c>
      <c r="E3" s="456"/>
      <c r="F3" s="457" t="s">
        <v>2254</v>
      </c>
      <c r="G3" s="458">
        <f>IF(F3="宗地容积率",'数据-汇总表'!I4,IF(F3="估价对象容积率",'数据-汇总表'!I6,'数据-汇总表'!I7))</f>
        <v>5.7</v>
      </c>
      <c r="H3" s="459" t="s">
        <v>2255</v>
      </c>
      <c r="I3" s="640"/>
      <c r="J3" s="637" t="s">
        <v>2256</v>
      </c>
      <c r="K3" s="443"/>
      <c r="L3" s="638" t="s">
        <v>2257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2258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1214</v>
      </c>
      <c r="B5" s="464" t="s">
        <v>2259</v>
      </c>
      <c r="C5" s="465" t="e">
        <f>ROUND(IF(E2="商业",C6*C7+C16,(IF(E2="住宅",C6*C12+C16,C6+C16))),0)</f>
        <v>#DIV/0!</v>
      </c>
      <c r="D5" s="466" t="e">
        <f>ROUND(C6+C16,0)</f>
        <v>#DIV/0!</v>
      </c>
      <c r="E5" s="466"/>
      <c r="F5" s="467"/>
      <c r="G5" s="468"/>
      <c r="H5" s="468"/>
      <c r="I5" s="468"/>
      <c r="J5" s="642"/>
      <c r="K5" s="643"/>
      <c r="L5" s="638" t="s">
        <v>2260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1937</v>
      </c>
      <c r="B6" s="470" t="s">
        <v>2261</v>
      </c>
      <c r="C6" s="471">
        <f>SUMIF(L1:L12,G2,M1:M12)</f>
        <v>0</v>
      </c>
      <c r="D6" s="472" t="s">
        <v>2262</v>
      </c>
      <c r="E6" s="473"/>
      <c r="F6" s="473"/>
      <c r="G6" s="474"/>
      <c r="H6" s="474"/>
      <c r="I6" s="474"/>
      <c r="J6" s="644"/>
      <c r="K6" s="645"/>
      <c r="L6" s="638" t="s">
        <v>2263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2264</v>
      </c>
      <c r="C7" s="477" t="e">
        <f>IF(C8="不临58条商业街",1,ROUND(1+(1.6*E8+1.2*E9+0.8*E10+0.4*E11)*C9,4))</f>
        <v>#DIV/0!</v>
      </c>
      <c r="D7" s="478" t="s">
        <v>2265</v>
      </c>
      <c r="E7" s="479"/>
      <c r="F7" s="480"/>
      <c r="G7" s="481"/>
      <c r="H7" s="481"/>
      <c r="I7" s="481"/>
      <c r="J7" s="646"/>
      <c r="K7" s="645"/>
      <c r="L7" s="638" t="s">
        <v>2266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2267</v>
      </c>
      <c r="X7" s="721">
        <f>G2</f>
        <v>0</v>
      </c>
      <c r="Y7" s="721" t="s">
        <v>2268</v>
      </c>
      <c r="Z7" s="732">
        <f>G3</f>
        <v>5.7</v>
      </c>
      <c r="AA7" s="718"/>
      <c r="AB7" s="718"/>
      <c r="AC7" s="728"/>
      <c r="AD7" s="729"/>
      <c r="AE7" s="729"/>
      <c r="AF7" s="729"/>
      <c r="AG7" s="729"/>
      <c r="AH7" s="729"/>
      <c r="AI7" s="729"/>
      <c r="AJ7" s="739"/>
    </row>
    <row r="8" ht="15" spans="1:36">
      <c r="A8" s="482"/>
      <c r="B8" s="459" t="s">
        <v>2269</v>
      </c>
      <c r="C8" s="483"/>
      <c r="D8" s="484" t="s">
        <v>2270</v>
      </c>
      <c r="E8" s="485" t="e">
        <f>ROUND(C11/E7,4)</f>
        <v>#DIV/0!</v>
      </c>
      <c r="F8" s="486" t="s">
        <v>2271</v>
      </c>
      <c r="G8" s="487"/>
      <c r="H8" s="487"/>
      <c r="I8" s="487"/>
      <c r="J8" s="647"/>
      <c r="K8" s="443"/>
      <c r="L8" s="638" t="s">
        <v>2272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2273</v>
      </c>
      <c r="X8" s="723"/>
      <c r="Y8" s="733" t="s">
        <v>2274</v>
      </c>
      <c r="Z8" s="733" t="s">
        <v>2275</v>
      </c>
      <c r="AA8" s="733" t="s">
        <v>2276</v>
      </c>
      <c r="AB8" s="733" t="s">
        <v>2277</v>
      </c>
      <c r="AC8" s="733" t="s">
        <v>2278</v>
      </c>
      <c r="AD8" s="733" t="s">
        <v>2279</v>
      </c>
      <c r="AE8" s="733" t="s">
        <v>2280</v>
      </c>
      <c r="AF8" s="733" t="s">
        <v>2281</v>
      </c>
      <c r="AG8" s="733" t="s">
        <v>2282</v>
      </c>
      <c r="AH8" s="733" t="s">
        <v>2283</v>
      </c>
      <c r="AI8" s="733" t="s">
        <v>2284</v>
      </c>
      <c r="AJ8" s="733" t="s">
        <v>2285</v>
      </c>
    </row>
    <row r="9" ht="15" spans="1:36">
      <c r="A9" s="482"/>
      <c r="B9" s="459" t="s">
        <v>2286</v>
      </c>
      <c r="C9" s="488">
        <f>SUMIF(修正!C59:C119,C8,修正!E59:E119)</f>
        <v>0</v>
      </c>
      <c r="D9" s="489" t="s">
        <v>2287</v>
      </c>
      <c r="E9" s="489" t="e">
        <f>ROUND(C11/E7,4)</f>
        <v>#DIV/0!</v>
      </c>
      <c r="F9" s="486" t="s">
        <v>2288</v>
      </c>
      <c r="G9" s="487"/>
      <c r="H9" s="487"/>
      <c r="I9" s="487"/>
      <c r="J9" s="647"/>
      <c r="K9" s="443"/>
      <c r="L9" s="638" t="s">
        <v>2289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2290</v>
      </c>
      <c r="X9" s="724" t="s">
        <v>2291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2292</v>
      </c>
      <c r="C10" s="489">
        <f>SUMIF(修正!C59:C119,C8,修正!F59:F119)</f>
        <v>0</v>
      </c>
      <c r="D10" s="489" t="s">
        <v>2293</v>
      </c>
      <c r="E10" s="489" t="e">
        <f>ROUND(C11/E7,4)</f>
        <v>#DIV/0!</v>
      </c>
      <c r="F10" s="486" t="s">
        <v>2294</v>
      </c>
      <c r="G10" s="487"/>
      <c r="H10" s="487"/>
      <c r="I10" s="487"/>
      <c r="J10" s="647"/>
      <c r="K10" s="443"/>
      <c r="L10" s="638" t="s">
        <v>2295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2296</v>
      </c>
      <c r="C11" s="491">
        <f>C10/4</f>
        <v>0</v>
      </c>
      <c r="D11" s="491" t="s">
        <v>2297</v>
      </c>
      <c r="E11" s="491" t="e">
        <f>ROUND(C11/E7,4)</f>
        <v>#DIV/0!</v>
      </c>
      <c r="F11" s="492" t="s">
        <v>2298</v>
      </c>
      <c r="G11" s="493"/>
      <c r="H11" s="493"/>
      <c r="I11" s="493"/>
      <c r="J11" s="648"/>
      <c r="K11" s="443"/>
      <c r="L11" s="638" t="s">
        <v>2299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2300</v>
      </c>
      <c r="X11" s="725" t="s">
        <v>2268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2301</v>
      </c>
      <c r="B12" s="494" t="s">
        <v>2302</v>
      </c>
      <c r="C12" s="477">
        <f>ROUND(C15*D15*E15*F15*G15*H15*I15*J15,4)</f>
        <v>1</v>
      </c>
      <c r="D12" s="495" t="s">
        <v>2303</v>
      </c>
      <c r="E12" s="496"/>
      <c r="F12" s="496"/>
      <c r="G12" s="497"/>
      <c r="H12" s="497"/>
      <c r="I12" s="497"/>
      <c r="J12" s="649"/>
      <c r="K12" s="443"/>
      <c r="L12" s="650" t="s">
        <v>2304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2305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2306</v>
      </c>
      <c r="C13" s="500" t="s">
        <v>2307</v>
      </c>
      <c r="D13" s="501" t="s">
        <v>2308</v>
      </c>
      <c r="E13" s="501" t="s">
        <v>2309</v>
      </c>
      <c r="F13" s="502" t="s">
        <v>2310</v>
      </c>
      <c r="G13" s="503" t="s">
        <v>2311</v>
      </c>
      <c r="H13" s="503" t="s">
        <v>2311</v>
      </c>
      <c r="I13" s="503" t="s">
        <v>2311</v>
      </c>
      <c r="J13" s="652" t="s">
        <v>2311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2312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1419</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2313</v>
      </c>
      <c r="B16" s="476" t="s">
        <v>2314</v>
      </c>
      <c r="C16" s="514" t="e">
        <f>ROUND(IF(F17="与级别开发程度一致",0,(G17-E17)/C17),0)</f>
        <v>#DIV/0!</v>
      </c>
      <c r="D16" s="515" t="s">
        <v>2315</v>
      </c>
      <c r="E16" s="516"/>
      <c r="F16" s="515" t="s">
        <v>2316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2317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1225</v>
      </c>
      <c r="B18" s="525" t="s">
        <v>2318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1230</v>
      </c>
      <c r="B19" s="530" t="s">
        <v>2319</v>
      </c>
      <c r="C19" s="531" t="e">
        <f>ROUND(IF(H19="按公示增长率计算",SUMPRODUCT((地价!A3:A32=YEAR(G19)&amp;"-"&amp;ROUNDUP(MONTH(G19)/3,0))*(地价!X2:AB2=E2)*(地价!X3:AB32)),IF(H19="地价指数",M20/M19,(1+I19)^O19)),4)</f>
        <v>#VALUE!</v>
      </c>
      <c r="D19" s="532" t="s">
        <v>2320</v>
      </c>
      <c r="E19" s="533">
        <v>41640</v>
      </c>
      <c r="F19" s="532" t="s">
        <v>2321</v>
      </c>
      <c r="G19" s="534">
        <f>'数据-取费表'!B2</f>
        <v>44175</v>
      </c>
      <c r="H19" s="535"/>
      <c r="I19" s="664" t="str">
        <f>IF(H19="季度增幅（自定义）",SUMIF(N21:N24,E2,O21:O24),"")</f>
        <v/>
      </c>
      <c r="J19" s="665"/>
      <c r="K19" s="661"/>
      <c r="L19" s="666" t="s">
        <v>2322</v>
      </c>
      <c r="M19" s="667">
        <f>ROUND(SUMIF(地价!B2:F2,E2,地价!B32:F32),0)</f>
        <v>0</v>
      </c>
      <c r="N19" s="668" t="s">
        <v>2323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1233</v>
      </c>
      <c r="B20" s="537" t="s">
        <v>2324</v>
      </c>
      <c r="C20" s="538" t="e">
        <f ca="1">ROUND(POWER(1+G20,J20-I20)*(POWER(1+G20,I20)-1)/(POWER(1+G20,J20)-1),4)</f>
        <v>#DIV/0!</v>
      </c>
      <c r="D20" s="539" t="s">
        <v>2325</v>
      </c>
      <c r="E20" s="540">
        <f ca="1">存贷款利率!D4/100</f>
        <v>0.0435</v>
      </c>
      <c r="F20" s="539" t="s">
        <v>2326</v>
      </c>
      <c r="G20" s="541">
        <f ca="1">SUMIF(M26:P26,E2,M28:P28)</f>
        <v>0</v>
      </c>
      <c r="H20" s="539" t="s">
        <v>2327</v>
      </c>
      <c r="I20" s="515" t="e">
        <f>SUMIF('数据-取费表'!C6:C15,E2,'数据-取费表'!F6:F15)/COUNTIF('数据-取费表'!C6:C15,E2)</f>
        <v>#DIV/0!</v>
      </c>
      <c r="J20" s="671">
        <f>IF(E2="住宅",70,IF(E2="商业",40,50))</f>
        <v>50</v>
      </c>
      <c r="K20" s="661"/>
      <c r="L20" s="672" t="s">
        <v>2328</v>
      </c>
      <c r="M20" s="673">
        <f>ROUND(SUMPRODUCT((地价!A4:A32=YEAR(G19)&amp;"-"&amp;ROUNDUP(MONTH(G19)/3,0))*(地价!B2:F2=E2)*(地价!B4:F32)),0)</f>
        <v>0</v>
      </c>
      <c r="N20" s="674" t="s">
        <v>2329</v>
      </c>
      <c r="O20" s="675" t="s">
        <v>2330</v>
      </c>
      <c r="P20" s="676" t="s">
        <v>2331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1255</v>
      </c>
      <c r="B21" s="543" t="s">
        <v>2332</v>
      </c>
      <c r="C21" s="544">
        <f>IF(B21="容积率修正",IF(G3&lt;=10,D22,J22),C23)</f>
        <v>0</v>
      </c>
      <c r="D21" s="545"/>
      <c r="E21" s="545"/>
      <c r="F21" s="545"/>
      <c r="G21" s="545"/>
      <c r="H21" s="545"/>
      <c r="I21" s="545"/>
      <c r="J21" s="677"/>
      <c r="K21" s="661"/>
      <c r="L21" s="662"/>
      <c r="M21" s="662"/>
      <c r="N21" s="678" t="s">
        <v>2333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2334</v>
      </c>
      <c r="B22" s="547" t="s">
        <v>2335</v>
      </c>
      <c r="C22" s="548" t="s">
        <v>2336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2337</v>
      </c>
      <c r="J22" s="681" t="str">
        <f>IF(G3&gt;10,D113,"——")</f>
        <v>——</v>
      </c>
      <c r="K22" s="661"/>
      <c r="L22" s="662"/>
      <c r="M22" s="662"/>
      <c r="N22" s="678" t="s">
        <v>2338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2339</v>
      </c>
      <c r="B23" s="549" t="s">
        <v>2340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2341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2342</v>
      </c>
      <c r="B24" s="530" t="s">
        <v>2343</v>
      </c>
      <c r="C24" s="531">
        <f>SUMIF(A45:A88,E2,B45:B88)</f>
        <v>0</v>
      </c>
      <c r="D24" s="554"/>
      <c r="E24" s="555"/>
      <c r="F24" s="555"/>
      <c r="G24" s="555"/>
      <c r="H24" s="555"/>
      <c r="I24" s="555"/>
      <c r="J24" s="684"/>
      <c r="K24" s="661"/>
      <c r="L24" s="662"/>
      <c r="M24" s="662"/>
      <c r="N24" s="685" t="s">
        <v>2344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2345</v>
      </c>
      <c r="B25" s="556" t="s">
        <v>2346</v>
      </c>
      <c r="C25" s="557"/>
      <c r="D25" s="481"/>
      <c r="E25" s="481"/>
      <c r="F25" s="558"/>
      <c r="G25" s="481"/>
      <c r="H25" s="481"/>
      <c r="I25" s="481"/>
      <c r="J25" s="646"/>
      <c r="K25" s="443"/>
      <c r="L25" s="444"/>
      <c r="M25" s="444"/>
      <c r="N25" s="688" t="s">
        <v>2347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2348</v>
      </c>
      <c r="C26" s="560" t="e">
        <f ca="1">IF(B21="容积率修正",E29+SUM(E33:E39),SUM(V2:V16)+SUM(E33:E39))</f>
        <v>#DIV/0!</v>
      </c>
      <c r="D26" s="561"/>
      <c r="E26" s="509"/>
      <c r="F26" s="562"/>
      <c r="G26" s="509"/>
      <c r="H26" s="509"/>
      <c r="I26" s="509"/>
      <c r="J26" s="691"/>
      <c r="K26" s="443"/>
      <c r="L26" s="692" t="s">
        <v>2249</v>
      </c>
      <c r="M26" s="478" t="s">
        <v>2349</v>
      </c>
      <c r="N26" s="478" t="s">
        <v>2350</v>
      </c>
      <c r="O26" s="478" t="s">
        <v>2351</v>
      </c>
      <c r="P26" s="693" t="s">
        <v>2352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2353</v>
      </c>
      <c r="C27" s="564" t="e">
        <f ca="1">E30+SUM(I33:I39)</f>
        <v>#DIV/0!</v>
      </c>
      <c r="D27" s="565"/>
      <c r="E27" s="566"/>
      <c r="F27" s="567"/>
      <c r="G27" s="566"/>
      <c r="H27" s="566"/>
      <c r="I27" s="566"/>
      <c r="J27" s="694"/>
      <c r="K27" s="443"/>
      <c r="L27" s="695" t="s">
        <v>2354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2355</v>
      </c>
      <c r="C28" s="570" t="s">
        <v>2356</v>
      </c>
      <c r="D28" s="570" t="s">
        <v>545</v>
      </c>
      <c r="E28" s="571" t="s">
        <v>2357</v>
      </c>
      <c r="F28" s="572"/>
      <c r="G28" s="497"/>
      <c r="H28" s="497"/>
      <c r="I28" s="497"/>
      <c r="J28" s="649"/>
      <c r="K28" s="443"/>
      <c r="L28" s="697" t="s">
        <v>2326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2358</v>
      </c>
      <c r="C29" s="575" t="e">
        <f ca="1">ROUND(C5*C18*C19*C20*C21*C24,0)</f>
        <v>#DIV/0!</v>
      </c>
      <c r="D29" s="576"/>
      <c r="E29" s="577" t="e">
        <f ca="1">ROUND(C29*D29/10000,0)</f>
        <v>#DIV/0!</v>
      </c>
      <c r="F29" s="578" t="s">
        <v>2359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2360</v>
      </c>
      <c r="C30" s="512" t="e">
        <f ca="1">ROUND(IF(E2="工业",C29*M39,C29*M38),0)</f>
        <v>#DIV/0!</v>
      </c>
      <c r="D30" s="582"/>
      <c r="E30" s="577" t="e">
        <f ca="1">ROUND(C30*D30/10000,0)</f>
        <v>#DIV/0!</v>
      </c>
      <c r="F30" s="583" t="s">
        <v>2361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2362</v>
      </c>
      <c r="C31" s="587" t="s">
        <v>2363</v>
      </c>
      <c r="D31" s="497"/>
      <c r="E31" s="587"/>
      <c r="F31" s="587"/>
      <c r="G31" s="495" t="s">
        <v>2361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2356</v>
      </c>
      <c r="D32" s="590" t="s">
        <v>545</v>
      </c>
      <c r="E32" s="590" t="s">
        <v>2357</v>
      </c>
      <c r="F32" s="450" t="s">
        <v>2364</v>
      </c>
      <c r="G32" s="591" t="s">
        <v>2356</v>
      </c>
      <c r="H32" s="591" t="s">
        <v>545</v>
      </c>
      <c r="I32" s="591" t="s">
        <v>2357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2365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2366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2367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2368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2369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2370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2371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2372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2373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2374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2352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2375</v>
      </c>
      <c r="C41" s="450" t="e">
        <f ca="1">ROUND(POWER(1+E41,H41-G41)*(POWER(1+E41,G41)-1)/(POWER(1+E41,H41)-1),4)</f>
        <v>#DIV/0!</v>
      </c>
      <c r="D41" s="489" t="s">
        <v>2326</v>
      </c>
      <c r="E41" s="601">
        <f ca="1">G20</f>
        <v>0</v>
      </c>
      <c r="F41" s="489" t="s">
        <v>2327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2376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2377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2378</v>
      </c>
      <c r="B47" s="615" t="s">
        <v>2379</v>
      </c>
      <c r="C47" s="615" t="s">
        <v>2380</v>
      </c>
      <c r="D47" s="615" t="s">
        <v>2381</v>
      </c>
      <c r="E47" s="616" t="s">
        <v>2382</v>
      </c>
      <c r="F47" s="617" t="s">
        <v>2383</v>
      </c>
      <c r="G47" s="615" t="s">
        <v>1419</v>
      </c>
      <c r="H47" s="618" t="s">
        <v>2384</v>
      </c>
      <c r="I47" s="615" t="s">
        <v>2385</v>
      </c>
      <c r="J47" s="713" t="s">
        <v>1400</v>
      </c>
      <c r="K47" s="713" t="s">
        <v>1401</v>
      </c>
      <c r="L47" s="713" t="s">
        <v>1402</v>
      </c>
      <c r="M47" s="713" t="s">
        <v>1403</v>
      </c>
      <c r="N47" s="713" t="s">
        <v>1404</v>
      </c>
      <c r="AA47" s="599"/>
      <c r="AB47" s="599"/>
      <c r="AC47" s="599"/>
      <c r="AD47" s="599"/>
      <c r="AE47" s="599"/>
      <c r="AF47" s="599"/>
      <c r="AG47" s="599"/>
      <c r="AH47" s="599"/>
      <c r="AI47" s="599"/>
      <c r="AJ47" s="599"/>
      <c r="AK47" s="599"/>
    </row>
    <row r="48" s="443" customFormat="1" ht="36.75" spans="1:37">
      <c r="A48" s="614" t="s">
        <v>2386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2387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2388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2389</v>
      </c>
      <c r="B51" s="627" t="s">
        <v>2390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2391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2392</v>
      </c>
      <c r="B53" s="628" t="s">
        <v>2393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2394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2395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2396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2397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2378</v>
      </c>
      <c r="B58" s="615"/>
      <c r="C58" s="615" t="s">
        <v>2380</v>
      </c>
      <c r="D58" s="615" t="s">
        <v>2381</v>
      </c>
      <c r="E58" s="616" t="s">
        <v>2382</v>
      </c>
      <c r="F58" s="617" t="s">
        <v>2398</v>
      </c>
      <c r="G58" s="615" t="s">
        <v>1419</v>
      </c>
      <c r="H58" s="618" t="s">
        <v>2384</v>
      </c>
      <c r="I58" s="615" t="s">
        <v>2385</v>
      </c>
      <c r="J58" s="713" t="s">
        <v>1400</v>
      </c>
      <c r="K58" s="713" t="s">
        <v>1401</v>
      </c>
      <c r="L58" s="713" t="s">
        <v>1402</v>
      </c>
      <c r="M58" s="713" t="s">
        <v>1403</v>
      </c>
      <c r="N58" s="713" t="s">
        <v>1404</v>
      </c>
      <c r="AA58" s="599"/>
      <c r="AB58" s="599"/>
      <c r="AC58" s="599"/>
      <c r="AD58" s="599"/>
      <c r="AE58" s="599"/>
      <c r="AF58" s="599"/>
      <c r="AG58" s="599"/>
      <c r="AH58" s="599"/>
      <c r="AI58" s="599"/>
      <c r="AJ58" s="599"/>
      <c r="AK58" s="599"/>
    </row>
    <row r="59" s="443" customFormat="1" ht="36.75" spans="1:37">
      <c r="A59" s="614" t="s">
        <v>2399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2387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2388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2389</v>
      </c>
      <c r="B62" s="627" t="s">
        <v>2390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2391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2392</v>
      </c>
      <c r="B64" s="628" t="s">
        <v>2393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2394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2395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2396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2400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2378</v>
      </c>
      <c r="B69" s="615"/>
      <c r="C69" s="615" t="s">
        <v>2380</v>
      </c>
      <c r="D69" s="615" t="s">
        <v>2381</v>
      </c>
      <c r="E69" s="616" t="s">
        <v>2382</v>
      </c>
      <c r="F69" s="617" t="s">
        <v>2398</v>
      </c>
      <c r="G69" s="615" t="s">
        <v>1419</v>
      </c>
      <c r="H69" s="618" t="s">
        <v>2384</v>
      </c>
      <c r="I69" s="615" t="s">
        <v>2385</v>
      </c>
      <c r="J69" s="713" t="s">
        <v>1400</v>
      </c>
      <c r="K69" s="713" t="s">
        <v>1401</v>
      </c>
      <c r="L69" s="713" t="s">
        <v>1402</v>
      </c>
      <c r="M69" s="713" t="s">
        <v>1403</v>
      </c>
      <c r="N69" s="713" t="s">
        <v>1404</v>
      </c>
      <c r="AA69" s="599"/>
      <c r="AB69" s="599"/>
      <c r="AC69" s="599"/>
      <c r="AD69" s="599"/>
      <c r="AE69" s="599"/>
      <c r="AF69" s="599"/>
      <c r="AG69" s="599"/>
      <c r="AH69" s="599"/>
      <c r="AI69" s="599"/>
      <c r="AJ69" s="599"/>
      <c r="AK69" s="599"/>
    </row>
    <row r="70" s="443" customFormat="1" ht="48" spans="1:37">
      <c r="A70" s="614" t="s">
        <v>2401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2387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2388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2402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2394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2395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2392</v>
      </c>
      <c r="B76" s="628" t="s">
        <v>2393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2396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2403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2404</v>
      </c>
      <c r="B79" s="609">
        <f>1+E81</f>
        <v>1</v>
      </c>
      <c r="C79" s="611"/>
      <c r="D79" s="611"/>
      <c r="E79" s="612"/>
      <c r="F79" s="613"/>
      <c r="G79" s="607"/>
      <c r="H79" s="607"/>
      <c r="I79" s="607"/>
      <c r="J79" s="606"/>
      <c r="K79" s="606"/>
      <c r="L79" s="606"/>
      <c r="M79" s="606"/>
      <c r="N79" s="606"/>
      <c r="Z79" s="447"/>
      <c r="AA79" s="445"/>
      <c r="AG79" s="449"/>
      <c r="AK79" s="445"/>
    </row>
    <row r="80" ht="24.75" spans="1:37">
      <c r="A80" s="614" t="s">
        <v>2378</v>
      </c>
      <c r="B80" s="615"/>
      <c r="C80" s="615" t="s">
        <v>2380</v>
      </c>
      <c r="D80" s="615" t="s">
        <v>2381</v>
      </c>
      <c r="E80" s="616" t="s">
        <v>2382</v>
      </c>
      <c r="F80" s="617" t="s">
        <v>2398</v>
      </c>
      <c r="G80" s="615" t="s">
        <v>1419</v>
      </c>
      <c r="H80" s="618" t="s">
        <v>2384</v>
      </c>
      <c r="I80" s="615" t="s">
        <v>2385</v>
      </c>
      <c r="J80" s="713" t="s">
        <v>1400</v>
      </c>
      <c r="K80" s="713" t="s">
        <v>1401</v>
      </c>
      <c r="L80" s="713" t="s">
        <v>1402</v>
      </c>
      <c r="M80" s="713" t="s">
        <v>1403</v>
      </c>
      <c r="N80" s="713" t="s">
        <v>1404</v>
      </c>
      <c r="Z80" s="447"/>
      <c r="AA80" s="445"/>
      <c r="AG80" s="449"/>
      <c r="AK80" s="445"/>
    </row>
    <row r="81" ht="38.25" spans="1:37">
      <c r="A81" s="614" t="s">
        <v>2405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2387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2388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2402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2394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2395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2392</v>
      </c>
      <c r="B87" s="628" t="s">
        <v>2406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2407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2408</v>
      </c>
      <c r="B90" s="751"/>
      <c r="C90" s="751"/>
      <c r="D90" s="751"/>
      <c r="E90" s="751"/>
      <c r="F90" s="751"/>
      <c r="G90" s="751"/>
      <c r="H90" s="751"/>
      <c r="I90" s="751"/>
      <c r="J90" s="751"/>
      <c r="K90" s="751"/>
      <c r="L90" s="751"/>
      <c r="M90" s="751"/>
      <c r="N90" s="751"/>
    </row>
    <row r="91" spans="1:14">
      <c r="A91" s="577" t="s">
        <v>2409</v>
      </c>
      <c r="B91" s="577" t="s">
        <v>2410</v>
      </c>
      <c r="C91" s="578" t="s">
        <v>2411</v>
      </c>
      <c r="D91" s="579"/>
      <c r="E91" s="579"/>
      <c r="F91" s="579"/>
      <c r="G91" s="579"/>
      <c r="H91" s="579"/>
      <c r="I91" s="579"/>
      <c r="J91" s="776"/>
      <c r="K91" s="777"/>
      <c r="L91" s="777"/>
      <c r="M91" s="777"/>
      <c r="N91" s="777"/>
    </row>
    <row r="92" spans="1:14">
      <c r="A92" s="577"/>
      <c r="B92" s="577"/>
      <c r="C92" s="577" t="s">
        <v>2274</v>
      </c>
      <c r="D92" s="577" t="s">
        <v>2275</v>
      </c>
      <c r="E92" s="577" t="s">
        <v>2276</v>
      </c>
      <c r="F92" s="577" t="s">
        <v>2277</v>
      </c>
      <c r="G92" s="577" t="s">
        <v>2278</v>
      </c>
      <c r="H92" s="577" t="s">
        <v>2279</v>
      </c>
      <c r="I92" s="577" t="s">
        <v>2280</v>
      </c>
      <c r="J92" s="577" t="s">
        <v>2281</v>
      </c>
      <c r="K92" s="577" t="s">
        <v>2282</v>
      </c>
      <c r="L92" s="577" t="s">
        <v>2283</v>
      </c>
      <c r="M92" s="577" t="s">
        <v>2284</v>
      </c>
      <c r="N92" s="577" t="s">
        <v>2285</v>
      </c>
    </row>
    <row r="93" spans="1:14">
      <c r="A93" s="752" t="s">
        <v>2412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2291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2413</v>
      </c>
      <c r="B101" s="759" t="s">
        <v>2414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2305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2415</v>
      </c>
      <c r="B110" s="762"/>
      <c r="C110" s="762"/>
      <c r="D110" s="762"/>
      <c r="E110" s="762"/>
      <c r="F110" s="762"/>
      <c r="G110" s="762"/>
      <c r="H110" s="762"/>
      <c r="I110" s="762"/>
      <c r="J110" s="762"/>
      <c r="K110" s="762"/>
      <c r="L110" s="762"/>
      <c r="M110" s="762"/>
      <c r="N110" s="762"/>
    </row>
    <row r="112" ht="13.5"/>
    <row r="113" ht="25.5" spans="1:13">
      <c r="A113" s="763" t="s">
        <v>2416</v>
      </c>
      <c r="B113" s="764">
        <f>G3</f>
        <v>5.7</v>
      </c>
      <c r="C113" s="765" t="s">
        <v>2417</v>
      </c>
      <c r="D113" s="766">
        <f>SUMPRODUCT((A115:A118=F113)*(B114:M114=H113)*B115:M118)</f>
        <v>0</v>
      </c>
      <c r="E113" s="455" t="s">
        <v>2249</v>
      </c>
      <c r="F113" s="767">
        <f>E2</f>
        <v>0</v>
      </c>
      <c r="G113" s="455" t="s">
        <v>2250</v>
      </c>
      <c r="H113" s="767">
        <f>G2</f>
        <v>0</v>
      </c>
      <c r="I113" s="455"/>
      <c r="J113" s="778"/>
      <c r="K113" s="778"/>
      <c r="L113" s="778"/>
      <c r="M113" s="778"/>
    </row>
    <row r="114" spans="1:13">
      <c r="A114" s="768"/>
      <c r="B114" s="769" t="s">
        <v>2418</v>
      </c>
      <c r="C114" s="769" t="s">
        <v>2419</v>
      </c>
      <c r="D114" s="769" t="s">
        <v>2420</v>
      </c>
      <c r="E114" s="770" t="s">
        <v>2421</v>
      </c>
      <c r="F114" s="770" t="s">
        <v>2422</v>
      </c>
      <c r="G114" s="770" t="s">
        <v>2423</v>
      </c>
      <c r="H114" s="771" t="s">
        <v>2424</v>
      </c>
      <c r="I114" s="771" t="s">
        <v>2425</v>
      </c>
      <c r="J114" s="779" t="s">
        <v>2426</v>
      </c>
      <c r="K114" s="779" t="s">
        <v>2427</v>
      </c>
      <c r="L114" s="779" t="s">
        <v>2428</v>
      </c>
      <c r="M114" s="780" t="s">
        <v>2429</v>
      </c>
    </row>
    <row r="115" spans="1:13">
      <c r="A115" s="772" t="s">
        <v>2349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2350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2351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2352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2430</v>
      </c>
      <c r="B4" s="407">
        <v>2.5</v>
      </c>
      <c r="C4" s="407">
        <v>2.5</v>
      </c>
      <c r="D4" s="407">
        <v>2.5</v>
      </c>
      <c r="E4" s="407">
        <v>2.5</v>
      </c>
      <c r="F4" s="407">
        <v>2.5</v>
      </c>
      <c r="G4" s="407">
        <v>2.5</v>
      </c>
      <c r="H4" s="407">
        <v>2.5</v>
      </c>
      <c r="I4" s="406">
        <v>1.5</v>
      </c>
      <c r="J4" s="406">
        <v>1.5</v>
      </c>
      <c r="K4" s="406">
        <v>1.5</v>
      </c>
      <c r="L4" s="406">
        <v>1.5</v>
      </c>
      <c r="M4" s="437">
        <v>1.5</v>
      </c>
    </row>
    <row r="5" customHeight="1" spans="1:13">
      <c r="A5" s="408" t="s">
        <v>2431</v>
      </c>
      <c r="B5" s="409">
        <v>1.5</v>
      </c>
      <c r="C5" s="409">
        <v>1.5</v>
      </c>
      <c r="D5" s="409">
        <v>1.5</v>
      </c>
      <c r="E5" s="409">
        <v>1.5</v>
      </c>
      <c r="F5" s="409">
        <v>1.5</v>
      </c>
      <c r="G5" s="410">
        <v>1.2</v>
      </c>
      <c r="H5" s="410">
        <v>1.2</v>
      </c>
      <c r="I5" s="410">
        <v>1</v>
      </c>
      <c r="J5" s="410">
        <v>1</v>
      </c>
      <c r="K5" s="410">
        <v>1</v>
      </c>
      <c r="L5" s="410">
        <v>1</v>
      </c>
      <c r="M5" s="438">
        <v>1</v>
      </c>
    </row>
    <row r="6" customHeight="1" spans="1:13">
      <c r="A6" s="411" t="s">
        <v>2432</v>
      </c>
      <c r="B6" s="412">
        <v>80</v>
      </c>
      <c r="C6" s="412">
        <v>80</v>
      </c>
      <c r="D6" s="412">
        <v>65</v>
      </c>
      <c r="E6" s="412">
        <v>65</v>
      </c>
      <c r="F6" s="412">
        <v>65</v>
      </c>
      <c r="G6" s="412">
        <v>65</v>
      </c>
      <c r="H6" s="412">
        <v>65</v>
      </c>
      <c r="I6" s="412">
        <v>50</v>
      </c>
      <c r="J6" s="412">
        <v>50</v>
      </c>
      <c r="K6" s="412">
        <v>50</v>
      </c>
      <c r="L6" s="412">
        <v>50</v>
      </c>
      <c r="M6" s="439">
        <v>50</v>
      </c>
    </row>
    <row r="7" customHeight="1" spans="1:13">
      <c r="A7" s="413" t="s">
        <v>2433</v>
      </c>
      <c r="B7" s="414">
        <v>70</v>
      </c>
      <c r="C7" s="414">
        <v>70</v>
      </c>
      <c r="D7" s="414">
        <v>55</v>
      </c>
      <c r="E7" s="414">
        <v>55</v>
      </c>
      <c r="F7" s="414">
        <v>55</v>
      </c>
      <c r="G7" s="414">
        <v>55</v>
      </c>
      <c r="H7" s="414">
        <v>55</v>
      </c>
      <c r="I7" s="414">
        <v>40</v>
      </c>
      <c r="J7" s="414">
        <v>40</v>
      </c>
      <c r="K7" s="414">
        <v>40</v>
      </c>
      <c r="L7" s="414">
        <v>40</v>
      </c>
      <c r="M7" s="440">
        <v>40</v>
      </c>
    </row>
    <row r="8" customHeight="1" spans="1:13">
      <c r="A8" s="413" t="s">
        <v>2434</v>
      </c>
      <c r="B8" s="414">
        <v>20</v>
      </c>
      <c r="C8" s="414">
        <v>20</v>
      </c>
      <c r="D8" s="414">
        <v>15</v>
      </c>
      <c r="E8" s="414">
        <v>15</v>
      </c>
      <c r="F8" s="414">
        <v>15</v>
      </c>
      <c r="G8" s="414">
        <v>15</v>
      </c>
      <c r="H8" s="414">
        <v>15</v>
      </c>
      <c r="I8" s="414">
        <v>10</v>
      </c>
      <c r="J8" s="414">
        <v>10</v>
      </c>
      <c r="K8" s="414">
        <v>10</v>
      </c>
      <c r="L8" s="414">
        <v>10</v>
      </c>
      <c r="M8" s="440">
        <v>10</v>
      </c>
    </row>
    <row r="9" customHeight="1" spans="1:13">
      <c r="A9" s="413" t="s">
        <v>2435</v>
      </c>
      <c r="B9" s="414">
        <v>30</v>
      </c>
      <c r="C9" s="414">
        <v>30</v>
      </c>
      <c r="D9" s="414">
        <v>25</v>
      </c>
      <c r="E9" s="414">
        <v>25</v>
      </c>
      <c r="F9" s="414">
        <v>25</v>
      </c>
      <c r="G9" s="414">
        <v>25</v>
      </c>
      <c r="H9" s="414">
        <v>25</v>
      </c>
      <c r="I9" s="414">
        <v>20</v>
      </c>
      <c r="J9" s="414">
        <v>20</v>
      </c>
      <c r="K9" s="414">
        <v>20</v>
      </c>
      <c r="L9" s="414">
        <v>20</v>
      </c>
      <c r="M9" s="440">
        <v>20</v>
      </c>
    </row>
    <row r="10" customHeight="1" spans="1:13">
      <c r="A10" s="413" t="s">
        <v>2436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2437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2438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2439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2440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2441</v>
      </c>
      <c r="B16" s="418"/>
      <c r="C16" s="419"/>
      <c r="D16" s="419"/>
      <c r="E16" s="418"/>
      <c r="F16" s="419"/>
      <c r="G16" s="419"/>
    </row>
    <row r="17" customHeight="1" spans="1:7">
      <c r="A17" s="414" t="s">
        <v>501</v>
      </c>
      <c r="B17" s="420" t="s">
        <v>2442</v>
      </c>
      <c r="C17" s="420" t="s">
        <v>2443</v>
      </c>
      <c r="D17" s="421"/>
      <c r="E17" s="414" t="s">
        <v>2444</v>
      </c>
      <c r="F17" s="422"/>
      <c r="G17" s="422"/>
    </row>
    <row r="18" s="398" customFormat="1" customHeight="1" spans="1:9">
      <c r="A18" s="423" t="s">
        <v>461</v>
      </c>
      <c r="B18" s="423" t="s">
        <v>2445</v>
      </c>
      <c r="C18" s="424" t="s">
        <v>2446</v>
      </c>
      <c r="D18" s="425"/>
      <c r="E18" s="423">
        <v>1</v>
      </c>
      <c r="F18" s="426" t="s">
        <v>2447</v>
      </c>
      <c r="G18" s="427"/>
      <c r="H18" s="399"/>
      <c r="I18" s="399"/>
    </row>
    <row r="19" s="398" customFormat="1" customHeight="1" spans="1:9">
      <c r="A19" s="423"/>
      <c r="B19" s="423" t="s">
        <v>2448</v>
      </c>
      <c r="C19" s="424" t="s">
        <v>2449</v>
      </c>
      <c r="D19" s="425"/>
      <c r="E19" s="423">
        <v>0.9</v>
      </c>
      <c r="F19" s="426" t="s">
        <v>2450</v>
      </c>
      <c r="G19" s="427"/>
      <c r="H19" s="399"/>
      <c r="I19" s="399"/>
    </row>
    <row r="20" s="398" customFormat="1" customHeight="1" spans="1:9">
      <c r="A20" s="423"/>
      <c r="B20" s="423"/>
      <c r="C20" s="424" t="s">
        <v>2451</v>
      </c>
      <c r="D20" s="425"/>
      <c r="E20" s="423">
        <v>1.1</v>
      </c>
      <c r="F20" s="426" t="s">
        <v>2452</v>
      </c>
      <c r="G20" s="427"/>
      <c r="H20" s="399"/>
      <c r="I20" s="399"/>
    </row>
    <row r="21" s="398" customFormat="1" customHeight="1" spans="1:9">
      <c r="A21" s="423"/>
      <c r="B21" s="423"/>
      <c r="C21" s="424" t="s">
        <v>2453</v>
      </c>
      <c r="D21" s="425"/>
      <c r="E21" s="423">
        <v>0.8</v>
      </c>
      <c r="F21" s="426" t="s">
        <v>2454</v>
      </c>
      <c r="G21" s="427"/>
      <c r="H21" s="399"/>
      <c r="I21" s="399"/>
    </row>
    <row r="22" s="398" customFormat="1" customHeight="1" spans="1:9">
      <c r="A22" s="423"/>
      <c r="B22" s="423"/>
      <c r="C22" s="424" t="s">
        <v>2455</v>
      </c>
      <c r="D22" s="425"/>
      <c r="E22" s="423">
        <v>0.5</v>
      </c>
      <c r="F22" s="426"/>
      <c r="G22" s="427"/>
      <c r="H22" s="399"/>
      <c r="I22" s="399"/>
    </row>
    <row r="23" s="398" customFormat="1" customHeight="1" spans="1:9">
      <c r="A23" s="423" t="s">
        <v>462</v>
      </c>
      <c r="B23" s="423" t="s">
        <v>2445</v>
      </c>
      <c r="C23" s="424" t="s">
        <v>2456</v>
      </c>
      <c r="D23" s="425"/>
      <c r="E23" s="423">
        <v>1</v>
      </c>
      <c r="F23" s="426" t="s">
        <v>2457</v>
      </c>
      <c r="G23" s="427"/>
      <c r="H23" s="399"/>
      <c r="I23" s="399"/>
    </row>
    <row r="24" s="398" customFormat="1" customHeight="1" spans="1:9">
      <c r="A24" s="423"/>
      <c r="B24" s="423" t="s">
        <v>2448</v>
      </c>
      <c r="C24" s="424" t="s">
        <v>2458</v>
      </c>
      <c r="D24" s="425"/>
      <c r="E24" s="423">
        <v>0.5</v>
      </c>
      <c r="F24" s="426"/>
      <c r="G24" s="427"/>
      <c r="H24" s="399"/>
      <c r="I24" s="399"/>
    </row>
    <row r="25" s="398" customFormat="1" customHeight="1" spans="1:9">
      <c r="A25" s="423"/>
      <c r="B25" s="423"/>
      <c r="C25" s="424" t="s">
        <v>2459</v>
      </c>
      <c r="D25" s="425"/>
      <c r="E25" s="423">
        <v>1.1</v>
      </c>
      <c r="F25" s="426"/>
      <c r="G25" s="427"/>
      <c r="H25" s="399"/>
      <c r="I25" s="399"/>
    </row>
    <row r="26" s="398" customFormat="1" customHeight="1" spans="1:9">
      <c r="A26" s="423"/>
      <c r="B26" s="423"/>
      <c r="C26" s="424" t="s">
        <v>2460</v>
      </c>
      <c r="D26" s="425"/>
      <c r="E26" s="423">
        <v>1.1</v>
      </c>
      <c r="F26" s="426"/>
      <c r="G26" s="427"/>
      <c r="H26" s="399"/>
      <c r="I26" s="399"/>
    </row>
    <row r="27" s="398" customFormat="1" customHeight="1" spans="1:9">
      <c r="A27" s="423"/>
      <c r="B27" s="423"/>
      <c r="C27" s="424" t="s">
        <v>2461</v>
      </c>
      <c r="D27" s="425"/>
      <c r="E27" s="423">
        <v>0.9</v>
      </c>
      <c r="F27" s="426" t="s">
        <v>2462</v>
      </c>
      <c r="G27" s="427"/>
      <c r="H27" s="399"/>
      <c r="I27" s="399"/>
    </row>
    <row r="28" s="398" customFormat="1" customHeight="1" spans="1:9">
      <c r="A28" s="423"/>
      <c r="B28" s="423"/>
      <c r="C28" s="424" t="s">
        <v>2463</v>
      </c>
      <c r="D28" s="425"/>
      <c r="E28" s="423">
        <v>0.9</v>
      </c>
      <c r="F28" s="426" t="s">
        <v>2464</v>
      </c>
      <c r="G28" s="427"/>
      <c r="H28" s="399"/>
      <c r="I28" s="399"/>
    </row>
    <row r="29" s="398" customFormat="1" customHeight="1" spans="1:9">
      <c r="A29" s="423"/>
      <c r="B29" s="423"/>
      <c r="C29" s="424" t="s">
        <v>2465</v>
      </c>
      <c r="D29" s="425"/>
      <c r="E29" s="423">
        <v>0.9</v>
      </c>
      <c r="F29" s="426" t="s">
        <v>2466</v>
      </c>
      <c r="G29" s="427"/>
      <c r="H29" s="399"/>
      <c r="I29" s="399"/>
    </row>
    <row r="30" s="398" customFormat="1" customHeight="1" spans="1:9">
      <c r="A30" s="423"/>
      <c r="B30" s="423"/>
      <c r="C30" s="424" t="s">
        <v>2467</v>
      </c>
      <c r="D30" s="425"/>
      <c r="E30" s="423">
        <v>0.9</v>
      </c>
      <c r="F30" s="426" t="s">
        <v>2468</v>
      </c>
      <c r="G30" s="427"/>
      <c r="H30" s="399"/>
      <c r="I30" s="399"/>
    </row>
    <row r="31" s="398" customFormat="1" customHeight="1" spans="1:9">
      <c r="A31" s="423"/>
      <c r="B31" s="423"/>
      <c r="C31" s="424" t="s">
        <v>2469</v>
      </c>
      <c r="D31" s="425"/>
      <c r="E31" s="423">
        <v>0.8</v>
      </c>
      <c r="F31" s="426" t="s">
        <v>2470</v>
      </c>
      <c r="G31" s="427"/>
      <c r="H31" s="399"/>
      <c r="I31" s="399"/>
    </row>
    <row r="32" s="398" customFormat="1" customHeight="1" spans="1:9">
      <c r="A32" s="423"/>
      <c r="B32" s="423"/>
      <c r="C32" s="424" t="s">
        <v>2471</v>
      </c>
      <c r="D32" s="425"/>
      <c r="E32" s="423">
        <v>0.8</v>
      </c>
      <c r="F32" s="426" t="s">
        <v>2472</v>
      </c>
      <c r="G32" s="427"/>
      <c r="H32" s="399"/>
      <c r="I32" s="399"/>
    </row>
    <row r="33" s="398" customFormat="1" customHeight="1" spans="1:9">
      <c r="A33" s="423" t="s">
        <v>2473</v>
      </c>
      <c r="B33" s="423" t="s">
        <v>2445</v>
      </c>
      <c r="C33" s="424" t="s">
        <v>2474</v>
      </c>
      <c r="D33" s="425"/>
      <c r="E33" s="423">
        <v>1</v>
      </c>
      <c r="F33" s="426" t="s">
        <v>2475</v>
      </c>
      <c r="G33" s="427"/>
      <c r="H33" s="399"/>
      <c r="I33" s="399"/>
    </row>
    <row r="34" s="398" customFormat="1" customHeight="1" spans="1:9">
      <c r="A34" s="423"/>
      <c r="B34" s="423" t="s">
        <v>2448</v>
      </c>
      <c r="C34" s="424" t="s">
        <v>2476</v>
      </c>
      <c r="D34" s="425"/>
      <c r="E34" s="423">
        <v>1.5</v>
      </c>
      <c r="F34" s="426" t="s">
        <v>2477</v>
      </c>
      <c r="G34" s="427"/>
      <c r="H34" s="399"/>
      <c r="I34" s="399"/>
    </row>
    <row r="35" s="398" customFormat="1" customHeight="1" spans="1:9">
      <c r="A35" s="423" t="s">
        <v>2431</v>
      </c>
      <c r="B35" s="423" t="s">
        <v>2445</v>
      </c>
      <c r="C35" s="424" t="s">
        <v>2478</v>
      </c>
      <c r="D35" s="425"/>
      <c r="E35" s="423">
        <v>1</v>
      </c>
      <c r="F35" s="426" t="s">
        <v>2479</v>
      </c>
      <c r="G35" s="427"/>
      <c r="H35" s="399"/>
      <c r="I35" s="399"/>
    </row>
    <row r="36" s="398" customFormat="1" customHeight="1" spans="1:9">
      <c r="A36" s="423"/>
      <c r="B36" s="423" t="s">
        <v>2448</v>
      </c>
      <c r="C36" s="424" t="s">
        <v>2480</v>
      </c>
      <c r="D36" s="425"/>
      <c r="E36" s="423">
        <v>1</v>
      </c>
      <c r="F36" s="426" t="s">
        <v>2481</v>
      </c>
      <c r="G36" s="427"/>
      <c r="H36" s="399"/>
      <c r="I36" s="399"/>
    </row>
    <row r="37" s="398" customFormat="1" customHeight="1" spans="1:9">
      <c r="A37" s="423"/>
      <c r="B37" s="423"/>
      <c r="C37" s="424" t="s">
        <v>2482</v>
      </c>
      <c r="D37" s="425"/>
      <c r="E37" s="423">
        <v>1.5</v>
      </c>
      <c r="F37" s="426" t="s">
        <v>2483</v>
      </c>
      <c r="G37" s="427"/>
      <c r="H37" s="399"/>
      <c r="I37" s="399"/>
    </row>
    <row r="38" s="398" customFormat="1" customHeight="1" spans="1:9">
      <c r="A38" s="423"/>
      <c r="B38" s="423"/>
      <c r="C38" s="424" t="s">
        <v>2484</v>
      </c>
      <c r="D38" s="425"/>
      <c r="E38" s="423">
        <v>1</v>
      </c>
      <c r="F38" s="426" t="s">
        <v>2485</v>
      </c>
      <c r="G38" s="427"/>
      <c r="H38" s="399"/>
      <c r="I38" s="399"/>
    </row>
    <row r="39" s="398" customFormat="1" customHeight="1" spans="1:9">
      <c r="A39" s="423"/>
      <c r="B39" s="423"/>
      <c r="C39" s="424" t="s">
        <v>2486</v>
      </c>
      <c r="D39" s="425"/>
      <c r="E39" s="423">
        <v>1</v>
      </c>
      <c r="F39" s="426" t="s">
        <v>2487</v>
      </c>
      <c r="G39" s="427"/>
      <c r="H39" s="399"/>
      <c r="I39" s="399"/>
    </row>
    <row r="40" s="398" customFormat="1" customHeight="1" spans="1:9">
      <c r="A40" s="428" t="s">
        <v>2488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2489</v>
      </c>
      <c r="H42" s="416" t="s">
        <v>455</v>
      </c>
    </row>
    <row r="43" customHeight="1" spans="1:8">
      <c r="A43" s="431"/>
      <c r="B43" s="416" t="s">
        <v>461</v>
      </c>
      <c r="C43" s="416" t="s">
        <v>461</v>
      </c>
      <c r="D43" s="416" t="s">
        <v>461</v>
      </c>
      <c r="E43" s="416" t="s">
        <v>461</v>
      </c>
      <c r="F43" s="414" t="s">
        <v>462</v>
      </c>
      <c r="G43" s="414" t="s">
        <v>2431</v>
      </c>
      <c r="H43" s="414" t="s">
        <v>463</v>
      </c>
    </row>
    <row r="44" customHeight="1" spans="1:8">
      <c r="A44" s="432"/>
      <c r="B44" s="414">
        <v>1</v>
      </c>
      <c r="C44" s="414">
        <v>2</v>
      </c>
      <c r="D44" s="414">
        <v>3</v>
      </c>
      <c r="E44" s="416">
        <v>4</v>
      </c>
      <c r="F44" s="421" t="s">
        <v>2490</v>
      </c>
      <c r="G44" s="421" t="s">
        <v>2490</v>
      </c>
      <c r="H44" s="421" t="s">
        <v>2490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2491</v>
      </c>
      <c r="E58" s="418"/>
      <c r="F58" s="418"/>
    </row>
    <row r="59" s="399" customFormat="1" customHeight="1" spans="1:6">
      <c r="A59" s="423" t="s">
        <v>499</v>
      </c>
      <c r="B59" s="423" t="s">
        <v>2492</v>
      </c>
      <c r="C59" s="423" t="s">
        <v>2493</v>
      </c>
      <c r="D59" s="423" t="s">
        <v>2494</v>
      </c>
      <c r="E59" s="423" t="s">
        <v>2495</v>
      </c>
      <c r="F59" s="423" t="s">
        <v>2496</v>
      </c>
    </row>
    <row r="60" ht="13.5" spans="1:6">
      <c r="A60" s="423"/>
      <c r="B60" s="423"/>
      <c r="C60" s="423" t="s">
        <v>2497</v>
      </c>
      <c r="D60" s="423"/>
      <c r="E60" s="435" t="s">
        <v>124</v>
      </c>
      <c r="F60" s="423" t="s">
        <v>124</v>
      </c>
    </row>
    <row r="61" s="399" customFormat="1" ht="24" spans="1:6">
      <c r="A61" s="423">
        <v>1</v>
      </c>
      <c r="B61" s="423" t="s">
        <v>2498</v>
      </c>
      <c r="C61" s="414" t="s">
        <v>2499</v>
      </c>
      <c r="D61" s="414" t="s">
        <v>2500</v>
      </c>
      <c r="E61" s="435">
        <v>0.5</v>
      </c>
      <c r="F61" s="423">
        <v>80</v>
      </c>
    </row>
    <row r="62" s="399" customFormat="1" ht="24" spans="1:6">
      <c r="A62" s="423">
        <v>2</v>
      </c>
      <c r="B62" s="423"/>
      <c r="C62" s="414" t="s">
        <v>2501</v>
      </c>
      <c r="D62" s="414" t="s">
        <v>2502</v>
      </c>
      <c r="E62" s="435">
        <v>0.5</v>
      </c>
      <c r="F62" s="423">
        <v>80</v>
      </c>
    </row>
    <row r="63" s="399" customFormat="1" ht="36" spans="1:6">
      <c r="A63" s="423">
        <v>3</v>
      </c>
      <c r="B63" s="423"/>
      <c r="C63" s="414" t="s">
        <v>2503</v>
      </c>
      <c r="D63" s="414" t="s">
        <v>2504</v>
      </c>
      <c r="E63" s="435">
        <v>0.5</v>
      </c>
      <c r="F63" s="423">
        <v>80</v>
      </c>
    </row>
    <row r="64" s="399" customFormat="1" ht="36" spans="1:6">
      <c r="A64" s="423">
        <v>4</v>
      </c>
      <c r="B64" s="423"/>
      <c r="C64" s="414" t="s">
        <v>2505</v>
      </c>
      <c r="D64" s="414" t="s">
        <v>2506</v>
      </c>
      <c r="E64" s="435">
        <v>0.4</v>
      </c>
      <c r="F64" s="423">
        <v>60</v>
      </c>
    </row>
    <row r="65" s="399" customFormat="1" ht="36" spans="1:6">
      <c r="A65" s="423">
        <v>5</v>
      </c>
      <c r="B65" s="423"/>
      <c r="C65" s="414" t="s">
        <v>2507</v>
      </c>
      <c r="D65" s="414" t="s">
        <v>2508</v>
      </c>
      <c r="E65" s="435">
        <v>0.2</v>
      </c>
      <c r="F65" s="423">
        <v>30</v>
      </c>
    </row>
    <row r="66" s="399" customFormat="1" ht="36" spans="1:6">
      <c r="A66" s="423">
        <v>6</v>
      </c>
      <c r="B66" s="423"/>
      <c r="C66" s="414" t="s">
        <v>2509</v>
      </c>
      <c r="D66" s="414" t="s">
        <v>2510</v>
      </c>
      <c r="E66" s="435">
        <v>0.3</v>
      </c>
      <c r="F66" s="423">
        <v>50</v>
      </c>
    </row>
    <row r="67" s="399" customFormat="1" ht="36" spans="1:6">
      <c r="A67" s="423">
        <v>7</v>
      </c>
      <c r="B67" s="423"/>
      <c r="C67" s="414" t="s">
        <v>2511</v>
      </c>
      <c r="D67" s="414" t="s">
        <v>2512</v>
      </c>
      <c r="E67" s="435">
        <v>0.2</v>
      </c>
      <c r="F67" s="423">
        <v>30</v>
      </c>
    </row>
    <row r="68" s="399" customFormat="1" ht="36" spans="1:6">
      <c r="A68" s="423">
        <v>8</v>
      </c>
      <c r="B68" s="423"/>
      <c r="C68" s="414" t="s">
        <v>2513</v>
      </c>
      <c r="D68" s="414" t="s">
        <v>2514</v>
      </c>
      <c r="E68" s="435">
        <v>0.2</v>
      </c>
      <c r="F68" s="423">
        <v>30</v>
      </c>
    </row>
    <row r="69" s="399" customFormat="1" ht="36" spans="1:6">
      <c r="A69" s="423">
        <v>9</v>
      </c>
      <c r="B69" s="423"/>
      <c r="C69" s="414" t="s">
        <v>2515</v>
      </c>
      <c r="D69" s="414" t="s">
        <v>2516</v>
      </c>
      <c r="E69" s="435">
        <v>0.2</v>
      </c>
      <c r="F69" s="423">
        <v>30</v>
      </c>
    </row>
    <row r="70" s="399" customFormat="1" ht="48" spans="1:6">
      <c r="A70" s="423">
        <v>10</v>
      </c>
      <c r="B70" s="423"/>
      <c r="C70" s="414" t="s">
        <v>2517</v>
      </c>
      <c r="D70" s="414" t="s">
        <v>2518</v>
      </c>
      <c r="E70" s="435">
        <v>0.2</v>
      </c>
      <c r="F70" s="423">
        <v>30</v>
      </c>
    </row>
    <row r="71" s="399" customFormat="1" ht="48" spans="1:6">
      <c r="A71" s="423">
        <v>11</v>
      </c>
      <c r="B71" s="423"/>
      <c r="C71" s="414" t="s">
        <v>2519</v>
      </c>
      <c r="D71" s="414" t="s">
        <v>2520</v>
      </c>
      <c r="E71" s="435">
        <v>0.2</v>
      </c>
      <c r="F71" s="423">
        <v>30</v>
      </c>
    </row>
    <row r="72" s="399" customFormat="1" ht="36" spans="1:6">
      <c r="A72" s="423">
        <v>12</v>
      </c>
      <c r="B72" s="423"/>
      <c r="C72" s="414" t="s">
        <v>2521</v>
      </c>
      <c r="D72" s="414" t="s">
        <v>2522</v>
      </c>
      <c r="E72" s="435">
        <v>0.5</v>
      </c>
      <c r="F72" s="423">
        <v>80</v>
      </c>
    </row>
    <row r="73" s="399" customFormat="1" ht="36" spans="1:6">
      <c r="A73" s="423">
        <v>13</v>
      </c>
      <c r="B73" s="423"/>
      <c r="C73" s="414" t="s">
        <v>2523</v>
      </c>
      <c r="D73" s="414" t="s">
        <v>2524</v>
      </c>
      <c r="E73" s="435">
        <v>0.4</v>
      </c>
      <c r="F73" s="423">
        <v>60</v>
      </c>
    </row>
    <row r="74" s="399" customFormat="1" ht="36" spans="1:6">
      <c r="A74" s="423">
        <v>14</v>
      </c>
      <c r="B74" s="423"/>
      <c r="C74" s="414" t="s">
        <v>2525</v>
      </c>
      <c r="D74" s="414" t="s">
        <v>2526</v>
      </c>
      <c r="E74" s="435">
        <v>0.2</v>
      </c>
      <c r="F74" s="423">
        <v>30</v>
      </c>
    </row>
    <row r="75" s="399" customFormat="1" ht="36" spans="1:6">
      <c r="A75" s="423">
        <v>15</v>
      </c>
      <c r="B75" s="423"/>
      <c r="C75" s="414" t="s">
        <v>2527</v>
      </c>
      <c r="D75" s="414" t="s">
        <v>2528</v>
      </c>
      <c r="E75" s="435">
        <v>0.2</v>
      </c>
      <c r="F75" s="423">
        <v>30</v>
      </c>
    </row>
    <row r="76" s="399" customFormat="1" ht="24" spans="1:6">
      <c r="A76" s="423">
        <v>16</v>
      </c>
      <c r="B76" s="423" t="s">
        <v>2529</v>
      </c>
      <c r="C76" s="414" t="s">
        <v>2530</v>
      </c>
      <c r="D76" s="414" t="s">
        <v>2531</v>
      </c>
      <c r="E76" s="435">
        <v>0.5</v>
      </c>
      <c r="F76" s="423">
        <v>80</v>
      </c>
    </row>
    <row r="77" s="399" customFormat="1" ht="24" spans="1:6">
      <c r="A77" s="423">
        <v>17</v>
      </c>
      <c r="B77" s="423"/>
      <c r="C77" s="414" t="s">
        <v>2532</v>
      </c>
      <c r="D77" s="414" t="s">
        <v>2533</v>
      </c>
      <c r="E77" s="435">
        <v>0.5</v>
      </c>
      <c r="F77" s="423">
        <v>80</v>
      </c>
    </row>
    <row r="78" s="399" customFormat="1" ht="36" spans="1:6">
      <c r="A78" s="423">
        <v>18</v>
      </c>
      <c r="B78" s="423"/>
      <c r="C78" s="414" t="s">
        <v>2534</v>
      </c>
      <c r="D78" s="414" t="s">
        <v>2535</v>
      </c>
      <c r="E78" s="435">
        <v>0.2</v>
      </c>
      <c r="F78" s="423">
        <v>30</v>
      </c>
    </row>
    <row r="79" s="399" customFormat="1" ht="24" spans="1:6">
      <c r="A79" s="423">
        <v>19</v>
      </c>
      <c r="B79" s="423"/>
      <c r="C79" s="414" t="s">
        <v>2536</v>
      </c>
      <c r="D79" s="414" t="s">
        <v>2537</v>
      </c>
      <c r="E79" s="435">
        <v>0.5</v>
      </c>
      <c r="F79" s="423">
        <v>80</v>
      </c>
    </row>
    <row r="80" s="399" customFormat="1" ht="36" spans="1:6">
      <c r="A80" s="423">
        <v>20</v>
      </c>
      <c r="B80" s="423"/>
      <c r="C80" s="414" t="s">
        <v>2538</v>
      </c>
      <c r="D80" s="414" t="s">
        <v>2539</v>
      </c>
      <c r="E80" s="435">
        <v>0.2</v>
      </c>
      <c r="F80" s="423">
        <v>30</v>
      </c>
    </row>
    <row r="81" s="399" customFormat="1" ht="36" spans="1:6">
      <c r="A81" s="423">
        <v>21</v>
      </c>
      <c r="B81" s="423"/>
      <c r="C81" s="414" t="s">
        <v>2540</v>
      </c>
      <c r="D81" s="414" t="s">
        <v>2541</v>
      </c>
      <c r="E81" s="435">
        <v>0.2</v>
      </c>
      <c r="F81" s="423">
        <v>30</v>
      </c>
    </row>
    <row r="82" s="399" customFormat="1" ht="48" spans="1:6">
      <c r="A82" s="423">
        <v>22</v>
      </c>
      <c r="B82" s="423"/>
      <c r="C82" s="414" t="s">
        <v>2542</v>
      </c>
      <c r="D82" s="414" t="s">
        <v>2543</v>
      </c>
      <c r="E82" s="435">
        <v>0.2</v>
      </c>
      <c r="F82" s="423">
        <v>30</v>
      </c>
    </row>
    <row r="83" s="399" customFormat="1" ht="48" spans="1:6">
      <c r="A83" s="423">
        <v>23</v>
      </c>
      <c r="B83" s="423"/>
      <c r="C83" s="414" t="s">
        <v>2544</v>
      </c>
      <c r="D83" s="414" t="s">
        <v>2545</v>
      </c>
      <c r="E83" s="435">
        <v>0.2</v>
      </c>
      <c r="F83" s="423">
        <v>30</v>
      </c>
    </row>
    <row r="84" s="399" customFormat="1" ht="36" spans="1:6">
      <c r="A84" s="423">
        <v>24</v>
      </c>
      <c r="B84" s="423"/>
      <c r="C84" s="414" t="s">
        <v>2546</v>
      </c>
      <c r="D84" s="414" t="s">
        <v>2547</v>
      </c>
      <c r="E84" s="435">
        <v>0.2</v>
      </c>
      <c r="F84" s="423">
        <v>30</v>
      </c>
    </row>
    <row r="85" s="399" customFormat="1" ht="36" spans="1:6">
      <c r="A85" s="423">
        <v>25</v>
      </c>
      <c r="B85" s="423"/>
      <c r="C85" s="414" t="s">
        <v>2548</v>
      </c>
      <c r="D85" s="414" t="s">
        <v>2549</v>
      </c>
      <c r="E85" s="435">
        <v>0.5</v>
      </c>
      <c r="F85" s="423">
        <v>80</v>
      </c>
    </row>
    <row r="86" s="399" customFormat="1" ht="36" spans="1:6">
      <c r="A86" s="423">
        <v>26</v>
      </c>
      <c r="B86" s="423"/>
      <c r="C86" s="414" t="s">
        <v>2550</v>
      </c>
      <c r="D86" s="414" t="s">
        <v>2551</v>
      </c>
      <c r="E86" s="435">
        <v>0.2</v>
      </c>
      <c r="F86" s="423">
        <v>30</v>
      </c>
    </row>
    <row r="87" s="399" customFormat="1" ht="36" spans="1:6">
      <c r="A87" s="423">
        <v>27</v>
      </c>
      <c r="B87" s="423"/>
      <c r="C87" s="414" t="s">
        <v>2552</v>
      </c>
      <c r="D87" s="414" t="s">
        <v>2553</v>
      </c>
      <c r="E87" s="435">
        <v>0.2</v>
      </c>
      <c r="F87" s="423">
        <v>30</v>
      </c>
    </row>
    <row r="88" s="399" customFormat="1" ht="36" spans="1:6">
      <c r="A88" s="423">
        <v>28</v>
      </c>
      <c r="B88" s="423"/>
      <c r="C88" s="414" t="s">
        <v>2554</v>
      </c>
      <c r="D88" s="414" t="s">
        <v>2555</v>
      </c>
      <c r="E88" s="435">
        <v>0.2</v>
      </c>
      <c r="F88" s="423">
        <v>30</v>
      </c>
    </row>
    <row r="89" s="399" customFormat="1" ht="36" spans="1:6">
      <c r="A89" s="423">
        <v>29</v>
      </c>
      <c r="B89" s="423"/>
      <c r="C89" s="414" t="s">
        <v>2556</v>
      </c>
      <c r="D89" s="414" t="s">
        <v>2557</v>
      </c>
      <c r="E89" s="435">
        <v>0.2</v>
      </c>
      <c r="F89" s="423">
        <v>30</v>
      </c>
    </row>
    <row r="90" s="399" customFormat="1" ht="36" spans="1:6">
      <c r="A90" s="423">
        <v>30</v>
      </c>
      <c r="B90" s="423"/>
      <c r="C90" s="414" t="s">
        <v>2558</v>
      </c>
      <c r="D90" s="414" t="s">
        <v>2559</v>
      </c>
      <c r="E90" s="435">
        <v>0.2</v>
      </c>
      <c r="F90" s="423">
        <v>30</v>
      </c>
    </row>
    <row r="91" s="399" customFormat="1" ht="36" spans="1:6">
      <c r="A91" s="423">
        <v>31</v>
      </c>
      <c r="B91" s="423"/>
      <c r="C91" s="414" t="s">
        <v>2560</v>
      </c>
      <c r="D91" s="414" t="s">
        <v>2561</v>
      </c>
      <c r="E91" s="435">
        <v>0.2</v>
      </c>
      <c r="F91" s="423">
        <v>30</v>
      </c>
    </row>
    <row r="92" s="399" customFormat="1" ht="36" spans="1:6">
      <c r="A92" s="423">
        <v>32</v>
      </c>
      <c r="B92" s="423" t="s">
        <v>2562</v>
      </c>
      <c r="C92" s="423" t="s">
        <v>2563</v>
      </c>
      <c r="D92" s="414" t="s">
        <v>2564</v>
      </c>
      <c r="E92" s="435">
        <v>0.2</v>
      </c>
      <c r="F92" s="423">
        <v>30</v>
      </c>
    </row>
    <row r="93" s="399" customFormat="1" ht="36" spans="1:6">
      <c r="A93" s="423">
        <v>33</v>
      </c>
      <c r="B93" s="423"/>
      <c r="C93" s="423" t="s">
        <v>2565</v>
      </c>
      <c r="D93" s="414" t="s">
        <v>2566</v>
      </c>
      <c r="E93" s="435">
        <v>0.2</v>
      </c>
      <c r="F93" s="423">
        <v>30</v>
      </c>
    </row>
    <row r="94" s="399" customFormat="1" ht="48" spans="1:6">
      <c r="A94" s="423">
        <v>34</v>
      </c>
      <c r="B94" s="423"/>
      <c r="C94" s="423" t="s">
        <v>2567</v>
      </c>
      <c r="D94" s="414" t="s">
        <v>2568</v>
      </c>
      <c r="E94" s="435">
        <v>0.2</v>
      </c>
      <c r="F94" s="423">
        <v>30</v>
      </c>
    </row>
    <row r="95" s="399" customFormat="1" ht="36" spans="1:6">
      <c r="A95" s="423">
        <v>35</v>
      </c>
      <c r="B95" s="423"/>
      <c r="C95" s="423" t="s">
        <v>2569</v>
      </c>
      <c r="D95" s="414" t="s">
        <v>2570</v>
      </c>
      <c r="E95" s="435">
        <v>0.2</v>
      </c>
      <c r="F95" s="423">
        <v>30</v>
      </c>
    </row>
    <row r="96" s="399" customFormat="1" ht="48" spans="1:6">
      <c r="A96" s="423">
        <v>36</v>
      </c>
      <c r="B96" s="423"/>
      <c r="C96" s="414" t="s">
        <v>2571</v>
      </c>
      <c r="D96" s="414" t="s">
        <v>2572</v>
      </c>
      <c r="E96" s="435">
        <v>0.2</v>
      </c>
      <c r="F96" s="423">
        <v>30</v>
      </c>
    </row>
    <row r="97" s="399" customFormat="1" ht="36" spans="1:6">
      <c r="A97" s="423">
        <v>37</v>
      </c>
      <c r="B97" s="423"/>
      <c r="C97" s="423" t="s">
        <v>2573</v>
      </c>
      <c r="D97" s="414" t="s">
        <v>2574</v>
      </c>
      <c r="E97" s="435">
        <v>0.2</v>
      </c>
      <c r="F97" s="423">
        <v>30</v>
      </c>
    </row>
    <row r="98" s="399" customFormat="1" ht="36" spans="1:6">
      <c r="A98" s="423">
        <v>38</v>
      </c>
      <c r="B98" s="423"/>
      <c r="C98" s="423" t="s">
        <v>2575</v>
      </c>
      <c r="D98" s="414" t="s">
        <v>2576</v>
      </c>
      <c r="E98" s="435">
        <v>0.2</v>
      </c>
      <c r="F98" s="423">
        <v>30</v>
      </c>
    </row>
    <row r="99" s="399" customFormat="1" ht="36" spans="1:6">
      <c r="A99" s="423">
        <v>39</v>
      </c>
      <c r="B99" s="423" t="s">
        <v>2577</v>
      </c>
      <c r="C99" s="423" t="s">
        <v>2578</v>
      </c>
      <c r="D99" s="414" t="s">
        <v>2579</v>
      </c>
      <c r="E99" s="435">
        <v>0.3</v>
      </c>
      <c r="F99" s="423">
        <v>50</v>
      </c>
    </row>
    <row r="100" s="399" customFormat="1" ht="36" spans="1:6">
      <c r="A100" s="423">
        <v>40</v>
      </c>
      <c r="B100" s="423"/>
      <c r="C100" s="423" t="s">
        <v>2580</v>
      </c>
      <c r="D100" s="414" t="s">
        <v>2581</v>
      </c>
      <c r="E100" s="435">
        <v>0.2</v>
      </c>
      <c r="F100" s="423">
        <v>30</v>
      </c>
    </row>
    <row r="101" s="399" customFormat="1" ht="36" spans="1:6">
      <c r="A101" s="423">
        <v>41</v>
      </c>
      <c r="B101" s="423"/>
      <c r="C101" s="423" t="s">
        <v>2582</v>
      </c>
      <c r="D101" s="414" t="s">
        <v>2579</v>
      </c>
      <c r="E101" s="435">
        <v>0.2</v>
      </c>
      <c r="F101" s="423">
        <v>30</v>
      </c>
    </row>
    <row r="102" s="399" customFormat="1" ht="48" spans="1:6">
      <c r="A102" s="423">
        <v>42</v>
      </c>
      <c r="B102" s="423" t="s">
        <v>2583</v>
      </c>
      <c r="C102" s="414" t="s">
        <v>2584</v>
      </c>
      <c r="D102" s="414" t="s">
        <v>2585</v>
      </c>
      <c r="E102" s="435">
        <v>0.2</v>
      </c>
      <c r="F102" s="423">
        <v>30</v>
      </c>
    </row>
    <row r="103" s="399" customFormat="1" ht="36" spans="1:6">
      <c r="A103" s="423">
        <v>43</v>
      </c>
      <c r="B103" s="423" t="s">
        <v>2586</v>
      </c>
      <c r="C103" s="423" t="s">
        <v>2587</v>
      </c>
      <c r="D103" s="414" t="s">
        <v>2588</v>
      </c>
      <c r="E103" s="435">
        <v>0.2</v>
      </c>
      <c r="F103" s="423">
        <v>30</v>
      </c>
    </row>
    <row r="104" s="399" customFormat="1" ht="36" spans="1:6">
      <c r="A104" s="423">
        <v>44</v>
      </c>
      <c r="B104" s="423" t="s">
        <v>2589</v>
      </c>
      <c r="C104" s="423" t="s">
        <v>2590</v>
      </c>
      <c r="D104" s="414" t="s">
        <v>2591</v>
      </c>
      <c r="E104" s="435">
        <v>0.2</v>
      </c>
      <c r="F104" s="423">
        <v>30</v>
      </c>
    </row>
    <row r="105" s="399" customFormat="1" ht="36" spans="1:6">
      <c r="A105" s="423">
        <v>45</v>
      </c>
      <c r="B105" s="423" t="s">
        <v>2592</v>
      </c>
      <c r="C105" s="423" t="s">
        <v>2593</v>
      </c>
      <c r="D105" s="414" t="s">
        <v>2594</v>
      </c>
      <c r="E105" s="435">
        <v>0.2</v>
      </c>
      <c r="F105" s="423">
        <v>30</v>
      </c>
    </row>
    <row r="106" s="399" customFormat="1" ht="36" spans="1:6">
      <c r="A106" s="423">
        <v>46</v>
      </c>
      <c r="B106" s="423"/>
      <c r="C106" s="423" t="s">
        <v>2595</v>
      </c>
      <c r="D106" s="414" t="s">
        <v>2596</v>
      </c>
      <c r="E106" s="435">
        <v>0.2</v>
      </c>
      <c r="F106" s="423">
        <v>30</v>
      </c>
    </row>
    <row r="107" s="399" customFormat="1" ht="36" spans="1:6">
      <c r="A107" s="423">
        <v>47</v>
      </c>
      <c r="B107" s="423" t="s">
        <v>2597</v>
      </c>
      <c r="C107" s="423" t="s">
        <v>2598</v>
      </c>
      <c r="D107" s="414" t="s">
        <v>2599</v>
      </c>
      <c r="E107" s="435">
        <v>0.3</v>
      </c>
      <c r="F107" s="423">
        <v>50</v>
      </c>
    </row>
    <row r="108" s="399" customFormat="1" ht="36" spans="1:6">
      <c r="A108" s="423">
        <v>48</v>
      </c>
      <c r="B108" s="423"/>
      <c r="C108" s="423" t="s">
        <v>2600</v>
      </c>
      <c r="D108" s="414" t="s">
        <v>2601</v>
      </c>
      <c r="E108" s="435">
        <v>0.2</v>
      </c>
      <c r="F108" s="423">
        <v>30</v>
      </c>
    </row>
    <row r="109" s="399" customFormat="1" ht="36" spans="1:6">
      <c r="A109" s="423">
        <v>49</v>
      </c>
      <c r="B109" s="423" t="s">
        <v>2602</v>
      </c>
      <c r="C109" s="423" t="s">
        <v>2603</v>
      </c>
      <c r="D109" s="414" t="s">
        <v>2604</v>
      </c>
      <c r="E109" s="435">
        <v>0.2</v>
      </c>
      <c r="F109" s="423">
        <v>30</v>
      </c>
    </row>
    <row r="110" s="399" customFormat="1" ht="36" spans="1:6">
      <c r="A110" s="423">
        <v>50</v>
      </c>
      <c r="B110" s="423" t="s">
        <v>2605</v>
      </c>
      <c r="C110" s="423" t="s">
        <v>2606</v>
      </c>
      <c r="D110" s="414" t="s">
        <v>2607</v>
      </c>
      <c r="E110" s="435">
        <v>0.2</v>
      </c>
      <c r="F110" s="423">
        <v>30</v>
      </c>
    </row>
    <row r="111" s="399" customFormat="1" ht="36" spans="1:6">
      <c r="A111" s="423">
        <v>51</v>
      </c>
      <c r="B111" s="423" t="s">
        <v>2608</v>
      </c>
      <c r="C111" s="423" t="s">
        <v>2609</v>
      </c>
      <c r="D111" s="414" t="s">
        <v>2610</v>
      </c>
      <c r="E111" s="435">
        <v>0.2</v>
      </c>
      <c r="F111" s="423">
        <v>30</v>
      </c>
    </row>
    <row r="112" s="399" customFormat="1" ht="36" spans="1:6">
      <c r="A112" s="423">
        <v>52</v>
      </c>
      <c r="B112" s="423"/>
      <c r="C112" s="423" t="s">
        <v>2611</v>
      </c>
      <c r="D112" s="414" t="s">
        <v>2612</v>
      </c>
      <c r="E112" s="435">
        <v>0.2</v>
      </c>
      <c r="F112" s="423">
        <v>30</v>
      </c>
    </row>
    <row r="113" s="399" customFormat="1" ht="36" spans="1:6">
      <c r="A113" s="423">
        <v>53</v>
      </c>
      <c r="B113" s="423"/>
      <c r="C113" s="423" t="s">
        <v>2613</v>
      </c>
      <c r="D113" s="414" t="s">
        <v>2614</v>
      </c>
      <c r="E113" s="435">
        <v>0.2</v>
      </c>
      <c r="F113" s="423">
        <v>30</v>
      </c>
    </row>
    <row r="114" ht="36" spans="1:6">
      <c r="A114" s="423">
        <v>54</v>
      </c>
      <c r="B114" s="423" t="s">
        <v>2615</v>
      </c>
      <c r="C114" s="423" t="s">
        <v>2616</v>
      </c>
      <c r="D114" s="414" t="s">
        <v>2617</v>
      </c>
      <c r="E114" s="435">
        <v>0.2</v>
      </c>
      <c r="F114" s="423">
        <v>30</v>
      </c>
    </row>
    <row r="115" ht="36" spans="1:6">
      <c r="A115" s="423">
        <v>55</v>
      </c>
      <c r="B115" s="423" t="s">
        <v>2618</v>
      </c>
      <c r="C115" s="423" t="s">
        <v>2619</v>
      </c>
      <c r="D115" s="414" t="s">
        <v>2620</v>
      </c>
      <c r="E115" s="435">
        <v>0.2</v>
      </c>
      <c r="F115" s="423">
        <v>30</v>
      </c>
    </row>
    <row r="116" ht="36" spans="1:6">
      <c r="A116" s="423">
        <v>56</v>
      </c>
      <c r="B116" s="423" t="s">
        <v>2621</v>
      </c>
      <c r="C116" s="423" t="s">
        <v>2622</v>
      </c>
      <c r="D116" s="414" t="s">
        <v>2623</v>
      </c>
      <c r="E116" s="435">
        <v>0.2</v>
      </c>
      <c r="F116" s="423">
        <v>30</v>
      </c>
    </row>
    <row r="117" ht="36" spans="1:6">
      <c r="A117" s="423">
        <v>57</v>
      </c>
      <c r="B117" s="423"/>
      <c r="C117" s="423" t="s">
        <v>2624</v>
      </c>
      <c r="D117" s="414" t="s">
        <v>2625</v>
      </c>
      <c r="E117" s="435">
        <v>0.2</v>
      </c>
      <c r="F117" s="423">
        <v>30</v>
      </c>
    </row>
    <row r="118" ht="36" spans="1:6">
      <c r="A118" s="423">
        <v>58</v>
      </c>
      <c r="B118" s="423" t="s">
        <v>2626</v>
      </c>
      <c r="C118" s="423" t="s">
        <v>2627</v>
      </c>
      <c r="D118" s="414" t="s">
        <v>2628</v>
      </c>
      <c r="E118" s="435">
        <v>0.2</v>
      </c>
      <c r="F118" s="423">
        <v>30</v>
      </c>
    </row>
    <row r="119" ht="13.5" spans="1:6">
      <c r="A119" s="423"/>
      <c r="B119" s="423"/>
      <c r="C119" s="423" t="s">
        <v>2497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62" t="str">
        <f>IF(项目基本情况!B9="房地产市场价值","估价结果一览表","结果表-2")</f>
        <v>结果表-2</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ht="15" spans="1:9">
      <c r="A3" s="3364"/>
      <c r="B3" s="3364"/>
      <c r="C3" s="3364"/>
      <c r="D3" s="3364" t="s">
        <v>110</v>
      </c>
      <c r="E3" s="3364" t="s">
        <v>111</v>
      </c>
      <c r="F3" s="3364" t="s">
        <v>110</v>
      </c>
      <c r="G3" s="3364" t="s">
        <v>111</v>
      </c>
      <c r="H3" s="3364" t="s">
        <v>110</v>
      </c>
      <c r="I3" s="3364" t="s">
        <v>111</v>
      </c>
    </row>
    <row r="4" ht="15" spans="1:9">
      <c r="A4" s="3365" t="str">
        <f>项目基本情况!S2</f>
        <v>北京市房地产</v>
      </c>
      <c r="B4" s="3364">
        <f>项目基本情况!C17</f>
        <v>66448.33</v>
      </c>
      <c r="C4" s="3364">
        <f>项目基本情况!C18</f>
        <v>9082.33</v>
      </c>
      <c r="D4" s="3364">
        <f ca="1">结果表!D118</f>
        <v>272985</v>
      </c>
      <c r="E4" s="3364">
        <f ca="1">结果表!E118</f>
        <v>43121</v>
      </c>
      <c r="F4" s="3364">
        <f ca="1">结果表!F118</f>
        <v>55122</v>
      </c>
      <c r="G4" s="3364">
        <f ca="1">结果表!G118</f>
        <v>8707</v>
      </c>
      <c r="H4" s="3364">
        <f ca="1">结果表!H118</f>
        <v>328107</v>
      </c>
      <c r="I4" s="3364">
        <f ca="1">结果表!I118</f>
        <v>51828</v>
      </c>
    </row>
    <row r="5" ht="30" customHeight="1" spans="1:9">
      <c r="A5" s="3364" t="s">
        <v>112</v>
      </c>
      <c r="B5" s="3364"/>
      <c r="C5" s="3364"/>
      <c r="D5" s="3366" t="str">
        <f ca="1">结果表!D119</f>
        <v>贰拾柒亿贰仟玖佰捌拾伍万元整</v>
      </c>
      <c r="E5" s="3366"/>
      <c r="F5" s="3366" t="str">
        <f ca="1">结果表!F119</f>
        <v>伍亿伍仟壹佰贰拾贰万元整</v>
      </c>
      <c r="G5" s="3366"/>
      <c r="H5" s="3366" t="str">
        <f ca="1">结果表!H119</f>
        <v>叁拾贰亿捌仟壹佰零柒万元整</v>
      </c>
      <c r="I5" s="3366"/>
    </row>
    <row r="6" ht="15.75" spans="1:9">
      <c r="A6" s="3367" t="str">
        <f>结果表!A120</f>
        <v>估价师知悉的法定优先受偿款</v>
      </c>
      <c r="B6" s="3367"/>
      <c r="C6" s="3367"/>
      <c r="D6" s="3367">
        <f>结果表!D120</f>
        <v>0</v>
      </c>
      <c r="E6" s="3367"/>
      <c r="F6" s="3367"/>
      <c r="G6" s="3367"/>
      <c r="H6" s="3367"/>
      <c r="I6" s="3367"/>
    </row>
    <row r="7" ht="15" spans="1:9">
      <c r="A7" s="3364" t="s">
        <v>112</v>
      </c>
      <c r="B7" s="3364"/>
      <c r="C7" s="3364"/>
      <c r="D7" s="3368" t="str">
        <f>结果表!D121</f>
        <v>零元整</v>
      </c>
      <c r="E7" s="3369"/>
      <c r="F7" s="3369"/>
      <c r="G7" s="3369"/>
      <c r="H7" s="3369"/>
      <c r="I7" s="3374"/>
    </row>
    <row r="8" ht="15.75" spans="1:9">
      <c r="A8" s="3367" t="str">
        <f>结果表!A122</f>
        <v>房地产抵押价值</v>
      </c>
      <c r="B8" s="3367"/>
      <c r="C8" s="3367"/>
      <c r="D8" s="3367">
        <f ca="1">结果表!D122</f>
        <v>328107</v>
      </c>
      <c r="E8" s="3367"/>
      <c r="F8" s="3367"/>
      <c r="G8" s="3367"/>
      <c r="H8" s="3367"/>
      <c r="I8" s="3367"/>
    </row>
    <row r="9" ht="15" spans="1:9">
      <c r="A9" s="3364" t="s">
        <v>112</v>
      </c>
      <c r="B9" s="3364"/>
      <c r="C9" s="3364"/>
      <c r="D9" s="3366" t="str">
        <f ca="1">结果表!D123</f>
        <v>叁拾贰亿捌仟壹佰零柒万元整</v>
      </c>
      <c r="E9" s="3366"/>
      <c r="F9" s="3366"/>
      <c r="G9" s="3366"/>
      <c r="H9" s="3366"/>
      <c r="I9" s="3366"/>
    </row>
    <row r="10" ht="15.75" spans="1:9">
      <c r="A10" s="3367" t="str">
        <f>结果表!A124</f>
        <v/>
      </c>
      <c r="B10" s="3367"/>
      <c r="C10" s="3367"/>
      <c r="D10" s="3367" t="str">
        <f ca="1">结果表!D124</f>
        <v>——</v>
      </c>
      <c r="E10" s="3367"/>
      <c r="F10" s="3367"/>
      <c r="G10" s="3367"/>
      <c r="H10" s="3367"/>
      <c r="I10" s="3367"/>
    </row>
    <row r="11" ht="15" spans="1:9">
      <c r="A11" s="3364" t="s">
        <v>112</v>
      </c>
      <c r="B11" s="3364"/>
      <c r="C11" s="3364"/>
      <c r="D11" s="3366" t="e">
        <f ca="1">结果表!D125</f>
        <v>#VALUE!</v>
      </c>
      <c r="E11" s="3366"/>
      <c r="F11" s="3366"/>
      <c r="G11" s="3366"/>
      <c r="H11" s="3366"/>
      <c r="I11" s="3366"/>
    </row>
    <row r="12" ht="15.75" spans="1:9">
      <c r="A12" s="3367" t="str">
        <f>结果表!A126</f>
        <v/>
      </c>
      <c r="B12" s="3367"/>
      <c r="C12" s="3367"/>
      <c r="D12" s="3367" t="str">
        <f ca="1">结果表!D126</f>
        <v>——</v>
      </c>
      <c r="E12" s="3367"/>
      <c r="F12" s="3367"/>
      <c r="G12" s="3367"/>
      <c r="H12" s="3367"/>
      <c r="I12" s="3367"/>
    </row>
    <row r="13" ht="15.75" spans="1:9">
      <c r="A13" s="3370" t="s">
        <v>112</v>
      </c>
      <c r="B13" s="3370"/>
      <c r="C13" s="3370"/>
      <c r="D13" s="3371" t="e">
        <f ca="1">结果表!D127</f>
        <v>#VALUE!</v>
      </c>
      <c r="E13" s="3371"/>
      <c r="F13" s="3371"/>
      <c r="G13" s="3371"/>
      <c r="H13" s="3371"/>
      <c r="I13" s="3371"/>
    </row>
    <row r="14" spans="1:9">
      <c r="A14" s="3372" t="s">
        <v>113</v>
      </c>
      <c r="B14" s="3372"/>
      <c r="C14" s="3372"/>
      <c r="D14" s="3372"/>
      <c r="E14" s="3372"/>
      <c r="F14" s="3372"/>
      <c r="G14" s="3372"/>
      <c r="H14" s="3372"/>
      <c r="I14" s="3372"/>
    </row>
    <row r="16" ht="18.75" spans="1:9">
      <c r="A16" s="3373"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2629</v>
      </c>
      <c r="B1" s="390"/>
      <c r="C1" s="390"/>
      <c r="D1" s="390"/>
      <c r="E1" s="390"/>
      <c r="F1" s="390"/>
      <c r="G1" s="390"/>
      <c r="H1" s="390"/>
      <c r="I1" s="390"/>
      <c r="J1" s="390"/>
      <c r="K1" s="390"/>
      <c r="L1" s="390"/>
      <c r="M1" s="390"/>
      <c r="N1" s="390"/>
    </row>
    <row r="2" spans="1:13">
      <c r="A2" s="391" t="s">
        <v>2630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2631</v>
      </c>
      <c r="B103" s="390"/>
      <c r="C103" s="390"/>
      <c r="D103" s="390"/>
      <c r="E103" s="390"/>
      <c r="F103" s="390"/>
      <c r="G103" s="390"/>
      <c r="H103" s="390"/>
      <c r="I103" s="390"/>
      <c r="J103" s="390"/>
      <c r="K103" s="390"/>
      <c r="L103" s="390"/>
      <c r="M103" s="390"/>
      <c r="N103" s="390"/>
    </row>
    <row r="104" ht="14.25" spans="1:14">
      <c r="A104" s="391" t="s">
        <v>2630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2632</v>
      </c>
      <c r="B205" s="390"/>
      <c r="C205" s="390"/>
      <c r="D205" s="390"/>
      <c r="E205" s="390"/>
      <c r="F205" s="390"/>
      <c r="G205" s="390"/>
      <c r="H205" s="390"/>
      <c r="I205" s="390"/>
      <c r="J205" s="390"/>
      <c r="K205" s="390"/>
      <c r="L205" s="390"/>
      <c r="M205" s="390"/>
    </row>
    <row r="206" spans="1:13">
      <c r="A206" s="391" t="s">
        <v>2630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2633</v>
      </c>
      <c r="B307" s="390"/>
      <c r="C307" s="390"/>
      <c r="D307" s="390"/>
      <c r="E307" s="390"/>
      <c r="F307" s="390"/>
      <c r="G307" s="390"/>
      <c r="H307" s="390"/>
      <c r="I307" s="390"/>
      <c r="J307" s="390"/>
      <c r="K307" s="390"/>
      <c r="L307" s="390"/>
      <c r="M307" s="390"/>
    </row>
    <row r="308" spans="1:13">
      <c r="A308" s="391" t="s">
        <v>2630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2634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2635</v>
      </c>
      <c r="D2" s="378" t="s">
        <v>2636</v>
      </c>
      <c r="E2" s="380">
        <f ca="1">SUMIF(E6:E13,"&lt;&gt;#ref!",E6:E13)</f>
        <v>0</v>
      </c>
      <c r="F2" s="377"/>
      <c r="G2" s="377"/>
      <c r="H2" s="377"/>
      <c r="I2" s="377"/>
      <c r="J2" s="377"/>
      <c r="K2" s="377"/>
      <c r="L2" s="377"/>
      <c r="M2" s="377"/>
      <c r="N2" s="377"/>
      <c r="O2" s="377"/>
      <c r="P2" s="377"/>
    </row>
    <row r="3" ht="15.75" spans="1:16">
      <c r="A3" s="378" t="s">
        <v>2637</v>
      </c>
      <c r="B3" s="379" t="e">
        <f ca="1">ROUND(B2*10000/E2,0)</f>
        <v>#DIV/0!</v>
      </c>
      <c r="C3" s="378" t="s">
        <v>2638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2639</v>
      </c>
      <c r="B5" s="383" t="s">
        <v>2640</v>
      </c>
      <c r="C5" s="384"/>
      <c r="D5" s="377"/>
      <c r="E5" s="385" t="s">
        <v>2641</v>
      </c>
      <c r="F5" s="377"/>
      <c r="G5" s="377"/>
      <c r="H5" s="377"/>
      <c r="I5" s="377"/>
      <c r="J5" s="377"/>
      <c r="K5" s="377"/>
      <c r="L5" s="377"/>
      <c r="M5" s="377"/>
      <c r="N5" s="377"/>
      <c r="O5" s="377"/>
      <c r="P5" s="377"/>
    </row>
    <row r="6" spans="1:16">
      <c r="A6" s="386" t="s">
        <v>2642</v>
      </c>
      <c r="B6" s="379" t="e">
        <f ca="1">SUMIF(INDIRECT("'"&amp;A6&amp;"'"&amp;"!A:A"),"总价",INDIRECT("'"&amp;A6&amp;"'"&amp;"!B:B"))</f>
        <v>#DIV/0!</v>
      </c>
      <c r="C6" s="378" t="s">
        <v>2635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2635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2635</v>
      </c>
      <c r="D8" s="377"/>
      <c r="E8" s="380" t="e">
        <f ca="1" t="shared" si="0"/>
        <v>#REF!</v>
      </c>
      <c r="F8" s="377"/>
      <c r="G8" s="377"/>
      <c r="H8" s="377"/>
      <c r="I8" s="377"/>
      <c r="J8" s="377"/>
      <c r="K8" s="377"/>
      <c r="L8" s="377"/>
      <c r="M8" s="377"/>
      <c r="N8" s="377"/>
      <c r="O8" s="377"/>
      <c r="P8" s="377"/>
    </row>
    <row r="9" ht="15.75" spans="1:16">
      <c r="A9" s="386"/>
      <c r="B9" s="379" t="e">
        <f ca="1" t="shared" si="1"/>
        <v>#REF!</v>
      </c>
      <c r="C9" s="378" t="s">
        <v>2635</v>
      </c>
      <c r="D9" s="377"/>
      <c r="E9" s="380" t="e">
        <f ca="1" t="shared" si="0"/>
        <v>#REF!</v>
      </c>
      <c r="F9" s="377"/>
      <c r="G9" s="377"/>
      <c r="H9" s="377"/>
      <c r="I9" s="377"/>
      <c r="J9" s="377"/>
      <c r="K9" s="377"/>
      <c r="L9" s="377"/>
      <c r="M9" s="377"/>
      <c r="N9" s="377"/>
      <c r="O9" s="377"/>
      <c r="P9" s="377"/>
    </row>
    <row r="10" ht="15.75" spans="1:16">
      <c r="A10" s="386"/>
      <c r="B10" s="379" t="e">
        <f ca="1" t="shared" si="1"/>
        <v>#REF!</v>
      </c>
      <c r="C10" s="378" t="s">
        <v>2635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2635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2635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2635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2643</v>
      </c>
      <c r="C1" s="242"/>
      <c r="D1" s="242"/>
      <c r="E1" s="242"/>
      <c r="F1" s="242"/>
      <c r="G1" s="231" t="s">
        <v>2644</v>
      </c>
      <c r="N1" s="231" t="s">
        <v>2645</v>
      </c>
      <c r="S1" s="231" t="s">
        <v>2646</v>
      </c>
      <c r="X1" s="321" t="s">
        <v>2647</v>
      </c>
      <c r="AD1" s="321" t="s">
        <v>2648</v>
      </c>
    </row>
    <row r="2" s="232" customFormat="1" ht="14.25" spans="2:34">
      <c r="B2" s="243" t="s">
        <v>2649</v>
      </c>
      <c r="C2" s="243" t="s">
        <v>2650</v>
      </c>
      <c r="D2" s="244" t="s">
        <v>462</v>
      </c>
      <c r="E2" s="244" t="s">
        <v>2430</v>
      </c>
      <c r="F2" s="243" t="s">
        <v>2651</v>
      </c>
      <c r="G2" s="245"/>
      <c r="I2" s="243" t="s">
        <v>2649</v>
      </c>
      <c r="J2" s="244" t="s">
        <v>2652</v>
      </c>
      <c r="K2" s="244" t="s">
        <v>2430</v>
      </c>
      <c r="L2" s="243" t="s">
        <v>2651</v>
      </c>
      <c r="N2" s="243" t="s">
        <v>2649</v>
      </c>
      <c r="O2" s="244" t="s">
        <v>2652</v>
      </c>
      <c r="P2" s="244" t="s">
        <v>2430</v>
      </c>
      <c r="Q2" s="243" t="s">
        <v>2651</v>
      </c>
      <c r="S2" s="243" t="s">
        <v>2649</v>
      </c>
      <c r="T2" s="244" t="s">
        <v>2652</v>
      </c>
      <c r="U2" s="244" t="s">
        <v>2430</v>
      </c>
      <c r="V2" s="243" t="s">
        <v>2651</v>
      </c>
      <c r="X2" s="243" t="s">
        <v>2649</v>
      </c>
      <c r="Y2" s="243" t="s">
        <v>2650</v>
      </c>
      <c r="Z2" s="244" t="s">
        <v>462</v>
      </c>
      <c r="AA2" s="244" t="s">
        <v>2430</v>
      </c>
      <c r="AB2" s="243" t="s">
        <v>2651</v>
      </c>
      <c r="AD2" s="243" t="s">
        <v>2649</v>
      </c>
      <c r="AE2" s="243" t="s">
        <v>2650</v>
      </c>
      <c r="AF2" s="244" t="s">
        <v>462</v>
      </c>
      <c r="AG2" s="244" t="s">
        <v>2430</v>
      </c>
      <c r="AH2" s="243" t="s">
        <v>2651</v>
      </c>
    </row>
    <row r="3" s="233" customFormat="1" ht="14.25" spans="1:34">
      <c r="A3" s="246" t="s">
        <v>2653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2654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2655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2656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2657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2658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2659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2660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2661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2662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2663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2664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2665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2666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2667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2668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2669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2670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2671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2672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2673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2674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2675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2676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2677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2678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2679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2680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2681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2682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2683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2684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2685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2686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2687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2688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2689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2690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2691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2692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2693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2694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2695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2696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2697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2698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2699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2700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2701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2702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2703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2704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2705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2706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2707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2708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2709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2710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2711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2712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2713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2714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2715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2716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2717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2718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2719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2720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2721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2722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2723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2724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2725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2726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2727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2728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2729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2730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2731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2732</v>
      </c>
      <c r="G83" s="355"/>
      <c r="N83" s="355"/>
      <c r="S83" s="355"/>
    </row>
    <row r="84" s="239" customFormat="1" spans="1:19">
      <c r="A84" s="239" t="s">
        <v>2733</v>
      </c>
      <c r="G84" s="355"/>
      <c r="N84" s="355"/>
      <c r="S84" s="355"/>
    </row>
    <row r="85" s="239" customFormat="1" spans="1:22">
      <c r="A85" s="239" t="s">
        <v>2734</v>
      </c>
      <c r="G85" s="355"/>
      <c r="I85" s="362"/>
      <c r="J85" s="362"/>
      <c r="K85" s="362"/>
      <c r="L85" s="362"/>
      <c r="N85" s="363"/>
      <c r="O85" s="362"/>
      <c r="P85" s="362"/>
      <c r="Q85" s="362"/>
      <c r="S85" s="363"/>
      <c r="T85" s="362"/>
      <c r="U85" s="362"/>
      <c r="V85" s="362"/>
    </row>
    <row r="86" s="239" customFormat="1" spans="1:19">
      <c r="A86" s="239" t="s">
        <v>2735</v>
      </c>
      <c r="G86" s="355"/>
      <c r="N86" s="355"/>
      <c r="S86" s="355"/>
    </row>
    <row r="93" ht="13.5"/>
    <row r="94" spans="7:22">
      <c r="G94" s="240"/>
      <c r="S94" s="366" t="s">
        <v>2736</v>
      </c>
      <c r="T94" s="367" t="s">
        <v>2737</v>
      </c>
      <c r="U94" s="367" t="s">
        <v>2738</v>
      </c>
      <c r="V94" s="367" t="s">
        <v>2739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2740</v>
      </c>
      <c r="B1" s="144"/>
      <c r="C1" s="145"/>
      <c r="D1" s="145"/>
      <c r="E1" s="145"/>
      <c r="F1" s="145"/>
      <c r="G1" s="146"/>
    </row>
    <row r="2" s="135" customFormat="1" ht="18" customHeight="1" spans="1:7">
      <c r="A2" s="147" t="s">
        <v>2741</v>
      </c>
      <c r="B2" s="148">
        <f ca="1">C52</f>
        <v>61826</v>
      </c>
      <c r="C2" s="149" t="s">
        <v>2742</v>
      </c>
      <c r="D2" s="146"/>
      <c r="E2" s="146"/>
      <c r="F2" s="146"/>
      <c r="G2" s="146"/>
    </row>
    <row r="3" s="135" customFormat="1" ht="18" customHeight="1" spans="1:7">
      <c r="A3" s="150" t="s">
        <v>2743</v>
      </c>
      <c r="B3" s="151">
        <f ca="1">ROUND(B2*10000/'数据-汇总表'!E3,0)</f>
        <v>9304</v>
      </c>
      <c r="C3" s="149" t="s">
        <v>2744</v>
      </c>
      <c r="D3" s="146"/>
      <c r="E3" s="146"/>
      <c r="F3" s="146"/>
      <c r="G3" s="146"/>
    </row>
    <row r="4" s="136" customFormat="1" ht="15.75" spans="1:7">
      <c r="A4" s="152" t="s">
        <v>2745</v>
      </c>
      <c r="B4" s="153"/>
      <c r="C4" s="153"/>
      <c r="D4" s="153"/>
      <c r="E4" s="153"/>
      <c r="F4" s="153"/>
      <c r="G4" s="154"/>
    </row>
    <row r="5" s="137" customFormat="1" ht="13.5" customHeight="1" spans="1:7">
      <c r="A5" s="155" t="s">
        <v>1937</v>
      </c>
      <c r="B5" s="156" t="s">
        <v>2746</v>
      </c>
      <c r="C5" s="157">
        <f>C6+C7+C8</f>
        <v>20610</v>
      </c>
      <c r="D5" s="157" t="s">
        <v>2747</v>
      </c>
      <c r="E5" s="158" t="s">
        <v>2748</v>
      </c>
      <c r="F5" s="158" t="s">
        <v>2749</v>
      </c>
      <c r="G5" s="159"/>
    </row>
    <row r="6" s="137" customFormat="1" ht="13.5" customHeight="1" spans="1:7">
      <c r="A6" s="160" t="s">
        <v>1941</v>
      </c>
      <c r="B6" s="161" t="s">
        <v>2750</v>
      </c>
      <c r="C6" s="162">
        <v>20000</v>
      </c>
      <c r="D6" s="163"/>
      <c r="E6" s="164"/>
      <c r="F6" s="164"/>
      <c r="G6" s="165"/>
    </row>
    <row r="7" s="137" customFormat="1" ht="13.5" customHeight="1" spans="1:7">
      <c r="A7" s="160" t="s">
        <v>1943</v>
      </c>
      <c r="B7" s="161" t="s">
        <v>2751</v>
      </c>
      <c r="C7" s="166">
        <f>ROUND(C6*F7,0)</f>
        <v>610</v>
      </c>
      <c r="D7" s="166"/>
      <c r="E7" s="164"/>
      <c r="F7" s="167">
        <f>'数据-取费表'!B48+'数据-取费表'!B49</f>
        <v>0.0305</v>
      </c>
      <c r="G7" s="165"/>
    </row>
    <row r="8" s="138" customFormat="1" spans="1:7">
      <c r="A8" s="160" t="s">
        <v>1945</v>
      </c>
      <c r="B8" s="161" t="s">
        <v>2752</v>
      </c>
      <c r="C8" s="166" t="str">
        <f>IF(G8="已包含在土地购买价格中","0",'数据-取费表'!B29)</f>
        <v>0</v>
      </c>
      <c r="D8" s="168"/>
      <c r="E8" s="166"/>
      <c r="F8" s="167"/>
      <c r="G8" s="169" t="s">
        <v>2753</v>
      </c>
    </row>
    <row r="9" s="137" customFormat="1" ht="13.5" customHeight="1" spans="1:7">
      <c r="A9" s="170" t="s">
        <v>1605</v>
      </c>
      <c r="B9" s="171" t="s">
        <v>2754</v>
      </c>
      <c r="C9" s="172">
        <f>ROUND(D9*E9/10000,0)</f>
        <v>0</v>
      </c>
      <c r="D9" s="173">
        <f>'数据-汇总表'!E5</f>
        <v>0</v>
      </c>
      <c r="E9" s="172">
        <f>'数据-取费表'!B27</f>
        <v>160</v>
      </c>
      <c r="F9" s="167"/>
      <c r="G9" s="174"/>
    </row>
    <row r="10" s="137" customFormat="1" ht="13.5" customHeight="1" spans="1:7">
      <c r="A10" s="170" t="s">
        <v>1612</v>
      </c>
      <c r="B10" s="171" t="s">
        <v>2755</v>
      </c>
      <c r="C10" s="172">
        <f>ROUND(D10*E10/10000,0)</f>
        <v>1329</v>
      </c>
      <c r="D10" s="173">
        <f>'数据-汇总表'!E6</f>
        <v>66448.33</v>
      </c>
      <c r="E10" s="172">
        <f>'数据-取费表'!B28</f>
        <v>200</v>
      </c>
      <c r="F10" s="167"/>
      <c r="G10" s="174"/>
    </row>
    <row r="11" s="137" customFormat="1" ht="13.5" hidden="1" customHeight="1" spans="1:7">
      <c r="A11" s="175" t="s">
        <v>1950</v>
      </c>
      <c r="B11" s="161" t="s">
        <v>2756</v>
      </c>
      <c r="C11" s="157"/>
      <c r="D11" s="176"/>
      <c r="E11" s="164"/>
      <c r="F11" s="164"/>
      <c r="G11" s="165"/>
    </row>
    <row r="12" s="137" customFormat="1" ht="13.5" hidden="1" customHeight="1" spans="1:7">
      <c r="A12" s="175" t="s">
        <v>1952</v>
      </c>
      <c r="B12" s="161" t="s">
        <v>2757</v>
      </c>
      <c r="C12" s="157">
        <v>0</v>
      </c>
      <c r="D12" s="176"/>
      <c r="E12" s="177"/>
      <c r="F12" s="167">
        <v>0.0305</v>
      </c>
      <c r="G12" s="165"/>
    </row>
    <row r="13" s="137" customFormat="1" ht="13.5" hidden="1" customHeight="1" spans="1:7">
      <c r="A13" s="175" t="s">
        <v>1953</v>
      </c>
      <c r="B13" s="161" t="s">
        <v>2758</v>
      </c>
      <c r="C13" s="157"/>
      <c r="D13" s="176"/>
      <c r="E13" s="164"/>
      <c r="F13" s="164"/>
      <c r="G13" s="165"/>
    </row>
    <row r="14" s="137" customFormat="1" ht="13.5" hidden="1" customHeight="1" spans="1:7">
      <c r="A14" s="175" t="s">
        <v>1955</v>
      </c>
      <c r="B14" s="161" t="s">
        <v>2752</v>
      </c>
      <c r="C14" s="157"/>
      <c r="D14" s="176"/>
      <c r="E14" s="164"/>
      <c r="F14" s="164"/>
      <c r="G14" s="165" t="s">
        <v>2759</v>
      </c>
    </row>
    <row r="15" s="137" customFormat="1" ht="13.5" hidden="1" customHeight="1" spans="1:7">
      <c r="A15" s="175" t="s">
        <v>1957</v>
      </c>
      <c r="B15" s="161" t="s">
        <v>2760</v>
      </c>
      <c r="C15" s="166"/>
      <c r="D15" s="176"/>
      <c r="E15" s="164"/>
      <c r="F15" s="164"/>
      <c r="G15" s="165" t="s">
        <v>2761</v>
      </c>
    </row>
    <row r="16" s="137" customFormat="1" ht="13.5" hidden="1" customHeight="1" spans="1:7">
      <c r="A16" s="175" t="s">
        <v>1960</v>
      </c>
      <c r="B16" s="161" t="s">
        <v>2752</v>
      </c>
      <c r="C16" s="166"/>
      <c r="D16" s="176"/>
      <c r="E16" s="164"/>
      <c r="F16" s="164"/>
      <c r="G16" s="165"/>
    </row>
    <row r="17" s="137" customFormat="1" ht="13.5" hidden="1" customHeight="1" spans="1:7">
      <c r="A17" s="175" t="s">
        <v>1961</v>
      </c>
      <c r="B17" s="161" t="s">
        <v>2762</v>
      </c>
      <c r="C17" s="178"/>
      <c r="D17" s="179"/>
      <c r="E17" s="178"/>
      <c r="F17" s="178"/>
      <c r="G17" s="165" t="s">
        <v>2761</v>
      </c>
    </row>
    <row r="18" s="137" customFormat="1" ht="13.5" hidden="1" customHeight="1" spans="1:7">
      <c r="A18" s="175" t="s">
        <v>1963</v>
      </c>
      <c r="B18" s="161" t="s">
        <v>2763</v>
      </c>
      <c r="C18" s="166">
        <v>0</v>
      </c>
      <c r="D18" s="176"/>
      <c r="E18" s="164"/>
      <c r="F18" s="167">
        <v>0.0305</v>
      </c>
      <c r="G18" s="165" t="s">
        <v>2764</v>
      </c>
    </row>
    <row r="19" s="138" customFormat="1" ht="13.5" customHeight="1" spans="1:7">
      <c r="A19" s="180" t="s">
        <v>2131</v>
      </c>
      <c r="B19" s="156" t="s">
        <v>2765</v>
      </c>
      <c r="C19" s="157">
        <f>IF(G19="已包含在土地取得成本中","0",ROUND(D19*E19/10000,0))</f>
        <v>1329</v>
      </c>
      <c r="D19" s="181">
        <f>'数据-汇总表'!E3</f>
        <v>66448.33</v>
      </c>
      <c r="E19" s="157">
        <f>'数据-取费表'!B31</f>
        <v>200</v>
      </c>
      <c r="F19" s="182"/>
      <c r="G19" s="169" t="s">
        <v>2766</v>
      </c>
    </row>
    <row r="20" s="137" customFormat="1" ht="13.5" customHeight="1" spans="1:7">
      <c r="A20" s="180" t="s">
        <v>2767</v>
      </c>
      <c r="B20" s="156" t="s">
        <v>2768</v>
      </c>
      <c r="C20" s="183">
        <f>ROUND((C5+C19)*F20,0)</f>
        <v>439</v>
      </c>
      <c r="D20" s="183"/>
      <c r="E20" s="183"/>
      <c r="F20" s="184">
        <f>'数据-取费表'!B37</f>
        <v>0.02</v>
      </c>
      <c r="G20" s="185" t="s">
        <v>2769</v>
      </c>
    </row>
    <row r="21" s="137" customFormat="1" ht="13.5" customHeight="1" spans="1:7">
      <c r="A21" s="180" t="s">
        <v>2770</v>
      </c>
      <c r="B21" s="156" t="s">
        <v>2771</v>
      </c>
      <c r="C21" s="186">
        <f>F21</f>
        <v>0.02</v>
      </c>
      <c r="D21" s="187" t="s">
        <v>2772</v>
      </c>
      <c r="E21" s="183"/>
      <c r="F21" s="184">
        <f>'数据-取费表'!B38</f>
        <v>0.02</v>
      </c>
      <c r="G21" s="188" t="s">
        <v>2773</v>
      </c>
    </row>
    <row r="22" s="137" customFormat="1" ht="13.5" customHeight="1" spans="1:7">
      <c r="A22" s="180" t="s">
        <v>2774</v>
      </c>
      <c r="B22" s="156" t="s">
        <v>2775</v>
      </c>
      <c r="C22" s="189">
        <f ca="1">ROUND(SUM(C23:C25),0)</f>
        <v>2154</v>
      </c>
      <c r="D22" s="186">
        <f ca="1">C26</f>
        <v>0.001</v>
      </c>
      <c r="E22" s="187" t="s">
        <v>2772</v>
      </c>
      <c r="F22" s="190">
        <f ca="1">'数据-取费表'!B40</f>
        <v>0.0475</v>
      </c>
      <c r="G22" s="185" t="str">
        <f>IF('数据-取费表'!B22&lt;=1,"单利计息","复利计息")</f>
        <v>复利计息</v>
      </c>
    </row>
    <row r="23" s="137" customFormat="1" ht="13.5" customHeight="1" spans="1:7">
      <c r="A23" s="191" t="s">
        <v>1941</v>
      </c>
      <c r="B23" s="161" t="s">
        <v>2776</v>
      </c>
      <c r="C23" s="192">
        <f ca="1">ROUND(IF('数据-取费表'!B22&lt;=1,C5*F22*'数据-取费表'!B23,C5*(POWER((1+F22),'数据-取费表'!B23)-1)),0)</f>
        <v>2004</v>
      </c>
      <c r="D23" s="193"/>
      <c r="E23" s="193"/>
      <c r="F23" s="194"/>
      <c r="G23" s="195" t="s">
        <v>2777</v>
      </c>
    </row>
    <row r="24" s="137" customFormat="1" ht="13.5" customHeight="1" spans="1:7">
      <c r="A24" s="191" t="s">
        <v>1943</v>
      </c>
      <c r="B24" s="161" t="s">
        <v>2778</v>
      </c>
      <c r="C24" s="192">
        <f ca="1">ROUND(IF('数据-取费表'!B22&lt;=1,C19*F22*('数据-取费表'!B19/2+'数据-取费表'!B21),C19*(POWER((1+F22),('数据-取费表'!B19/2+'数据-取费表'!B21))-1)),0)</f>
        <v>129</v>
      </c>
      <c r="D24" s="193"/>
      <c r="E24" s="193"/>
      <c r="F24" s="194"/>
      <c r="G24" s="195" t="s">
        <v>2779</v>
      </c>
    </row>
    <row r="25" s="137" customFormat="1" ht="24" spans="1:7">
      <c r="A25" s="191" t="s">
        <v>1945</v>
      </c>
      <c r="B25" s="161" t="s">
        <v>2780</v>
      </c>
      <c r="C25" s="192">
        <f ca="1">ROUND(IF('数据-取费表'!B22&lt;=1,C20*F22*'数据-取费表'!B23/2,C20*(POWER((1+F22),'数据-取费表'!B23/2)-1)),0)</f>
        <v>21</v>
      </c>
      <c r="D25" s="193"/>
      <c r="E25" s="196"/>
      <c r="F25" s="194"/>
      <c r="G25" s="197" t="s">
        <v>2781</v>
      </c>
    </row>
    <row r="26" s="137" customFormat="1" spans="1:7">
      <c r="A26" s="191" t="s">
        <v>1983</v>
      </c>
      <c r="B26" s="161" t="s">
        <v>2782</v>
      </c>
      <c r="C26" s="193">
        <f ca="1">ROUND(IF('数据-取费表'!B22&lt;=1,F21*F22*'数据-取费表'!B23/2,F21*(POWER((1+F22),'数据-取费表'!B23/2)-1)),4)</f>
        <v>0.001</v>
      </c>
      <c r="D26" s="193"/>
      <c r="E26" s="196"/>
      <c r="F26" s="194"/>
      <c r="G26" s="198"/>
    </row>
    <row r="27" s="137" customFormat="1" ht="24.75" spans="1:7">
      <c r="A27" s="180" t="s">
        <v>2783</v>
      </c>
      <c r="B27" s="199" t="s">
        <v>2784</v>
      </c>
      <c r="C27" s="200">
        <f>C28</f>
        <v>4476</v>
      </c>
      <c r="D27" s="186">
        <f>C29</f>
        <v>0.004</v>
      </c>
      <c r="E27" s="187" t="s">
        <v>2772</v>
      </c>
      <c r="F27" s="201">
        <f>'数据-取费表'!Q16</f>
        <v>0.2</v>
      </c>
      <c r="G27" s="202" t="s">
        <v>2785</v>
      </c>
    </row>
    <row r="28" s="137" customFormat="1" ht="13.5" customHeight="1" spans="1:7">
      <c r="A28" s="191" t="s">
        <v>1941</v>
      </c>
      <c r="B28" s="203" t="s">
        <v>2786</v>
      </c>
      <c r="C28" s="204">
        <f>ROUND((C5+C19+C20)*F27*'数据-取费表'!B21/'数据-取费表'!B20,0)</f>
        <v>4476</v>
      </c>
      <c r="D28" s="186"/>
      <c r="E28" s="187"/>
      <c r="F28" s="201"/>
      <c r="G28" s="202"/>
    </row>
    <row r="29" s="137" customFormat="1" ht="13.5" customHeight="1" spans="1:7">
      <c r="A29" s="191" t="s">
        <v>1943</v>
      </c>
      <c r="B29" s="203" t="s">
        <v>2787</v>
      </c>
      <c r="C29" s="193">
        <f>ROUND(C21*F27*'数据-取费表'!B21/'数据-取费表'!B20,4)</f>
        <v>0.004</v>
      </c>
      <c r="D29" s="186"/>
      <c r="E29" s="187"/>
      <c r="F29" s="201"/>
      <c r="G29" s="202"/>
    </row>
    <row r="30" s="137" customFormat="1" ht="13.5" customHeight="1" spans="1:7">
      <c r="A30" s="180" t="s">
        <v>2788</v>
      </c>
      <c r="B30" s="156" t="s">
        <v>2789</v>
      </c>
      <c r="C30" s="186">
        <f>F30</f>
        <v>0.056</v>
      </c>
      <c r="D30" s="187" t="s">
        <v>2790</v>
      </c>
      <c r="E30" s="196"/>
      <c r="F30" s="190">
        <f>'数据-取费表'!B41</f>
        <v>0.056</v>
      </c>
      <c r="G30" s="188" t="s">
        <v>2791</v>
      </c>
    </row>
    <row r="31" ht="16.5" customHeight="1" spans="1:7">
      <c r="A31" s="205">
        <v>1</v>
      </c>
      <c r="B31" s="156" t="s">
        <v>2792</v>
      </c>
      <c r="C31" s="157">
        <f ca="1">ROUND((C5+C19+C20+C22+C27)/(1-C21-D22-D27-C30/(1+'数据-取费表'!B42)),0)</f>
        <v>31473</v>
      </c>
      <c r="D31" s="206"/>
      <c r="E31" s="157"/>
      <c r="F31" s="207"/>
      <c r="G31" s="188" t="s">
        <v>2793</v>
      </c>
    </row>
    <row r="32" s="136" customFormat="1" ht="15.75" spans="1:7">
      <c r="A32" s="208" t="s">
        <v>2794</v>
      </c>
      <c r="B32" s="209"/>
      <c r="C32" s="209"/>
      <c r="D32" s="209"/>
      <c r="E32" s="209"/>
      <c r="F32" s="209"/>
      <c r="G32" s="210"/>
    </row>
    <row r="33" s="137" customFormat="1" ht="13.5" customHeight="1" spans="1:7">
      <c r="A33" s="155" t="s">
        <v>1937</v>
      </c>
      <c r="B33" s="156" t="s">
        <v>2795</v>
      </c>
      <c r="C33" s="211">
        <f>SUM(C34:C38)</f>
        <v>25865</v>
      </c>
      <c r="D33" s="183"/>
      <c r="E33" s="158"/>
      <c r="F33" s="196"/>
      <c r="G33" s="188"/>
    </row>
    <row r="34" s="139" customFormat="1" ht="13.5" customHeight="1" spans="1:7">
      <c r="A34" s="191" t="s">
        <v>1941</v>
      </c>
      <c r="B34" s="161" t="s">
        <v>2796</v>
      </c>
      <c r="C34" s="166">
        <f>IF(F34=100%,'数据-取费表'!M16-SUMIF('数据-取费表'!C:C,"公共配套",'数据-取费表'!M:M),'数据-取费表'!O16-SUMIF('数据-取费表'!C:C,"公共配套",'数据-取费表'!O:O))</f>
        <v>23257</v>
      </c>
      <c r="D34" s="163"/>
      <c r="E34" s="166"/>
      <c r="F34" s="212">
        <f>IF('数据-取费表'!B24=0,1,'数据-取费表'!N16)</f>
        <v>1</v>
      </c>
      <c r="G34" s="165" t="s">
        <v>2797</v>
      </c>
    </row>
    <row r="35" ht="13.5" customHeight="1" spans="1:7">
      <c r="A35" s="191" t="s">
        <v>1943</v>
      </c>
      <c r="B35" s="161" t="s">
        <v>2798</v>
      </c>
      <c r="C35" s="166">
        <f>ROUND(C34*F35,0)</f>
        <v>930</v>
      </c>
      <c r="D35" s="166"/>
      <c r="E35" s="166"/>
      <c r="F35" s="213">
        <f>'数据-取费表'!B33</f>
        <v>0.04</v>
      </c>
      <c r="G35" s="165" t="s">
        <v>2799</v>
      </c>
    </row>
    <row r="36" ht="24" spans="1:7">
      <c r="A36" s="191" t="s">
        <v>1945</v>
      </c>
      <c r="B36" s="161" t="s">
        <v>2800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2801</v>
      </c>
    </row>
    <row r="37" s="139" customFormat="1" ht="13.5" customHeight="1" spans="1:7">
      <c r="A37" s="191" t="s">
        <v>1983</v>
      </c>
      <c r="B37" s="161" t="s">
        <v>2802</v>
      </c>
      <c r="C37" s="204">
        <f>ROUND(E37*D37*F34/10000,0)</f>
        <v>1329</v>
      </c>
      <c r="D37" s="163">
        <f>'数据-汇总表'!E3</f>
        <v>66448.33</v>
      </c>
      <c r="E37" s="204">
        <f>'数据-取费表'!B35</f>
        <v>200</v>
      </c>
      <c r="F37" s="213"/>
      <c r="G37" s="215" t="s">
        <v>2803</v>
      </c>
    </row>
    <row r="38" ht="13.5" customHeight="1" spans="1:7">
      <c r="A38" s="191" t="s">
        <v>2005</v>
      </c>
      <c r="B38" s="161" t="s">
        <v>2757</v>
      </c>
      <c r="C38" s="166">
        <f>ROUND(C34*F38,0)</f>
        <v>349</v>
      </c>
      <c r="D38" s="166"/>
      <c r="E38" s="166"/>
      <c r="F38" s="213">
        <f>'数据-取费表'!B36</f>
        <v>0.015</v>
      </c>
      <c r="G38" s="165" t="s">
        <v>2799</v>
      </c>
    </row>
    <row r="39" s="137" customFormat="1" ht="13.5" customHeight="1" spans="1:7">
      <c r="A39" s="180" t="s">
        <v>2131</v>
      </c>
      <c r="B39" s="156" t="s">
        <v>2768</v>
      </c>
      <c r="C39" s="183">
        <f>ROUND(C33*F20,0)</f>
        <v>517</v>
      </c>
      <c r="D39" s="183"/>
      <c r="E39" s="183"/>
      <c r="F39" s="184"/>
      <c r="G39" s="185" t="s">
        <v>2804</v>
      </c>
    </row>
    <row r="40" s="137" customFormat="1" ht="13.5" customHeight="1" spans="1:7">
      <c r="A40" s="180" t="s">
        <v>2767</v>
      </c>
      <c r="B40" s="156" t="s">
        <v>2771</v>
      </c>
      <c r="C40" s="216">
        <f>F21</f>
        <v>0.02</v>
      </c>
      <c r="D40" s="187" t="s">
        <v>2805</v>
      </c>
      <c r="E40" s="183"/>
      <c r="F40" s="184"/>
      <c r="G40" s="188" t="s">
        <v>2806</v>
      </c>
    </row>
    <row r="41" s="137" customFormat="1" ht="13.5" customHeight="1" spans="1:7">
      <c r="A41" s="180" t="s">
        <v>2770</v>
      </c>
      <c r="B41" s="156" t="s">
        <v>2775</v>
      </c>
      <c r="C41" s="183">
        <f ca="1">ROUND(SUM(C42:C43),0)</f>
        <v>1254</v>
      </c>
      <c r="D41" s="186">
        <f ca="1">C44</f>
        <v>0.001</v>
      </c>
      <c r="E41" s="187" t="s">
        <v>2805</v>
      </c>
      <c r="F41" s="190"/>
      <c r="G41" s="185" t="str">
        <f>IF('数据-取费表'!B22&lt;=1,"单利计息","复利计息")</f>
        <v>复利计息</v>
      </c>
    </row>
    <row r="42" ht="13.5" customHeight="1" spans="1:7">
      <c r="A42" s="191" t="s">
        <v>1941</v>
      </c>
      <c r="B42" s="161" t="s">
        <v>2776</v>
      </c>
      <c r="C42" s="193">
        <f ca="1">ROUND(IF('数据-取费表'!B22&lt;=1,C33*F22*'数据-取费表'!B21/2,C33*(POWER((1+F22),'数据-取费表'!B21/2)-1)),0)</f>
        <v>1229</v>
      </c>
      <c r="D42" s="193"/>
      <c r="E42" s="193"/>
      <c r="F42" s="194"/>
      <c r="G42" s="217" t="s">
        <v>2807</v>
      </c>
    </row>
    <row r="43" ht="13.5" customHeight="1" spans="1:7">
      <c r="A43" s="191" t="s">
        <v>1943</v>
      </c>
      <c r="B43" s="161" t="s">
        <v>2778</v>
      </c>
      <c r="C43" s="193">
        <f ca="1">ROUND(IF('数据-取费表'!B22&lt;=1,C39*F22*'数据-取费表'!B21/2,C39*(POWER((1+F22),'数据-取费表'!B21/2)-1)),0)</f>
        <v>25</v>
      </c>
      <c r="D43" s="193"/>
      <c r="E43" s="193"/>
      <c r="F43" s="194"/>
      <c r="G43" s="218"/>
    </row>
    <row r="44" ht="13.5" customHeight="1" spans="1:7">
      <c r="A44" s="191" t="s">
        <v>1945</v>
      </c>
      <c r="B44" s="161" t="s">
        <v>2780</v>
      </c>
      <c r="C44" s="193">
        <f ca="1">ROUND(IF('数据-取费表'!B22&lt;=1,C40*F22*'数据-取费表'!B21/2,C40*(POWER((1+F22),'数据-取费表'!B21/2)-1)),4)</f>
        <v>0.001</v>
      </c>
      <c r="D44" s="193"/>
      <c r="E44" s="193"/>
      <c r="F44" s="194"/>
      <c r="G44" s="219"/>
    </row>
    <row r="45" s="137" customFormat="1" ht="13.5" customHeight="1" spans="1:7">
      <c r="A45" s="180" t="s">
        <v>2774</v>
      </c>
      <c r="B45" s="199" t="s">
        <v>2784</v>
      </c>
      <c r="C45" s="200">
        <f>C46</f>
        <v>5276</v>
      </c>
      <c r="D45" s="186">
        <f>C47</f>
        <v>0.004</v>
      </c>
      <c r="E45" s="187" t="s">
        <v>2805</v>
      </c>
      <c r="F45" s="201"/>
      <c r="G45" s="202" t="s">
        <v>2808</v>
      </c>
    </row>
    <row r="46" s="137" customFormat="1" ht="13.5" customHeight="1" spans="1:7">
      <c r="A46" s="191" t="s">
        <v>1941</v>
      </c>
      <c r="B46" s="203" t="s">
        <v>2809</v>
      </c>
      <c r="C46" s="204">
        <f>ROUND((C33+C39)*F27,0)</f>
        <v>5276</v>
      </c>
      <c r="D46" s="220"/>
      <c r="E46" s="187"/>
      <c r="F46" s="201"/>
      <c r="G46" s="202"/>
    </row>
    <row r="47" s="137" customFormat="1" ht="13.5" customHeight="1" spans="1:7">
      <c r="A47" s="191" t="s">
        <v>1943</v>
      </c>
      <c r="B47" s="203" t="s">
        <v>2810</v>
      </c>
      <c r="C47" s="193">
        <f>ROUND(C40*F27,4)</f>
        <v>0.004</v>
      </c>
      <c r="D47" s="220"/>
      <c r="E47" s="187"/>
      <c r="F47" s="201"/>
      <c r="G47" s="202"/>
    </row>
    <row r="48" s="137" customFormat="1" ht="13.5" customHeight="1" spans="1:7">
      <c r="A48" s="180" t="s">
        <v>2783</v>
      </c>
      <c r="B48" s="156" t="s">
        <v>2789</v>
      </c>
      <c r="C48" s="216">
        <f>F30</f>
        <v>0.056</v>
      </c>
      <c r="D48" s="187" t="s">
        <v>2811</v>
      </c>
      <c r="E48" s="183"/>
      <c r="F48" s="190"/>
      <c r="G48" s="188" t="s">
        <v>2812</v>
      </c>
    </row>
    <row r="49" ht="16.5" customHeight="1" spans="1:7">
      <c r="A49" s="180" t="s">
        <v>2788</v>
      </c>
      <c r="B49" s="156" t="s">
        <v>2813</v>
      </c>
      <c r="C49" s="183">
        <f ca="1">ROUND((C33+C39+C41+C45)/(1-C40-D41-D45-C48/(1+'数据-取费表'!B42)),0)</f>
        <v>35709</v>
      </c>
      <c r="D49" s="183"/>
      <c r="E49" s="183"/>
      <c r="F49" s="221"/>
      <c r="G49" s="188" t="s">
        <v>2814</v>
      </c>
    </row>
    <row r="50" s="139" customFormat="1" ht="24" spans="1:7">
      <c r="A50" s="180" t="s">
        <v>2815</v>
      </c>
      <c r="B50" s="156" t="s">
        <v>2816</v>
      </c>
      <c r="C50" s="183"/>
      <c r="D50" s="183"/>
      <c r="E50" s="183"/>
      <c r="F50" s="221">
        <f>IF('数据-取费表'!B24=0,'数据-取费表'!N16,1)</f>
        <v>0.85</v>
      </c>
      <c r="G50" s="202" t="s">
        <v>2817</v>
      </c>
    </row>
    <row r="51" ht="16.5" customHeight="1" spans="1:7">
      <c r="A51" s="180" t="s">
        <v>2818</v>
      </c>
      <c r="B51" s="156" t="s">
        <v>2819</v>
      </c>
      <c r="C51" s="183">
        <f ca="1">ROUND(C49*F50,0)</f>
        <v>30353</v>
      </c>
      <c r="D51" s="183"/>
      <c r="E51" s="183"/>
      <c r="F51" s="221"/>
      <c r="G51" s="188" t="s">
        <v>2820</v>
      </c>
    </row>
    <row r="52" s="136" customFormat="1" ht="16.5" spans="1:7">
      <c r="A52" s="222" t="s">
        <v>2821</v>
      </c>
      <c r="B52" s="223"/>
      <c r="C52" s="224">
        <f ca="1">C31+C51</f>
        <v>61826</v>
      </c>
      <c r="D52" s="223"/>
      <c r="E52" s="223"/>
      <c r="F52" s="223"/>
      <c r="G52" s="225"/>
    </row>
    <row r="55" ht="15" spans="2:3">
      <c r="B55" s="226" t="s">
        <v>2822</v>
      </c>
      <c r="C55" s="227"/>
    </row>
    <row r="56" spans="2:3">
      <c r="B56" s="228" t="s">
        <v>2823</v>
      </c>
      <c r="C56" s="229">
        <f ca="1">ROUND(C51/C52,3)</f>
        <v>0.491</v>
      </c>
    </row>
    <row r="57" spans="2:3">
      <c r="B57" s="228" t="s">
        <v>2824</v>
      </c>
      <c r="C57" s="230">
        <f ca="1">1-C56</f>
        <v>0.509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2825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2826</v>
      </c>
      <c r="B2" s="115"/>
      <c r="C2" s="115"/>
      <c r="D2" s="115"/>
      <c r="E2" s="115"/>
      <c r="F2" s="115"/>
      <c r="H2" s="116" t="s">
        <v>2827</v>
      </c>
      <c r="I2" s="91" t="s">
        <v>2828</v>
      </c>
      <c r="J2" s="91" t="s">
        <v>2829</v>
      </c>
      <c r="K2" s="91" t="s">
        <v>2830</v>
      </c>
      <c r="L2" s="91" t="s">
        <v>2831</v>
      </c>
      <c r="M2" s="91" t="s">
        <v>2832</v>
      </c>
      <c r="N2" s="91" t="s">
        <v>2833</v>
      </c>
      <c r="O2" s="91" t="s">
        <v>2834</v>
      </c>
      <c r="P2" s="91" t="s">
        <v>2835</v>
      </c>
      <c r="Q2" s="91" t="s">
        <v>2836</v>
      </c>
      <c r="R2" s="91" t="s">
        <v>2837</v>
      </c>
      <c r="S2" s="91" t="s">
        <v>2838</v>
      </c>
    </row>
    <row r="3" s="112" customFormat="1" ht="19.5" customHeight="1" spans="1:19">
      <c r="A3" s="117" t="s">
        <v>2839</v>
      </c>
      <c r="B3" s="118"/>
      <c r="C3" s="119" t="s">
        <v>461</v>
      </c>
      <c r="D3" s="119" t="s">
        <v>462</v>
      </c>
      <c r="E3" s="119" t="s">
        <v>2430</v>
      </c>
      <c r="F3" s="119" t="s">
        <v>2431</v>
      </c>
      <c r="G3" s="120"/>
      <c r="H3" s="116" t="s">
        <v>2840</v>
      </c>
      <c r="I3" s="91" t="s">
        <v>2841</v>
      </c>
      <c r="J3" s="91" t="s">
        <v>2842</v>
      </c>
      <c r="K3" s="91" t="s">
        <v>2843</v>
      </c>
      <c r="L3" s="91" t="s">
        <v>2844</v>
      </c>
      <c r="M3" s="91" t="s">
        <v>2845</v>
      </c>
      <c r="N3" s="91" t="s">
        <v>2846</v>
      </c>
      <c r="O3" s="91" t="s">
        <v>2847</v>
      </c>
      <c r="P3" s="91" t="s">
        <v>2848</v>
      </c>
      <c r="Q3" s="91" t="s">
        <v>2849</v>
      </c>
      <c r="R3" s="91" t="s">
        <v>2850</v>
      </c>
      <c r="S3" s="91" t="s">
        <v>2851</v>
      </c>
    </row>
    <row r="4" s="112" customFormat="1" ht="19.5" customHeight="1" spans="1:19">
      <c r="A4" s="121"/>
      <c r="B4" s="122" t="s">
        <v>2852</v>
      </c>
      <c r="C4" s="122" t="s">
        <v>2853</v>
      </c>
      <c r="D4" s="122" t="s">
        <v>2853</v>
      </c>
      <c r="E4" s="122" t="s">
        <v>2853</v>
      </c>
      <c r="F4" s="123" t="s">
        <v>2853</v>
      </c>
      <c r="G4" s="120"/>
      <c r="H4" s="116" t="s">
        <v>2854</v>
      </c>
      <c r="I4" s="91" t="s">
        <v>2855</v>
      </c>
      <c r="J4" s="91" t="s">
        <v>2856</v>
      </c>
      <c r="K4" s="91" t="s">
        <v>2857</v>
      </c>
      <c r="L4" s="91" t="s">
        <v>2858</v>
      </c>
      <c r="M4" s="91" t="s">
        <v>2859</v>
      </c>
      <c r="N4" s="91" t="s">
        <v>2860</v>
      </c>
      <c r="O4" s="91" t="s">
        <v>2861</v>
      </c>
      <c r="P4" s="91" t="s">
        <v>2862</v>
      </c>
      <c r="Q4" s="91" t="s">
        <v>2863</v>
      </c>
      <c r="R4" s="91" t="s">
        <v>2864</v>
      </c>
      <c r="S4" s="91" t="s">
        <v>2865</v>
      </c>
    </row>
    <row r="5" ht="14.25" customHeight="1" spans="1:19">
      <c r="A5" s="87" t="s">
        <v>232</v>
      </c>
      <c r="B5" s="88" t="s">
        <v>2827</v>
      </c>
      <c r="C5" s="88">
        <v>29530</v>
      </c>
      <c r="D5" s="88">
        <v>28130</v>
      </c>
      <c r="E5" s="88">
        <v>27930</v>
      </c>
      <c r="F5" s="124">
        <v>11300</v>
      </c>
      <c r="G5" s="120"/>
      <c r="H5" s="116" t="s">
        <v>2866</v>
      </c>
      <c r="I5" s="91" t="s">
        <v>2867</v>
      </c>
      <c r="J5" s="91" t="s">
        <v>2868</v>
      </c>
      <c r="K5" s="91" t="s">
        <v>2869</v>
      </c>
      <c r="L5" s="91" t="s">
        <v>2870</v>
      </c>
      <c r="M5" s="91" t="s">
        <v>2871</v>
      </c>
      <c r="N5" s="91" t="s">
        <v>2872</v>
      </c>
      <c r="O5" s="91" t="s">
        <v>2873</v>
      </c>
      <c r="P5" s="91" t="s">
        <v>2874</v>
      </c>
      <c r="Q5" s="91" t="s">
        <v>2875</v>
      </c>
      <c r="R5" s="91" t="s">
        <v>2876</v>
      </c>
      <c r="S5" s="91" t="s">
        <v>2877</v>
      </c>
    </row>
    <row r="6" ht="14.25" customHeight="1" spans="1:19">
      <c r="A6" s="87" t="s">
        <v>232</v>
      </c>
      <c r="B6" s="91" t="s">
        <v>2840</v>
      </c>
      <c r="C6" s="91">
        <v>30290</v>
      </c>
      <c r="D6" s="91">
        <v>29210</v>
      </c>
      <c r="E6" s="91">
        <v>28860</v>
      </c>
      <c r="F6" s="125">
        <v>12600</v>
      </c>
      <c r="G6" s="120"/>
      <c r="H6" s="116" t="s">
        <v>2878</v>
      </c>
      <c r="I6" s="91" t="s">
        <v>2879</v>
      </c>
      <c r="J6" s="91" t="s">
        <v>2880</v>
      </c>
      <c r="K6" s="91" t="s">
        <v>2881</v>
      </c>
      <c r="L6" s="91" t="s">
        <v>2882</v>
      </c>
      <c r="M6" s="91" t="s">
        <v>2883</v>
      </c>
      <c r="N6" s="91" t="s">
        <v>2884</v>
      </c>
      <c r="O6" s="91" t="s">
        <v>2885</v>
      </c>
      <c r="P6" s="91" t="s">
        <v>2886</v>
      </c>
      <c r="Q6" s="91" t="s">
        <v>2887</v>
      </c>
      <c r="R6" s="91" t="s">
        <v>2888</v>
      </c>
      <c r="S6" s="91" t="s">
        <v>2889</v>
      </c>
    </row>
    <row r="7" ht="14.25" customHeight="1" spans="1:19">
      <c r="A7" s="87" t="s">
        <v>232</v>
      </c>
      <c r="B7" s="94" t="s">
        <v>2854</v>
      </c>
      <c r="C7" s="91">
        <v>29350</v>
      </c>
      <c r="D7" s="91">
        <v>28410</v>
      </c>
      <c r="E7" s="91">
        <v>27990</v>
      </c>
      <c r="F7" s="125">
        <v>12300</v>
      </c>
      <c r="G7" s="120"/>
      <c r="I7" s="91" t="s">
        <v>2890</v>
      </c>
      <c r="J7" s="91" t="s">
        <v>2891</v>
      </c>
      <c r="K7" s="91" t="s">
        <v>2892</v>
      </c>
      <c r="L7" s="91" t="s">
        <v>2893</v>
      </c>
      <c r="M7" s="91" t="s">
        <v>2894</v>
      </c>
      <c r="N7" s="91" t="s">
        <v>2895</v>
      </c>
      <c r="O7" s="91" t="s">
        <v>2896</v>
      </c>
      <c r="P7" s="91" t="s">
        <v>2897</v>
      </c>
      <c r="Q7" s="91" t="s">
        <v>2898</v>
      </c>
      <c r="R7" s="91" t="s">
        <v>2899</v>
      </c>
      <c r="S7" s="94" t="s">
        <v>2900</v>
      </c>
    </row>
    <row r="8" ht="14.25" customHeight="1" spans="1:19">
      <c r="A8" s="87" t="s">
        <v>232</v>
      </c>
      <c r="B8" s="91" t="s">
        <v>2866</v>
      </c>
      <c r="C8" s="91">
        <v>30890</v>
      </c>
      <c r="D8" s="91">
        <v>29780</v>
      </c>
      <c r="E8" s="91">
        <v>29270</v>
      </c>
      <c r="F8" s="125">
        <v>11600</v>
      </c>
      <c r="G8" s="120"/>
      <c r="I8" s="91" t="s">
        <v>2901</v>
      </c>
      <c r="J8" s="91" t="s">
        <v>2902</v>
      </c>
      <c r="K8" s="91" t="s">
        <v>2903</v>
      </c>
      <c r="L8" s="91" t="s">
        <v>2904</v>
      </c>
      <c r="M8" s="91" t="s">
        <v>2905</v>
      </c>
      <c r="N8" s="91" t="s">
        <v>2906</v>
      </c>
      <c r="O8" s="91" t="s">
        <v>2907</v>
      </c>
      <c r="P8" s="91" t="s">
        <v>2908</v>
      </c>
      <c r="Q8" s="91" t="s">
        <v>2909</v>
      </c>
      <c r="R8" s="91" t="s">
        <v>2910</v>
      </c>
      <c r="S8" s="91" t="s">
        <v>2911</v>
      </c>
    </row>
    <row r="9" ht="14.25" customHeight="1" spans="1:18">
      <c r="A9" s="87" t="s">
        <v>232</v>
      </c>
      <c r="B9" s="96" t="s">
        <v>2878</v>
      </c>
      <c r="C9" s="102">
        <v>28140</v>
      </c>
      <c r="D9" s="102"/>
      <c r="E9" s="102"/>
      <c r="F9" s="126"/>
      <c r="G9" s="120"/>
      <c r="I9" s="91" t="s">
        <v>2912</v>
      </c>
      <c r="J9" s="91" t="s">
        <v>2913</v>
      </c>
      <c r="K9" s="91" t="s">
        <v>2914</v>
      </c>
      <c r="L9" s="91" t="s">
        <v>2915</v>
      </c>
      <c r="M9" s="91" t="s">
        <v>2916</v>
      </c>
      <c r="N9" s="91" t="s">
        <v>2917</v>
      </c>
      <c r="O9" s="91" t="s">
        <v>2918</v>
      </c>
      <c r="P9" s="91" t="s">
        <v>2919</v>
      </c>
      <c r="Q9" s="91" t="s">
        <v>2920</v>
      </c>
      <c r="R9" s="91" t="s">
        <v>2921</v>
      </c>
    </row>
    <row r="10" ht="14.25" customHeight="1" spans="1:18">
      <c r="A10" s="87" t="s">
        <v>243</v>
      </c>
      <c r="B10" s="88" t="s">
        <v>2828</v>
      </c>
      <c r="C10" s="88">
        <v>27450</v>
      </c>
      <c r="D10" s="88">
        <v>26180</v>
      </c>
      <c r="E10" s="88">
        <v>25980</v>
      </c>
      <c r="F10" s="124">
        <v>8910</v>
      </c>
      <c r="G10" s="120"/>
      <c r="I10" s="91" t="s">
        <v>2922</v>
      </c>
      <c r="J10" s="91" t="s">
        <v>2923</v>
      </c>
      <c r="K10" s="91" t="s">
        <v>2924</v>
      </c>
      <c r="L10" s="91" t="s">
        <v>2925</v>
      </c>
      <c r="M10" s="91" t="s">
        <v>2926</v>
      </c>
      <c r="N10" s="91" t="s">
        <v>2927</v>
      </c>
      <c r="O10" s="91" t="s">
        <v>2928</v>
      </c>
      <c r="P10" s="91" t="s">
        <v>2929</v>
      </c>
      <c r="Q10" s="91" t="s">
        <v>2930</v>
      </c>
      <c r="R10" s="91" t="s">
        <v>2931</v>
      </c>
    </row>
    <row r="11" ht="14.25" customHeight="1" spans="1:18">
      <c r="A11" s="87" t="s">
        <v>243</v>
      </c>
      <c r="B11" s="94" t="s">
        <v>2841</v>
      </c>
      <c r="C11" s="91">
        <v>22950</v>
      </c>
      <c r="D11" s="91">
        <v>22630</v>
      </c>
      <c r="E11" s="91">
        <v>22030</v>
      </c>
      <c r="F11" s="127">
        <v>8330</v>
      </c>
      <c r="G11" s="120"/>
      <c r="I11" s="91" t="s">
        <v>2932</v>
      </c>
      <c r="J11" s="91" t="s">
        <v>2933</v>
      </c>
      <c r="K11" s="91" t="s">
        <v>2934</v>
      </c>
      <c r="L11" s="91" t="s">
        <v>2935</v>
      </c>
      <c r="M11" s="91" t="s">
        <v>2936</v>
      </c>
      <c r="N11" s="91" t="s">
        <v>2937</v>
      </c>
      <c r="O11" s="91" t="s">
        <v>2938</v>
      </c>
      <c r="P11" s="91" t="s">
        <v>2939</v>
      </c>
      <c r="Q11" s="91" t="s">
        <v>2940</v>
      </c>
      <c r="R11" s="91" t="s">
        <v>2941</v>
      </c>
    </row>
    <row r="12" ht="14.25" customHeight="1" spans="1:18">
      <c r="A12" s="87" t="s">
        <v>243</v>
      </c>
      <c r="B12" s="94" t="s">
        <v>2855</v>
      </c>
      <c r="C12" s="91">
        <v>24940</v>
      </c>
      <c r="D12" s="91">
        <v>23180</v>
      </c>
      <c r="E12" s="91">
        <v>22910</v>
      </c>
      <c r="F12" s="127">
        <v>7180</v>
      </c>
      <c r="G12" s="120"/>
      <c r="I12" s="91" t="s">
        <v>2942</v>
      </c>
      <c r="J12" s="91" t="s">
        <v>2943</v>
      </c>
      <c r="K12" s="91" t="s">
        <v>2944</v>
      </c>
      <c r="L12" s="91" t="s">
        <v>2945</v>
      </c>
      <c r="M12" s="91" t="s">
        <v>2946</v>
      </c>
      <c r="N12" s="91" t="s">
        <v>2947</v>
      </c>
      <c r="O12" s="91" t="s">
        <v>2948</v>
      </c>
      <c r="P12" s="91" t="s">
        <v>2949</v>
      </c>
      <c r="Q12" s="91" t="s">
        <v>2950</v>
      </c>
      <c r="R12" s="91" t="s">
        <v>2951</v>
      </c>
    </row>
    <row r="13" ht="14.25" customHeight="1" spans="1:18">
      <c r="A13" s="87" t="s">
        <v>243</v>
      </c>
      <c r="B13" s="94" t="s">
        <v>2867</v>
      </c>
      <c r="C13" s="91">
        <v>24140</v>
      </c>
      <c r="D13" s="91">
        <v>22270</v>
      </c>
      <c r="E13" s="91">
        <v>21950</v>
      </c>
      <c r="F13" s="127">
        <v>7600</v>
      </c>
      <c r="G13" s="120"/>
      <c r="I13" s="91" t="s">
        <v>2952</v>
      </c>
      <c r="J13" s="91" t="s">
        <v>2953</v>
      </c>
      <c r="K13" s="91" t="s">
        <v>2954</v>
      </c>
      <c r="L13" s="91" t="s">
        <v>2955</v>
      </c>
      <c r="M13" s="91" t="s">
        <v>2956</v>
      </c>
      <c r="N13" s="91" t="s">
        <v>2957</v>
      </c>
      <c r="O13" s="91" t="s">
        <v>2958</v>
      </c>
      <c r="P13" s="91" t="s">
        <v>2959</v>
      </c>
      <c r="Q13" s="91" t="s">
        <v>2960</v>
      </c>
      <c r="R13" s="91" t="s">
        <v>2961</v>
      </c>
    </row>
    <row r="14" ht="14.25" customHeight="1" spans="1:18">
      <c r="A14" s="87" t="s">
        <v>243</v>
      </c>
      <c r="B14" s="94" t="s">
        <v>2879</v>
      </c>
      <c r="C14" s="91">
        <v>25600</v>
      </c>
      <c r="D14" s="91">
        <v>22260</v>
      </c>
      <c r="E14" s="91">
        <v>22110</v>
      </c>
      <c r="F14" s="127">
        <v>7630</v>
      </c>
      <c r="G14" s="120"/>
      <c r="I14" s="91" t="s">
        <v>2962</v>
      </c>
      <c r="J14" s="91" t="s">
        <v>411</v>
      </c>
      <c r="K14" s="91" t="s">
        <v>2963</v>
      </c>
      <c r="L14" s="91" t="s">
        <v>2964</v>
      </c>
      <c r="M14" s="91" t="s">
        <v>2965</v>
      </c>
      <c r="N14" s="91" t="s">
        <v>2966</v>
      </c>
      <c r="O14" s="91" t="s">
        <v>2967</v>
      </c>
      <c r="P14" s="91" t="s">
        <v>2968</v>
      </c>
      <c r="Q14" s="91" t="s">
        <v>2969</v>
      </c>
      <c r="R14" s="91" t="s">
        <v>2970</v>
      </c>
    </row>
    <row r="15" ht="14.25" customHeight="1" spans="1:18">
      <c r="A15" s="87" t="s">
        <v>243</v>
      </c>
      <c r="B15" s="94" t="s">
        <v>2890</v>
      </c>
      <c r="C15" s="91">
        <v>24760</v>
      </c>
      <c r="D15" s="91">
        <v>24440</v>
      </c>
      <c r="E15" s="91">
        <v>24130</v>
      </c>
      <c r="F15" s="127">
        <v>9480</v>
      </c>
      <c r="G15" s="120"/>
      <c r="I15" s="91" t="s">
        <v>2971</v>
      </c>
      <c r="J15" s="91" t="s">
        <v>2972</v>
      </c>
      <c r="K15" s="91" t="s">
        <v>2973</v>
      </c>
      <c r="L15" s="91" t="s">
        <v>2974</v>
      </c>
      <c r="M15" s="91" t="s">
        <v>2975</v>
      </c>
      <c r="N15" s="91" t="s">
        <v>2976</v>
      </c>
      <c r="O15" s="91" t="s">
        <v>2977</v>
      </c>
      <c r="P15" s="91" t="s">
        <v>2978</v>
      </c>
      <c r="Q15" s="91" t="s">
        <v>2979</v>
      </c>
      <c r="R15" s="91" t="s">
        <v>2980</v>
      </c>
    </row>
    <row r="16" ht="14.25" customHeight="1" spans="1:18">
      <c r="A16" s="87" t="s">
        <v>243</v>
      </c>
      <c r="B16" s="94" t="s">
        <v>2901</v>
      </c>
      <c r="C16" s="91">
        <v>22220</v>
      </c>
      <c r="D16" s="91">
        <v>22310</v>
      </c>
      <c r="E16" s="91">
        <v>22000</v>
      </c>
      <c r="F16" s="127">
        <v>8900</v>
      </c>
      <c r="G16" s="120"/>
      <c r="I16" s="91" t="s">
        <v>2981</v>
      </c>
      <c r="J16" s="91" t="s">
        <v>410</v>
      </c>
      <c r="K16" s="91" t="s">
        <v>2982</v>
      </c>
      <c r="L16" s="91" t="s">
        <v>2983</v>
      </c>
      <c r="M16" s="91" t="s">
        <v>2984</v>
      </c>
      <c r="N16" s="91" t="s">
        <v>2985</v>
      </c>
      <c r="O16" s="91" t="s">
        <v>2986</v>
      </c>
      <c r="P16" s="91" t="s">
        <v>2987</v>
      </c>
      <c r="Q16" s="91" t="s">
        <v>2988</v>
      </c>
      <c r="R16" s="91" t="s">
        <v>2989</v>
      </c>
    </row>
    <row r="17" ht="14.25" customHeight="1" spans="1:18">
      <c r="A17" s="87" t="s">
        <v>243</v>
      </c>
      <c r="B17" s="94" t="s">
        <v>2912</v>
      </c>
      <c r="C17" s="91">
        <v>24700</v>
      </c>
      <c r="D17" s="91">
        <v>25150</v>
      </c>
      <c r="E17" s="91">
        <v>24700</v>
      </c>
      <c r="F17" s="128"/>
      <c r="G17" s="120"/>
      <c r="I17" s="91" t="s">
        <v>2990</v>
      </c>
      <c r="J17" s="91" t="s">
        <v>2991</v>
      </c>
      <c r="K17" s="91" t="s">
        <v>2992</v>
      </c>
      <c r="L17" s="91" t="s">
        <v>2993</v>
      </c>
      <c r="M17" s="91" t="s">
        <v>2994</v>
      </c>
      <c r="N17" s="91" t="s">
        <v>2995</v>
      </c>
      <c r="O17" s="91" t="s">
        <v>2996</v>
      </c>
      <c r="P17" s="91" t="s">
        <v>2997</v>
      </c>
      <c r="Q17" s="91" t="s">
        <v>2998</v>
      </c>
      <c r="R17" s="91" t="s">
        <v>2999</v>
      </c>
    </row>
    <row r="18" ht="14.25" customHeight="1" spans="1:18">
      <c r="A18" s="87" t="s">
        <v>243</v>
      </c>
      <c r="B18" s="94" t="s">
        <v>2922</v>
      </c>
      <c r="C18" s="91">
        <v>22350</v>
      </c>
      <c r="D18" s="91">
        <v>24340</v>
      </c>
      <c r="E18" s="91">
        <v>24100</v>
      </c>
      <c r="F18" s="128"/>
      <c r="G18" s="120"/>
      <c r="I18" s="91" t="s">
        <v>3000</v>
      </c>
      <c r="J18" s="91" t="s">
        <v>3001</v>
      </c>
      <c r="K18" s="91" t="s">
        <v>3002</v>
      </c>
      <c r="L18" s="91" t="s">
        <v>3003</v>
      </c>
      <c r="M18" s="91" t="s">
        <v>3004</v>
      </c>
      <c r="N18" s="91" t="s">
        <v>3005</v>
      </c>
      <c r="O18" s="91" t="s">
        <v>3006</v>
      </c>
      <c r="P18" s="91" t="s">
        <v>3007</v>
      </c>
      <c r="Q18" s="91" t="s">
        <v>3008</v>
      </c>
      <c r="R18" s="91" t="s">
        <v>3009</v>
      </c>
    </row>
    <row r="19" ht="14.25" customHeight="1" spans="1:18">
      <c r="A19" s="87" t="s">
        <v>243</v>
      </c>
      <c r="B19" s="94" t="s">
        <v>2932</v>
      </c>
      <c r="C19" s="91">
        <v>23430</v>
      </c>
      <c r="D19" s="91">
        <v>21580</v>
      </c>
      <c r="E19" s="91">
        <v>21350</v>
      </c>
      <c r="F19" s="128"/>
      <c r="G19" s="120"/>
      <c r="I19" s="91" t="s">
        <v>3010</v>
      </c>
      <c r="J19" s="91" t="s">
        <v>3011</v>
      </c>
      <c r="K19" s="91" t="s">
        <v>3012</v>
      </c>
      <c r="L19" s="91" t="s">
        <v>3013</v>
      </c>
      <c r="M19" s="91" t="s">
        <v>3014</v>
      </c>
      <c r="N19" s="91" t="s">
        <v>3015</v>
      </c>
      <c r="O19" s="91" t="s">
        <v>3016</v>
      </c>
      <c r="P19" s="91" t="s">
        <v>3017</v>
      </c>
      <c r="Q19" s="91" t="s">
        <v>3018</v>
      </c>
      <c r="R19" s="91" t="s">
        <v>3019</v>
      </c>
    </row>
    <row r="20" ht="14.25" customHeight="1" spans="1:18">
      <c r="A20" s="87" t="s">
        <v>243</v>
      </c>
      <c r="B20" s="94" t="s">
        <v>2942</v>
      </c>
      <c r="C20" s="91">
        <v>27660</v>
      </c>
      <c r="D20" s="91">
        <v>24240</v>
      </c>
      <c r="E20" s="91">
        <v>24020</v>
      </c>
      <c r="F20" s="128"/>
      <c r="I20" s="91" t="s">
        <v>3020</v>
      </c>
      <c r="J20" s="91" t="s">
        <v>3021</v>
      </c>
      <c r="K20" s="91" t="s">
        <v>3022</v>
      </c>
      <c r="L20" s="91" t="s">
        <v>3023</v>
      </c>
      <c r="M20" s="91" t="s">
        <v>3024</v>
      </c>
      <c r="N20" s="91" t="s">
        <v>3025</v>
      </c>
      <c r="O20" s="91" t="s">
        <v>3026</v>
      </c>
      <c r="P20" s="91" t="s">
        <v>3027</v>
      </c>
      <c r="Q20" s="91" t="s">
        <v>3028</v>
      </c>
      <c r="R20" s="91" t="s">
        <v>3029</v>
      </c>
    </row>
    <row r="21" ht="14.25" customHeight="1" spans="1:18">
      <c r="A21" s="87" t="s">
        <v>243</v>
      </c>
      <c r="B21" s="94" t="s">
        <v>2952</v>
      </c>
      <c r="C21" s="91">
        <v>24720</v>
      </c>
      <c r="D21" s="91">
        <v>21670</v>
      </c>
      <c r="E21" s="91">
        <v>21510</v>
      </c>
      <c r="F21" s="128"/>
      <c r="J21" s="91" t="s">
        <v>3030</v>
      </c>
      <c r="K21" s="91" t="s">
        <v>3031</v>
      </c>
      <c r="L21" s="91" t="s">
        <v>3032</v>
      </c>
      <c r="M21" s="91" t="s">
        <v>3033</v>
      </c>
      <c r="N21" s="91" t="s">
        <v>3034</v>
      </c>
      <c r="O21" s="91" t="s">
        <v>3035</v>
      </c>
      <c r="P21" s="91" t="s">
        <v>3036</v>
      </c>
      <c r="Q21" s="91" t="s">
        <v>3037</v>
      </c>
      <c r="R21" s="91" t="s">
        <v>3038</v>
      </c>
    </row>
    <row r="22" ht="14.25" customHeight="1" spans="1:18">
      <c r="A22" s="87" t="s">
        <v>243</v>
      </c>
      <c r="B22" s="94" t="s">
        <v>2962</v>
      </c>
      <c r="C22" s="91">
        <v>26530</v>
      </c>
      <c r="D22" s="91">
        <v>22980</v>
      </c>
      <c r="E22" s="91">
        <v>22650</v>
      </c>
      <c r="F22" s="128"/>
      <c r="K22" s="91" t="s">
        <v>3039</v>
      </c>
      <c r="L22" s="91" t="s">
        <v>3040</v>
      </c>
      <c r="M22" s="91" t="s">
        <v>3041</v>
      </c>
      <c r="N22" s="91" t="s">
        <v>3042</v>
      </c>
      <c r="O22" s="91" t="s">
        <v>3043</v>
      </c>
      <c r="P22" s="91" t="s">
        <v>3044</v>
      </c>
      <c r="Q22" s="91" t="s">
        <v>3045</v>
      </c>
      <c r="R22" s="94" t="s">
        <v>3046</v>
      </c>
    </row>
    <row r="23" ht="14.25" customHeight="1" spans="1:17">
      <c r="A23" s="87" t="s">
        <v>243</v>
      </c>
      <c r="B23" s="94" t="s">
        <v>2971</v>
      </c>
      <c r="C23" s="91">
        <v>24700</v>
      </c>
      <c r="D23" s="91">
        <v>27290</v>
      </c>
      <c r="E23" s="91">
        <v>26710</v>
      </c>
      <c r="F23" s="128"/>
      <c r="K23" s="91" t="s">
        <v>3047</v>
      </c>
      <c r="L23" s="91" t="s">
        <v>3048</v>
      </c>
      <c r="M23" s="91" t="s">
        <v>3049</v>
      </c>
      <c r="N23" s="91" t="s">
        <v>3050</v>
      </c>
      <c r="O23" s="91" t="s">
        <v>3051</v>
      </c>
      <c r="P23" s="91" t="s">
        <v>3052</v>
      </c>
      <c r="Q23" s="91" t="s">
        <v>3053</v>
      </c>
    </row>
    <row r="24" ht="14.25" customHeight="1" spans="1:17">
      <c r="A24" s="87" t="s">
        <v>243</v>
      </c>
      <c r="B24" s="94" t="s">
        <v>2981</v>
      </c>
      <c r="C24" s="91">
        <v>23070</v>
      </c>
      <c r="D24" s="91">
        <v>24130</v>
      </c>
      <c r="E24" s="91">
        <v>23860</v>
      </c>
      <c r="F24" s="128"/>
      <c r="K24" s="91" t="s">
        <v>3054</v>
      </c>
      <c r="L24" s="91" t="s">
        <v>3055</v>
      </c>
      <c r="M24" s="91" t="s">
        <v>3056</v>
      </c>
      <c r="N24" s="91" t="s">
        <v>3057</v>
      </c>
      <c r="O24" s="91" t="s">
        <v>3058</v>
      </c>
      <c r="P24" s="91" t="s">
        <v>3059</v>
      </c>
      <c r="Q24" s="91" t="s">
        <v>3060</v>
      </c>
    </row>
    <row r="25" ht="14.25" customHeight="1" spans="1:17">
      <c r="A25" s="87" t="s">
        <v>243</v>
      </c>
      <c r="B25" s="94" t="s">
        <v>2990</v>
      </c>
      <c r="C25" s="91">
        <v>27550</v>
      </c>
      <c r="D25" s="91">
        <v>25850</v>
      </c>
      <c r="E25" s="91">
        <v>25340</v>
      </c>
      <c r="F25" s="128"/>
      <c r="K25" s="91" t="s">
        <v>3061</v>
      </c>
      <c r="L25" s="91" t="s">
        <v>3062</v>
      </c>
      <c r="M25" s="91" t="s">
        <v>3063</v>
      </c>
      <c r="N25" s="91" t="s">
        <v>3064</v>
      </c>
      <c r="O25" s="91" t="s">
        <v>3065</v>
      </c>
      <c r="P25" s="91" t="s">
        <v>3066</v>
      </c>
      <c r="Q25" s="91" t="s">
        <v>3067</v>
      </c>
    </row>
    <row r="26" ht="14.25" customHeight="1" spans="1:17">
      <c r="A26" s="87" t="s">
        <v>243</v>
      </c>
      <c r="B26" s="94" t="s">
        <v>3000</v>
      </c>
      <c r="C26" s="91"/>
      <c r="D26" s="91">
        <v>23900</v>
      </c>
      <c r="E26" s="91">
        <v>23590</v>
      </c>
      <c r="F26" s="128"/>
      <c r="K26" s="91" t="s">
        <v>3068</v>
      </c>
      <c r="L26" s="91" t="s">
        <v>3069</v>
      </c>
      <c r="M26" s="91" t="s">
        <v>3070</v>
      </c>
      <c r="N26" s="91" t="s">
        <v>3071</v>
      </c>
      <c r="O26" s="91" t="s">
        <v>3072</v>
      </c>
      <c r="P26" s="91" t="s">
        <v>3073</v>
      </c>
      <c r="Q26" s="91" t="s">
        <v>3074</v>
      </c>
    </row>
    <row r="27" ht="14.25" customHeight="1" spans="1:17">
      <c r="A27" s="87" t="s">
        <v>243</v>
      </c>
      <c r="B27" s="94" t="s">
        <v>3010</v>
      </c>
      <c r="C27" s="91"/>
      <c r="D27" s="91">
        <v>22850</v>
      </c>
      <c r="E27" s="91">
        <v>21920</v>
      </c>
      <c r="F27" s="128"/>
      <c r="K27" s="91" t="s">
        <v>3075</v>
      </c>
      <c r="L27" s="91" t="s">
        <v>3076</v>
      </c>
      <c r="M27" s="91" t="s">
        <v>3077</v>
      </c>
      <c r="N27" s="91" t="s">
        <v>3078</v>
      </c>
      <c r="O27" s="91" t="s">
        <v>3079</v>
      </c>
      <c r="P27" s="91" t="s">
        <v>3080</v>
      </c>
      <c r="Q27" s="91" t="s">
        <v>3081</v>
      </c>
    </row>
    <row r="28" ht="14.25" customHeight="1" spans="1:16">
      <c r="A28" s="95" t="s">
        <v>243</v>
      </c>
      <c r="B28" s="96" t="s">
        <v>3020</v>
      </c>
      <c r="C28" s="102"/>
      <c r="D28" s="102">
        <v>26610</v>
      </c>
      <c r="E28" s="102">
        <v>26370</v>
      </c>
      <c r="F28" s="126"/>
      <c r="K28" s="91" t="s">
        <v>3082</v>
      </c>
      <c r="L28" s="91" t="s">
        <v>3083</v>
      </c>
      <c r="M28" s="91" t="s">
        <v>3084</v>
      </c>
      <c r="N28" s="91" t="s">
        <v>3085</v>
      </c>
      <c r="O28" s="91" t="s">
        <v>3086</v>
      </c>
      <c r="P28" s="91" t="s">
        <v>3087</v>
      </c>
    </row>
    <row r="29" ht="14.25" customHeight="1" spans="1:16">
      <c r="A29" s="87" t="s">
        <v>253</v>
      </c>
      <c r="B29" s="88" t="s">
        <v>2829</v>
      </c>
      <c r="C29" s="88">
        <v>22090</v>
      </c>
      <c r="D29" s="88">
        <v>21860</v>
      </c>
      <c r="E29" s="88">
        <v>19380</v>
      </c>
      <c r="F29" s="124">
        <v>6610</v>
      </c>
      <c r="L29" s="91" t="s">
        <v>3088</v>
      </c>
      <c r="M29" s="91" t="s">
        <v>3089</v>
      </c>
      <c r="N29" s="91" t="s">
        <v>3090</v>
      </c>
      <c r="O29" s="91" t="s">
        <v>3091</v>
      </c>
      <c r="P29" s="91" t="s">
        <v>3092</v>
      </c>
    </row>
    <row r="30" ht="14.25" customHeight="1" spans="1:16">
      <c r="A30" s="87" t="s">
        <v>253</v>
      </c>
      <c r="B30" s="94" t="s">
        <v>2842</v>
      </c>
      <c r="C30" s="91">
        <v>21380</v>
      </c>
      <c r="D30" s="91">
        <v>19930</v>
      </c>
      <c r="E30" s="91">
        <v>19860</v>
      </c>
      <c r="F30" s="127">
        <v>6010</v>
      </c>
      <c r="L30" s="91" t="s">
        <v>3093</v>
      </c>
      <c r="M30" s="91" t="s">
        <v>3094</v>
      </c>
      <c r="N30" s="91" t="s">
        <v>3095</v>
      </c>
      <c r="O30" s="91" t="s">
        <v>3096</v>
      </c>
      <c r="P30" s="91" t="s">
        <v>3097</v>
      </c>
    </row>
    <row r="31" ht="14.25" customHeight="1" spans="1:16">
      <c r="A31" s="87" t="s">
        <v>253</v>
      </c>
      <c r="B31" s="94" t="s">
        <v>2856</v>
      </c>
      <c r="C31" s="91">
        <v>21670</v>
      </c>
      <c r="D31" s="91">
        <v>20660</v>
      </c>
      <c r="E31" s="91">
        <v>20290</v>
      </c>
      <c r="F31" s="127">
        <v>5840</v>
      </c>
      <c r="L31" s="91" t="s">
        <v>3098</v>
      </c>
      <c r="M31" s="91" t="s">
        <v>3099</v>
      </c>
      <c r="N31" s="91" t="s">
        <v>3100</v>
      </c>
      <c r="O31" s="91" t="s">
        <v>3101</v>
      </c>
      <c r="P31" s="91" t="s">
        <v>3102</v>
      </c>
    </row>
    <row r="32" ht="14.25" customHeight="1" spans="1:16">
      <c r="A32" s="87" t="s">
        <v>253</v>
      </c>
      <c r="B32" s="94" t="s">
        <v>2868</v>
      </c>
      <c r="C32" s="91">
        <v>22280</v>
      </c>
      <c r="D32" s="91">
        <v>21800</v>
      </c>
      <c r="E32" s="91">
        <v>17650</v>
      </c>
      <c r="F32" s="127">
        <v>4690</v>
      </c>
      <c r="L32" s="91" t="s">
        <v>3103</v>
      </c>
      <c r="M32" s="91" t="s">
        <v>3104</v>
      </c>
      <c r="N32" s="91" t="s">
        <v>3105</v>
      </c>
      <c r="O32" s="91" t="s">
        <v>3106</v>
      </c>
      <c r="P32" s="91" t="s">
        <v>3107</v>
      </c>
    </row>
    <row r="33" ht="14.25" customHeight="1" spans="1:16">
      <c r="A33" s="87" t="s">
        <v>253</v>
      </c>
      <c r="B33" s="94" t="s">
        <v>2880</v>
      </c>
      <c r="C33" s="91">
        <v>22130</v>
      </c>
      <c r="D33" s="91">
        <v>20460</v>
      </c>
      <c r="E33" s="91">
        <v>18500</v>
      </c>
      <c r="F33" s="127">
        <v>5340</v>
      </c>
      <c r="L33" s="91" t="s">
        <v>3108</v>
      </c>
      <c r="M33" s="91" t="s">
        <v>3109</v>
      </c>
      <c r="N33" s="91" t="s">
        <v>3110</v>
      </c>
      <c r="O33" s="91" t="s">
        <v>3111</v>
      </c>
      <c r="P33" s="91" t="s">
        <v>3112</v>
      </c>
    </row>
    <row r="34" ht="14.25" customHeight="1" spans="1:16">
      <c r="A34" s="87" t="s">
        <v>253</v>
      </c>
      <c r="B34" s="94" t="s">
        <v>2891</v>
      </c>
      <c r="C34" s="91">
        <v>22070</v>
      </c>
      <c r="D34" s="91">
        <v>20110</v>
      </c>
      <c r="E34" s="91">
        <v>18830</v>
      </c>
      <c r="F34" s="127">
        <v>5190</v>
      </c>
      <c r="L34" s="91" t="s">
        <v>3113</v>
      </c>
      <c r="M34" s="91" t="s">
        <v>3114</v>
      </c>
      <c r="N34" s="91" t="s">
        <v>3115</v>
      </c>
      <c r="O34" s="91" t="s">
        <v>3116</v>
      </c>
      <c r="P34" s="91" t="s">
        <v>3117</v>
      </c>
    </row>
    <row r="35" ht="14.25" customHeight="1" spans="1:16">
      <c r="A35" s="87" t="s">
        <v>253</v>
      </c>
      <c r="B35" s="94" t="s">
        <v>2902</v>
      </c>
      <c r="C35" s="91">
        <v>22240</v>
      </c>
      <c r="D35" s="91">
        <v>19550</v>
      </c>
      <c r="E35" s="91">
        <v>19220</v>
      </c>
      <c r="F35" s="127">
        <v>5800</v>
      </c>
      <c r="L35" s="91" t="s">
        <v>3118</v>
      </c>
      <c r="M35" s="91" t="s">
        <v>3119</v>
      </c>
      <c r="N35" s="91" t="s">
        <v>3120</v>
      </c>
      <c r="O35" s="91" t="s">
        <v>3121</v>
      </c>
      <c r="P35" s="91" t="s">
        <v>3122</v>
      </c>
    </row>
    <row r="36" ht="14.25" customHeight="1" spans="1:16">
      <c r="A36" s="87" t="s">
        <v>253</v>
      </c>
      <c r="B36" s="94" t="s">
        <v>2913</v>
      </c>
      <c r="C36" s="91">
        <v>19750</v>
      </c>
      <c r="D36" s="91">
        <v>19790</v>
      </c>
      <c r="E36" s="91">
        <v>18510</v>
      </c>
      <c r="F36" s="127">
        <v>6520</v>
      </c>
      <c r="M36" s="91" t="s">
        <v>3123</v>
      </c>
      <c r="N36" s="91" t="s">
        <v>3124</v>
      </c>
      <c r="O36" s="91" t="s">
        <v>3125</v>
      </c>
      <c r="P36" s="91" t="s">
        <v>3126</v>
      </c>
    </row>
    <row r="37" ht="14.25" customHeight="1" spans="1:16">
      <c r="A37" s="87" t="s">
        <v>253</v>
      </c>
      <c r="B37" s="94" t="s">
        <v>2923</v>
      </c>
      <c r="C37" s="91">
        <v>22380</v>
      </c>
      <c r="D37" s="91">
        <v>18530</v>
      </c>
      <c r="E37" s="91">
        <v>17930</v>
      </c>
      <c r="F37" s="127">
        <v>6270</v>
      </c>
      <c r="M37" s="91" t="s">
        <v>3127</v>
      </c>
      <c r="N37" s="91" t="s">
        <v>3128</v>
      </c>
      <c r="O37" s="91" t="s">
        <v>3129</v>
      </c>
      <c r="P37" s="91" t="s">
        <v>3130</v>
      </c>
    </row>
    <row r="38" ht="14.25" customHeight="1" spans="1:16">
      <c r="A38" s="87" t="s">
        <v>253</v>
      </c>
      <c r="B38" s="94" t="s">
        <v>2933</v>
      </c>
      <c r="C38" s="91">
        <v>20200</v>
      </c>
      <c r="D38" s="91">
        <v>20070</v>
      </c>
      <c r="E38" s="91">
        <v>19950</v>
      </c>
      <c r="F38" s="127"/>
      <c r="M38" s="91" t="s">
        <v>3131</v>
      </c>
      <c r="N38" s="91" t="s">
        <v>3132</v>
      </c>
      <c r="O38" s="91" t="s">
        <v>3133</v>
      </c>
      <c r="P38" s="91" t="s">
        <v>3134</v>
      </c>
    </row>
    <row r="39" ht="14.25" customHeight="1" spans="1:16">
      <c r="A39" s="87" t="s">
        <v>253</v>
      </c>
      <c r="B39" s="94" t="s">
        <v>2943</v>
      </c>
      <c r="C39" s="91">
        <v>19300</v>
      </c>
      <c r="D39" s="91">
        <v>20360</v>
      </c>
      <c r="E39" s="91">
        <v>20230</v>
      </c>
      <c r="F39" s="127"/>
      <c r="M39" s="91" t="s">
        <v>3135</v>
      </c>
      <c r="N39" s="91" t="s">
        <v>3136</v>
      </c>
      <c r="O39" s="91" t="s">
        <v>3137</v>
      </c>
      <c r="P39" s="91" t="s">
        <v>3138</v>
      </c>
    </row>
    <row r="40" ht="14.25" customHeight="1" spans="1:16">
      <c r="A40" s="87" t="s">
        <v>253</v>
      </c>
      <c r="B40" s="94" t="s">
        <v>2953</v>
      </c>
      <c r="C40" s="91">
        <v>20210</v>
      </c>
      <c r="D40" s="91">
        <v>19060</v>
      </c>
      <c r="E40" s="91">
        <v>18890</v>
      </c>
      <c r="F40" s="127"/>
      <c r="M40" s="91" t="s">
        <v>3139</v>
      </c>
      <c r="N40" s="91" t="s">
        <v>3140</v>
      </c>
      <c r="O40" s="91" t="s">
        <v>3141</v>
      </c>
      <c r="P40" s="91" t="s">
        <v>3142</v>
      </c>
    </row>
    <row r="41" ht="14.25" customHeight="1" spans="1:16">
      <c r="A41" s="87" t="s">
        <v>253</v>
      </c>
      <c r="B41" s="94" t="s">
        <v>411</v>
      </c>
      <c r="C41" s="91">
        <v>20560</v>
      </c>
      <c r="D41" s="91">
        <v>21040</v>
      </c>
      <c r="E41" s="91">
        <v>20740</v>
      </c>
      <c r="F41" s="127"/>
      <c r="M41" s="94" t="s">
        <v>3143</v>
      </c>
      <c r="N41" s="94" t="s">
        <v>3144</v>
      </c>
      <c r="P41" s="94" t="s">
        <v>3145</v>
      </c>
    </row>
    <row r="42" ht="14.25" customHeight="1" spans="1:16">
      <c r="A42" s="87" t="s">
        <v>253</v>
      </c>
      <c r="B42" s="94" t="s">
        <v>2972</v>
      </c>
      <c r="C42" s="91">
        <v>19280</v>
      </c>
      <c r="D42" s="91">
        <v>22940</v>
      </c>
      <c r="E42" s="91">
        <v>22500</v>
      </c>
      <c r="F42" s="127"/>
      <c r="M42" s="91" t="s">
        <v>3146</v>
      </c>
      <c r="N42" s="91" t="s">
        <v>3147</v>
      </c>
      <c r="P42" s="91" t="s">
        <v>3148</v>
      </c>
    </row>
    <row r="43" ht="14.25" customHeight="1" spans="1:16">
      <c r="A43" s="87" t="s">
        <v>253</v>
      </c>
      <c r="B43" s="94" t="s">
        <v>410</v>
      </c>
      <c r="C43" s="91">
        <v>21520</v>
      </c>
      <c r="D43" s="91">
        <v>19230</v>
      </c>
      <c r="E43" s="91">
        <v>18540</v>
      </c>
      <c r="F43" s="127"/>
      <c r="M43" s="91" t="s">
        <v>3149</v>
      </c>
      <c r="N43" s="91" t="s">
        <v>3150</v>
      </c>
      <c r="P43" s="91" t="s">
        <v>3151</v>
      </c>
    </row>
    <row r="44" ht="14.25" customHeight="1" spans="1:16">
      <c r="A44" s="87" t="s">
        <v>253</v>
      </c>
      <c r="B44" s="94" t="s">
        <v>2991</v>
      </c>
      <c r="C44" s="91">
        <v>23260</v>
      </c>
      <c r="D44" s="91">
        <v>21180</v>
      </c>
      <c r="E44" s="91">
        <v>20730</v>
      </c>
      <c r="F44" s="127"/>
      <c r="M44" s="91" t="s">
        <v>3152</v>
      </c>
      <c r="N44" s="91" t="s">
        <v>3153</v>
      </c>
      <c r="P44" s="91" t="s">
        <v>3154</v>
      </c>
    </row>
    <row r="45" ht="14.25" customHeight="1" spans="1:16">
      <c r="A45" s="87" t="s">
        <v>253</v>
      </c>
      <c r="B45" s="94" t="s">
        <v>3001</v>
      </c>
      <c r="C45" s="91">
        <v>19610</v>
      </c>
      <c r="D45" s="91">
        <v>18090</v>
      </c>
      <c r="E45" s="91">
        <v>17970</v>
      </c>
      <c r="F45" s="127"/>
      <c r="M45" s="91" t="s">
        <v>3155</v>
      </c>
      <c r="N45" s="91" t="s">
        <v>3156</v>
      </c>
      <c r="P45" s="91" t="s">
        <v>3157</v>
      </c>
    </row>
    <row r="46" ht="14.25" customHeight="1" spans="1:16">
      <c r="A46" s="87" t="s">
        <v>253</v>
      </c>
      <c r="B46" s="94" t="s">
        <v>3011</v>
      </c>
      <c r="C46" s="91">
        <v>21660</v>
      </c>
      <c r="D46" s="91">
        <v>19190</v>
      </c>
      <c r="E46" s="91">
        <v>19790</v>
      </c>
      <c r="F46" s="127"/>
      <c r="M46" s="91" t="s">
        <v>3158</v>
      </c>
      <c r="N46" s="91" t="s">
        <v>3159</v>
      </c>
      <c r="P46" s="91" t="s">
        <v>3160</v>
      </c>
    </row>
    <row r="47" ht="14.25" customHeight="1" spans="1:14">
      <c r="A47" s="87" t="s">
        <v>253</v>
      </c>
      <c r="B47" s="94" t="s">
        <v>3021</v>
      </c>
      <c r="C47" s="91">
        <v>18220</v>
      </c>
      <c r="D47" s="91"/>
      <c r="E47" s="91">
        <v>17220</v>
      </c>
      <c r="F47" s="127"/>
      <c r="M47" s="91" t="s">
        <v>3161</v>
      </c>
      <c r="N47" s="91" t="s">
        <v>3162</v>
      </c>
    </row>
    <row r="48" ht="14.25" customHeight="1" spans="1:14">
      <c r="A48" s="87" t="s">
        <v>253</v>
      </c>
      <c r="B48" s="96" t="s">
        <v>3030</v>
      </c>
      <c r="C48" s="102">
        <v>19430</v>
      </c>
      <c r="D48" s="102"/>
      <c r="E48" s="102">
        <v>17830</v>
      </c>
      <c r="F48" s="129"/>
      <c r="M48" s="91" t="s">
        <v>3163</v>
      </c>
      <c r="N48" s="91" t="s">
        <v>3164</v>
      </c>
    </row>
    <row r="49" ht="14.25" customHeight="1" spans="1:14">
      <c r="A49" s="87" t="s">
        <v>261</v>
      </c>
      <c r="B49" s="88" t="s">
        <v>2830</v>
      </c>
      <c r="C49" s="88">
        <v>17090</v>
      </c>
      <c r="D49" s="88">
        <v>16950</v>
      </c>
      <c r="E49" s="88">
        <v>16310</v>
      </c>
      <c r="F49" s="124">
        <v>4540</v>
      </c>
      <c r="M49" s="91" t="s">
        <v>3165</v>
      </c>
      <c r="N49" s="91" t="s">
        <v>3166</v>
      </c>
    </row>
    <row r="50" ht="14.25" customHeight="1" spans="1:6">
      <c r="A50" s="87" t="s">
        <v>261</v>
      </c>
      <c r="B50" s="91" t="s">
        <v>2843</v>
      </c>
      <c r="C50" s="91">
        <v>19040</v>
      </c>
      <c r="D50" s="91">
        <v>16960</v>
      </c>
      <c r="E50" s="91">
        <v>14800</v>
      </c>
      <c r="F50" s="127">
        <v>3940</v>
      </c>
    </row>
    <row r="51" ht="14.25" customHeight="1" spans="1:6">
      <c r="A51" s="87" t="s">
        <v>261</v>
      </c>
      <c r="B51" s="91" t="s">
        <v>2857</v>
      </c>
      <c r="C51" s="91">
        <v>17040</v>
      </c>
      <c r="D51" s="91">
        <v>16930</v>
      </c>
      <c r="E51" s="91">
        <v>15030</v>
      </c>
      <c r="F51" s="127">
        <v>4120</v>
      </c>
    </row>
    <row r="52" ht="14.25" customHeight="1" spans="1:6">
      <c r="A52" s="87" t="s">
        <v>261</v>
      </c>
      <c r="B52" s="91" t="s">
        <v>2869</v>
      </c>
      <c r="C52" s="91">
        <v>17110</v>
      </c>
      <c r="D52" s="91">
        <v>17750</v>
      </c>
      <c r="E52" s="91">
        <v>17310</v>
      </c>
      <c r="F52" s="127">
        <v>3220</v>
      </c>
    </row>
    <row r="53" ht="14.25" customHeight="1" spans="1:6">
      <c r="A53" s="87" t="s">
        <v>261</v>
      </c>
      <c r="B53" s="91" t="s">
        <v>2881</v>
      </c>
      <c r="C53" s="91">
        <v>17810</v>
      </c>
      <c r="D53" s="91">
        <v>17260</v>
      </c>
      <c r="E53" s="91">
        <v>17090</v>
      </c>
      <c r="F53" s="127">
        <v>3520</v>
      </c>
    </row>
    <row r="54" ht="14.25" customHeight="1" spans="1:6">
      <c r="A54" s="87" t="s">
        <v>261</v>
      </c>
      <c r="B54" s="91" t="s">
        <v>2892</v>
      </c>
      <c r="C54" s="91">
        <v>17410</v>
      </c>
      <c r="D54" s="91">
        <v>16780</v>
      </c>
      <c r="E54" s="91">
        <v>16370</v>
      </c>
      <c r="F54" s="127">
        <v>3410</v>
      </c>
    </row>
    <row r="55" ht="14.25" customHeight="1" spans="1:6">
      <c r="A55" s="87" t="s">
        <v>261</v>
      </c>
      <c r="B55" s="91" t="s">
        <v>2903</v>
      </c>
      <c r="C55" s="91">
        <v>16930</v>
      </c>
      <c r="D55" s="91">
        <v>14720</v>
      </c>
      <c r="E55" s="91">
        <v>15000</v>
      </c>
      <c r="F55" s="127">
        <v>3710</v>
      </c>
    </row>
    <row r="56" ht="14.25" customHeight="1" spans="1:6">
      <c r="A56" s="87" t="s">
        <v>261</v>
      </c>
      <c r="B56" s="91" t="s">
        <v>2914</v>
      </c>
      <c r="C56" s="91">
        <v>14930</v>
      </c>
      <c r="D56" s="91">
        <v>15850</v>
      </c>
      <c r="E56" s="91">
        <v>14320</v>
      </c>
      <c r="F56" s="127">
        <v>3960</v>
      </c>
    </row>
    <row r="57" ht="14.25" customHeight="1" spans="1:6">
      <c r="A57" s="87" t="s">
        <v>261</v>
      </c>
      <c r="B57" s="91" t="s">
        <v>2924</v>
      </c>
      <c r="C57" s="91">
        <v>16160</v>
      </c>
      <c r="D57" s="91">
        <v>16190</v>
      </c>
      <c r="E57" s="91">
        <v>15650</v>
      </c>
      <c r="F57" s="127">
        <v>4200</v>
      </c>
    </row>
    <row r="58" ht="14.25" customHeight="1" spans="1:6">
      <c r="A58" s="87" t="s">
        <v>261</v>
      </c>
      <c r="B58" s="91" t="s">
        <v>2934</v>
      </c>
      <c r="C58" s="91">
        <v>16360</v>
      </c>
      <c r="D58" s="91">
        <v>14050</v>
      </c>
      <c r="E58" s="91">
        <v>16070</v>
      </c>
      <c r="F58" s="127">
        <v>3990</v>
      </c>
    </row>
    <row r="59" ht="14.25" customHeight="1" spans="1:6">
      <c r="A59" s="87" t="s">
        <v>261</v>
      </c>
      <c r="B59" s="91" t="s">
        <v>2944</v>
      </c>
      <c r="C59" s="91">
        <v>14160</v>
      </c>
      <c r="D59" s="91">
        <v>16620</v>
      </c>
      <c r="E59" s="91">
        <v>13940</v>
      </c>
      <c r="F59" s="127">
        <v>4260</v>
      </c>
    </row>
    <row r="60" ht="14.25" customHeight="1" spans="1:6">
      <c r="A60" s="87" t="s">
        <v>261</v>
      </c>
      <c r="B60" s="91" t="s">
        <v>2954</v>
      </c>
      <c r="C60" s="91">
        <v>16750</v>
      </c>
      <c r="D60" s="91">
        <v>13910</v>
      </c>
      <c r="E60" s="91">
        <v>16550</v>
      </c>
      <c r="F60" s="127">
        <v>4550</v>
      </c>
    </row>
    <row r="61" ht="14.25" customHeight="1" spans="1:6">
      <c r="A61" s="87" t="s">
        <v>261</v>
      </c>
      <c r="B61" s="91" t="s">
        <v>2963</v>
      </c>
      <c r="C61" s="91">
        <v>14000</v>
      </c>
      <c r="D61" s="91">
        <v>14550</v>
      </c>
      <c r="E61" s="91">
        <v>13860</v>
      </c>
      <c r="F61" s="130"/>
    </row>
    <row r="62" ht="14.25" customHeight="1" spans="1:6">
      <c r="A62" s="87" t="s">
        <v>261</v>
      </c>
      <c r="B62" s="91" t="s">
        <v>2973</v>
      </c>
      <c r="C62" s="91">
        <v>14660</v>
      </c>
      <c r="D62" s="91">
        <v>17450</v>
      </c>
      <c r="E62" s="91">
        <v>14470</v>
      </c>
      <c r="F62" s="130"/>
    </row>
    <row r="63" ht="14.25" customHeight="1" spans="1:6">
      <c r="A63" s="87" t="s">
        <v>261</v>
      </c>
      <c r="B63" s="91" t="s">
        <v>2982</v>
      </c>
      <c r="C63" s="91">
        <v>17610</v>
      </c>
      <c r="D63" s="91">
        <v>16500</v>
      </c>
      <c r="E63" s="91">
        <v>17330</v>
      </c>
      <c r="F63" s="130"/>
    </row>
    <row r="64" ht="14.25" customHeight="1" spans="1:6">
      <c r="A64" s="87" t="s">
        <v>261</v>
      </c>
      <c r="B64" s="91" t="s">
        <v>2992</v>
      </c>
      <c r="C64" s="91">
        <v>16590</v>
      </c>
      <c r="D64" s="91">
        <v>15130</v>
      </c>
      <c r="E64" s="91">
        <v>16420</v>
      </c>
      <c r="F64" s="130"/>
    </row>
    <row r="65" s="113" customFormat="1" ht="14.25" customHeight="1" spans="1:6">
      <c r="A65" s="87" t="s">
        <v>261</v>
      </c>
      <c r="B65" s="91" t="s">
        <v>3002</v>
      </c>
      <c r="C65" s="91">
        <v>15220</v>
      </c>
      <c r="D65" s="91">
        <v>14660</v>
      </c>
      <c r="E65" s="91">
        <v>15060</v>
      </c>
      <c r="F65" s="127"/>
    </row>
    <row r="66" s="113" customFormat="1" ht="14.25" customHeight="1" spans="1:6">
      <c r="A66" s="87" t="s">
        <v>261</v>
      </c>
      <c r="B66" s="91" t="s">
        <v>3012</v>
      </c>
      <c r="C66" s="91">
        <v>14720</v>
      </c>
      <c r="D66" s="91">
        <v>15970</v>
      </c>
      <c r="E66" s="91">
        <v>14610</v>
      </c>
      <c r="F66" s="127"/>
    </row>
    <row r="67" s="113" customFormat="1" ht="14.25" customHeight="1" spans="1:6">
      <c r="A67" s="87" t="s">
        <v>261</v>
      </c>
      <c r="B67" s="91" t="s">
        <v>3022</v>
      </c>
      <c r="C67" s="91">
        <v>16080</v>
      </c>
      <c r="D67" s="91">
        <v>14840</v>
      </c>
      <c r="E67" s="91">
        <v>15630</v>
      </c>
      <c r="F67" s="127"/>
    </row>
    <row r="68" s="113" customFormat="1" ht="14.25" customHeight="1" spans="1:6">
      <c r="A68" s="87" t="s">
        <v>261</v>
      </c>
      <c r="B68" s="91" t="s">
        <v>3031</v>
      </c>
      <c r="C68" s="91">
        <v>14940</v>
      </c>
      <c r="D68" s="91">
        <v>18000</v>
      </c>
      <c r="E68" s="91">
        <v>14040</v>
      </c>
      <c r="F68" s="127"/>
    </row>
    <row r="69" s="113" customFormat="1" ht="14.25" customHeight="1" spans="1:6">
      <c r="A69" s="87" t="s">
        <v>261</v>
      </c>
      <c r="B69" s="91" t="s">
        <v>3039</v>
      </c>
      <c r="C69" s="91">
        <v>18810</v>
      </c>
      <c r="D69" s="91">
        <v>15100</v>
      </c>
      <c r="E69" s="91">
        <v>14710</v>
      </c>
      <c r="F69" s="127"/>
    </row>
    <row r="70" s="113" customFormat="1" ht="14.25" customHeight="1" spans="1:6">
      <c r="A70" s="87" t="s">
        <v>261</v>
      </c>
      <c r="B70" s="91" t="s">
        <v>3047</v>
      </c>
      <c r="C70" s="91">
        <v>18270</v>
      </c>
      <c r="D70" s="91"/>
      <c r="E70" s="91"/>
      <c r="F70" s="127"/>
    </row>
    <row r="71" s="113" customFormat="1" ht="14.25" customHeight="1" spans="1:6">
      <c r="A71" s="87" t="s">
        <v>261</v>
      </c>
      <c r="B71" s="91" t="s">
        <v>3054</v>
      </c>
      <c r="C71" s="91">
        <v>15230</v>
      </c>
      <c r="D71" s="91"/>
      <c r="E71" s="91"/>
      <c r="F71" s="127"/>
    </row>
    <row r="72" s="113" customFormat="1" ht="14.25" customHeight="1" spans="1:6">
      <c r="A72" s="87" t="s">
        <v>261</v>
      </c>
      <c r="B72" s="91" t="s">
        <v>3061</v>
      </c>
      <c r="C72" s="91"/>
      <c r="D72" s="91"/>
      <c r="E72" s="91"/>
      <c r="F72" s="127">
        <v>4120</v>
      </c>
    </row>
    <row r="73" s="113" customFormat="1" ht="14.25" customHeight="1" spans="1:6">
      <c r="A73" s="87" t="s">
        <v>261</v>
      </c>
      <c r="B73" s="91" t="s">
        <v>3068</v>
      </c>
      <c r="C73" s="91"/>
      <c r="D73" s="91"/>
      <c r="E73" s="91"/>
      <c r="F73" s="127">
        <v>3930</v>
      </c>
    </row>
    <row r="74" s="113" customFormat="1" ht="14.25" customHeight="1" spans="1:6">
      <c r="A74" s="87" t="s">
        <v>261</v>
      </c>
      <c r="B74" s="91" t="s">
        <v>3075</v>
      </c>
      <c r="C74" s="91"/>
      <c r="D74" s="91"/>
      <c r="E74" s="91"/>
      <c r="F74" s="127">
        <v>4060</v>
      </c>
    </row>
    <row r="75" s="113" customFormat="1" ht="14.25" customHeight="1" spans="1:6">
      <c r="A75" s="87" t="s">
        <v>261</v>
      </c>
      <c r="B75" s="102" t="s">
        <v>3082</v>
      </c>
      <c r="C75" s="102"/>
      <c r="D75" s="102"/>
      <c r="E75" s="102"/>
      <c r="F75" s="129">
        <v>3750</v>
      </c>
    </row>
    <row r="76" s="113" customFormat="1" ht="14.25" customHeight="1" spans="1:6">
      <c r="A76" s="87" t="s">
        <v>269</v>
      </c>
      <c r="B76" s="88" t="s">
        <v>2831</v>
      </c>
      <c r="C76" s="88">
        <v>14690</v>
      </c>
      <c r="D76" s="88">
        <v>14640</v>
      </c>
      <c r="E76" s="88">
        <v>14590</v>
      </c>
      <c r="F76" s="124">
        <v>3060</v>
      </c>
    </row>
    <row r="77" s="113" customFormat="1" ht="14.25" customHeight="1" spans="1:6">
      <c r="A77" s="87" t="s">
        <v>269</v>
      </c>
      <c r="B77" s="91" t="s">
        <v>2844</v>
      </c>
      <c r="C77" s="91">
        <v>12550</v>
      </c>
      <c r="D77" s="91">
        <v>12480</v>
      </c>
      <c r="E77" s="91">
        <v>12450</v>
      </c>
      <c r="F77" s="127">
        <v>2590</v>
      </c>
    </row>
    <row r="78" s="113" customFormat="1" ht="14.25" customHeight="1" spans="1:6">
      <c r="A78" s="87" t="s">
        <v>269</v>
      </c>
      <c r="B78" s="91" t="s">
        <v>2858</v>
      </c>
      <c r="C78" s="91">
        <v>14360</v>
      </c>
      <c r="D78" s="91">
        <v>14320</v>
      </c>
      <c r="E78" s="91">
        <v>12510</v>
      </c>
      <c r="F78" s="127">
        <v>2700</v>
      </c>
    </row>
    <row r="79" s="113" customFormat="1" ht="14.25" customHeight="1" spans="1:6">
      <c r="A79" s="87" t="s">
        <v>269</v>
      </c>
      <c r="B79" s="91" t="s">
        <v>2870</v>
      </c>
      <c r="C79" s="91">
        <v>12590</v>
      </c>
      <c r="D79" s="91">
        <v>12540</v>
      </c>
      <c r="E79" s="91">
        <v>12350</v>
      </c>
      <c r="F79" s="127">
        <v>2740</v>
      </c>
    </row>
    <row r="80" s="113" customFormat="1" ht="14.25" customHeight="1" spans="1:6">
      <c r="A80" s="87" t="s">
        <v>269</v>
      </c>
      <c r="B80" s="91" t="s">
        <v>2882</v>
      </c>
      <c r="C80" s="91">
        <v>12450</v>
      </c>
      <c r="D80" s="91">
        <v>12370</v>
      </c>
      <c r="E80" s="91">
        <v>10790</v>
      </c>
      <c r="F80" s="127">
        <v>2290</v>
      </c>
    </row>
    <row r="81" s="113" customFormat="1" ht="14.25" customHeight="1" spans="1:6">
      <c r="A81" s="87" t="s">
        <v>269</v>
      </c>
      <c r="B81" s="91" t="s">
        <v>2893</v>
      </c>
      <c r="C81" s="91">
        <v>14210</v>
      </c>
      <c r="D81" s="91">
        <v>14150</v>
      </c>
      <c r="E81" s="91">
        <v>12730</v>
      </c>
      <c r="F81" s="127">
        <v>2240</v>
      </c>
    </row>
    <row r="82" s="113" customFormat="1" ht="14.25" customHeight="1" spans="1:6">
      <c r="A82" s="87" t="s">
        <v>269</v>
      </c>
      <c r="B82" s="91" t="s">
        <v>2904</v>
      </c>
      <c r="C82" s="91">
        <v>10860</v>
      </c>
      <c r="D82" s="91">
        <v>10820</v>
      </c>
      <c r="E82" s="91">
        <v>14720</v>
      </c>
      <c r="F82" s="127">
        <v>2490</v>
      </c>
    </row>
    <row r="83" s="113" customFormat="1" ht="14.25" customHeight="1" spans="1:6">
      <c r="A83" s="87" t="s">
        <v>269</v>
      </c>
      <c r="B83" s="91" t="s">
        <v>2915</v>
      </c>
      <c r="C83" s="91">
        <v>12810</v>
      </c>
      <c r="D83" s="91">
        <v>12760</v>
      </c>
      <c r="E83" s="91">
        <v>14830</v>
      </c>
      <c r="F83" s="127">
        <v>2450</v>
      </c>
    </row>
    <row r="84" s="113" customFormat="1" ht="14.25" customHeight="1" spans="1:6">
      <c r="A84" s="87" t="s">
        <v>269</v>
      </c>
      <c r="B84" s="91" t="s">
        <v>2925</v>
      </c>
      <c r="C84" s="91">
        <v>14950</v>
      </c>
      <c r="D84" s="91">
        <v>14810</v>
      </c>
      <c r="E84" s="91">
        <v>12590</v>
      </c>
      <c r="F84" s="127">
        <v>2540</v>
      </c>
    </row>
    <row r="85" s="113" customFormat="1" ht="14.25" customHeight="1" spans="1:6">
      <c r="A85" s="87" t="s">
        <v>269</v>
      </c>
      <c r="B85" s="91" t="s">
        <v>2935</v>
      </c>
      <c r="C85" s="91">
        <v>14960</v>
      </c>
      <c r="D85" s="91">
        <v>14890</v>
      </c>
      <c r="E85" s="91">
        <v>12840</v>
      </c>
      <c r="F85" s="127">
        <v>2840</v>
      </c>
    </row>
    <row r="86" s="113" customFormat="1" ht="14.25" customHeight="1" spans="1:6">
      <c r="A86" s="87" t="s">
        <v>269</v>
      </c>
      <c r="B86" s="91" t="s">
        <v>2945</v>
      </c>
      <c r="C86" s="91">
        <v>12730</v>
      </c>
      <c r="D86" s="91">
        <v>12660</v>
      </c>
      <c r="E86" s="91">
        <v>13310</v>
      </c>
      <c r="F86" s="127">
        <v>3140</v>
      </c>
    </row>
    <row r="87" s="113" customFormat="1" ht="14.25" customHeight="1" spans="1:6">
      <c r="A87" s="87" t="s">
        <v>269</v>
      </c>
      <c r="B87" s="91" t="s">
        <v>2955</v>
      </c>
      <c r="C87" s="91">
        <v>12940</v>
      </c>
      <c r="D87" s="91">
        <v>12890</v>
      </c>
      <c r="E87" s="91">
        <v>11580</v>
      </c>
      <c r="F87" s="130"/>
    </row>
    <row r="88" s="113" customFormat="1" ht="14.25" customHeight="1" spans="1:6">
      <c r="A88" s="87" t="s">
        <v>269</v>
      </c>
      <c r="B88" s="91" t="s">
        <v>2964</v>
      </c>
      <c r="C88" s="91">
        <v>13430</v>
      </c>
      <c r="D88" s="91">
        <v>13360</v>
      </c>
      <c r="E88" s="91">
        <v>12790</v>
      </c>
      <c r="F88" s="130"/>
    </row>
    <row r="89" s="113" customFormat="1" ht="14.25" customHeight="1" spans="1:6">
      <c r="A89" s="87" t="s">
        <v>269</v>
      </c>
      <c r="B89" s="91" t="s">
        <v>2974</v>
      </c>
      <c r="C89" s="91">
        <v>11680</v>
      </c>
      <c r="D89" s="91">
        <v>11630</v>
      </c>
      <c r="E89" s="91">
        <v>11320</v>
      </c>
      <c r="F89" s="130"/>
    </row>
    <row r="90" s="113" customFormat="1" ht="14.25" customHeight="1" spans="1:6">
      <c r="A90" s="87" t="s">
        <v>269</v>
      </c>
      <c r="B90" s="91" t="s">
        <v>2983</v>
      </c>
      <c r="C90" s="91">
        <v>12890</v>
      </c>
      <c r="D90" s="91">
        <v>12820</v>
      </c>
      <c r="E90" s="91">
        <v>12710</v>
      </c>
      <c r="F90" s="130"/>
    </row>
    <row r="91" s="113" customFormat="1" ht="14.25" customHeight="1" spans="1:6">
      <c r="A91" s="87" t="s">
        <v>269</v>
      </c>
      <c r="B91" s="91" t="s">
        <v>2993</v>
      </c>
      <c r="C91" s="91">
        <v>11410</v>
      </c>
      <c r="D91" s="91">
        <v>11360</v>
      </c>
      <c r="E91" s="91">
        <v>12670</v>
      </c>
      <c r="F91" s="130"/>
    </row>
    <row r="92" s="113" customFormat="1" ht="14.25" customHeight="1" spans="1:6">
      <c r="A92" s="87" t="s">
        <v>269</v>
      </c>
      <c r="B92" s="91" t="s">
        <v>3003</v>
      </c>
      <c r="C92" s="91">
        <v>12770</v>
      </c>
      <c r="D92" s="91">
        <v>12740</v>
      </c>
      <c r="E92" s="91">
        <v>11970</v>
      </c>
      <c r="F92" s="130"/>
    </row>
    <row r="93" s="113" customFormat="1" ht="14.25" customHeight="1" spans="1:6">
      <c r="A93" s="87" t="s">
        <v>269</v>
      </c>
      <c r="B93" s="91" t="s">
        <v>3013</v>
      </c>
      <c r="C93" s="91">
        <v>12740</v>
      </c>
      <c r="D93" s="91">
        <v>12700</v>
      </c>
      <c r="E93" s="91">
        <v>12540</v>
      </c>
      <c r="F93" s="130"/>
    </row>
    <row r="94" s="113" customFormat="1" ht="14.25" customHeight="1" spans="1:6">
      <c r="A94" s="87" t="s">
        <v>269</v>
      </c>
      <c r="B94" s="91" t="s">
        <v>3023</v>
      </c>
      <c r="C94" s="91">
        <v>12020</v>
      </c>
      <c r="D94" s="91">
        <v>11990</v>
      </c>
      <c r="E94" s="91">
        <v>13110</v>
      </c>
      <c r="F94" s="130"/>
    </row>
    <row r="95" s="113" customFormat="1" ht="14.25" customHeight="1" spans="1:6">
      <c r="A95" s="87" t="s">
        <v>269</v>
      </c>
      <c r="B95" s="91" t="s">
        <v>3032</v>
      </c>
      <c r="C95" s="91">
        <v>12620</v>
      </c>
      <c r="D95" s="91">
        <v>12580</v>
      </c>
      <c r="E95" s="91">
        <v>13160</v>
      </c>
      <c r="F95" s="127"/>
    </row>
    <row r="96" s="113" customFormat="1" ht="14.25" customHeight="1" spans="1:6">
      <c r="A96" s="87" t="s">
        <v>269</v>
      </c>
      <c r="B96" s="91" t="s">
        <v>3040</v>
      </c>
      <c r="C96" s="91">
        <v>13200</v>
      </c>
      <c r="D96" s="91">
        <v>13150</v>
      </c>
      <c r="E96" s="91">
        <v>12900</v>
      </c>
      <c r="F96" s="127"/>
    </row>
    <row r="97" s="113" customFormat="1" ht="14.25" customHeight="1" spans="1:6">
      <c r="A97" s="87" t="s">
        <v>269</v>
      </c>
      <c r="B97" s="91" t="s">
        <v>3048</v>
      </c>
      <c r="C97" s="91">
        <v>13270</v>
      </c>
      <c r="D97" s="91">
        <v>13210</v>
      </c>
      <c r="E97" s="91">
        <v>11080</v>
      </c>
      <c r="F97" s="127"/>
    </row>
    <row r="98" s="113" customFormat="1" ht="14.25" customHeight="1" spans="1:6">
      <c r="A98" s="87" t="s">
        <v>269</v>
      </c>
      <c r="B98" s="91" t="s">
        <v>3055</v>
      </c>
      <c r="C98" s="91">
        <v>13010</v>
      </c>
      <c r="D98" s="91">
        <v>12930</v>
      </c>
      <c r="E98" s="91">
        <v>12840</v>
      </c>
      <c r="F98" s="127"/>
    </row>
    <row r="99" s="113" customFormat="1" ht="14.25" customHeight="1" spans="1:6">
      <c r="A99" s="87" t="s">
        <v>269</v>
      </c>
      <c r="B99" s="91" t="s">
        <v>3062</v>
      </c>
      <c r="C99" s="91">
        <v>11190</v>
      </c>
      <c r="D99" s="91">
        <v>11130</v>
      </c>
      <c r="E99" s="91"/>
      <c r="F99" s="127"/>
    </row>
    <row r="100" s="113" customFormat="1" ht="14.25" customHeight="1" spans="1:6">
      <c r="A100" s="87" t="s">
        <v>269</v>
      </c>
      <c r="B100" s="91" t="s">
        <v>3069</v>
      </c>
      <c r="C100" s="91">
        <v>14280</v>
      </c>
      <c r="D100" s="91">
        <v>14180</v>
      </c>
      <c r="E100" s="91"/>
      <c r="F100" s="127"/>
    </row>
    <row r="101" s="113" customFormat="1" ht="14.25" customHeight="1" spans="1:6">
      <c r="A101" s="87" t="s">
        <v>269</v>
      </c>
      <c r="B101" s="91" t="s">
        <v>3076</v>
      </c>
      <c r="C101" s="91">
        <v>12960</v>
      </c>
      <c r="D101" s="91">
        <v>12890</v>
      </c>
      <c r="E101" s="91"/>
      <c r="F101" s="127"/>
    </row>
    <row r="102" s="113" customFormat="1" ht="14.25" customHeight="1" spans="1:6">
      <c r="A102" s="87" t="s">
        <v>269</v>
      </c>
      <c r="B102" s="91" t="s">
        <v>3083</v>
      </c>
      <c r="C102" s="91"/>
      <c r="D102" s="91"/>
      <c r="E102" s="91"/>
      <c r="F102" s="127">
        <v>3100</v>
      </c>
    </row>
    <row r="103" s="113" customFormat="1" ht="14.25" customHeight="1" spans="1:6">
      <c r="A103" s="87" t="s">
        <v>269</v>
      </c>
      <c r="B103" s="91" t="s">
        <v>3088</v>
      </c>
      <c r="C103" s="91"/>
      <c r="D103" s="91"/>
      <c r="E103" s="91"/>
      <c r="F103" s="127">
        <v>2320</v>
      </c>
    </row>
    <row r="104" s="113" customFormat="1" ht="14.25" customHeight="1" spans="1:6">
      <c r="A104" s="87" t="s">
        <v>269</v>
      </c>
      <c r="B104" s="91" t="s">
        <v>3093</v>
      </c>
      <c r="C104" s="91"/>
      <c r="D104" s="91"/>
      <c r="E104" s="91"/>
      <c r="F104" s="127">
        <v>2320</v>
      </c>
    </row>
    <row r="105" s="113" customFormat="1" ht="14.25" customHeight="1" spans="1:6">
      <c r="A105" s="87" t="s">
        <v>269</v>
      </c>
      <c r="B105" s="91" t="s">
        <v>3098</v>
      </c>
      <c r="C105" s="91"/>
      <c r="D105" s="91"/>
      <c r="E105" s="91"/>
      <c r="F105" s="127">
        <v>2320</v>
      </c>
    </row>
    <row r="106" s="113" customFormat="1" ht="14.25" customHeight="1" spans="1:6">
      <c r="A106" s="87" t="s">
        <v>269</v>
      </c>
      <c r="B106" s="91" t="s">
        <v>3103</v>
      </c>
      <c r="C106" s="91"/>
      <c r="D106" s="91"/>
      <c r="E106" s="91"/>
      <c r="F106" s="127">
        <v>2320</v>
      </c>
    </row>
    <row r="107" s="113" customFormat="1" ht="14.25" customHeight="1" spans="1:6">
      <c r="A107" s="87" t="s">
        <v>269</v>
      </c>
      <c r="B107" s="91" t="s">
        <v>3108</v>
      </c>
      <c r="C107" s="91"/>
      <c r="D107" s="91"/>
      <c r="E107" s="91"/>
      <c r="F107" s="127">
        <v>2280</v>
      </c>
    </row>
    <row r="108" s="113" customFormat="1" ht="14.25" customHeight="1" spans="1:6">
      <c r="A108" s="87" t="s">
        <v>269</v>
      </c>
      <c r="B108" s="91" t="s">
        <v>3113</v>
      </c>
      <c r="C108" s="91"/>
      <c r="D108" s="91"/>
      <c r="E108" s="91"/>
      <c r="F108" s="127">
        <v>2280</v>
      </c>
    </row>
    <row r="109" s="113" customFormat="1" ht="14.25" customHeight="1" spans="1:6">
      <c r="A109" s="87" t="s">
        <v>269</v>
      </c>
      <c r="B109" s="102" t="s">
        <v>3118</v>
      </c>
      <c r="C109" s="102"/>
      <c r="D109" s="102"/>
      <c r="E109" s="102"/>
      <c r="F109" s="129">
        <v>2280</v>
      </c>
    </row>
    <row r="110" s="113" customFormat="1" ht="14.25" customHeight="1" spans="1:6">
      <c r="A110" s="87" t="s">
        <v>275</v>
      </c>
      <c r="B110" s="88" t="s">
        <v>2832</v>
      </c>
      <c r="C110" s="88">
        <v>10520</v>
      </c>
      <c r="D110" s="88">
        <v>10490</v>
      </c>
      <c r="E110" s="88">
        <v>10760</v>
      </c>
      <c r="F110" s="124">
        <v>2160</v>
      </c>
    </row>
    <row r="111" s="113" customFormat="1" ht="14.25" customHeight="1" spans="1:6">
      <c r="A111" s="87" t="s">
        <v>275</v>
      </c>
      <c r="B111" s="91" t="s">
        <v>2845</v>
      </c>
      <c r="C111" s="91">
        <v>10090</v>
      </c>
      <c r="D111" s="91">
        <v>10060</v>
      </c>
      <c r="E111" s="91">
        <v>10300</v>
      </c>
      <c r="F111" s="127">
        <v>2010</v>
      </c>
    </row>
    <row r="112" s="113" customFormat="1" ht="14.25" customHeight="1" spans="1:6">
      <c r="A112" s="87" t="s">
        <v>275</v>
      </c>
      <c r="B112" s="91" t="s">
        <v>2859</v>
      </c>
      <c r="C112" s="91">
        <v>9910</v>
      </c>
      <c r="D112" s="91">
        <v>9850</v>
      </c>
      <c r="E112" s="91">
        <v>9960</v>
      </c>
      <c r="F112" s="127">
        <v>2090</v>
      </c>
    </row>
    <row r="113" s="113" customFormat="1" ht="14.25" customHeight="1" spans="1:6">
      <c r="A113" s="87" t="s">
        <v>275</v>
      </c>
      <c r="B113" s="91" t="s">
        <v>2871</v>
      </c>
      <c r="C113" s="91">
        <v>11430</v>
      </c>
      <c r="D113" s="91">
        <v>11400</v>
      </c>
      <c r="E113" s="91">
        <v>11710</v>
      </c>
      <c r="F113" s="127">
        <v>2050</v>
      </c>
    </row>
    <row r="114" s="113" customFormat="1" ht="14.25" customHeight="1" spans="1:6">
      <c r="A114" s="87" t="s">
        <v>275</v>
      </c>
      <c r="B114" s="91" t="s">
        <v>2883</v>
      </c>
      <c r="C114" s="91">
        <v>11390</v>
      </c>
      <c r="D114" s="91">
        <v>11350</v>
      </c>
      <c r="E114" s="91">
        <v>11640</v>
      </c>
      <c r="F114" s="127">
        <v>1620</v>
      </c>
    </row>
    <row r="115" s="113" customFormat="1" ht="14.25" customHeight="1" spans="1:6">
      <c r="A115" s="87" t="s">
        <v>275</v>
      </c>
      <c r="B115" s="91" t="s">
        <v>2894</v>
      </c>
      <c r="C115" s="91">
        <v>9930</v>
      </c>
      <c r="D115" s="91">
        <v>9900</v>
      </c>
      <c r="E115" s="91">
        <v>10160</v>
      </c>
      <c r="F115" s="127">
        <v>1580</v>
      </c>
    </row>
    <row r="116" s="113" customFormat="1" ht="14.25" customHeight="1" spans="1:6">
      <c r="A116" s="87" t="s">
        <v>275</v>
      </c>
      <c r="B116" s="91" t="s">
        <v>2905</v>
      </c>
      <c r="C116" s="91">
        <v>9150</v>
      </c>
      <c r="D116" s="91">
        <v>9120</v>
      </c>
      <c r="E116" s="91">
        <v>9380</v>
      </c>
      <c r="F116" s="127">
        <v>1750</v>
      </c>
    </row>
    <row r="117" s="113" customFormat="1" ht="14.25" customHeight="1" spans="1:6">
      <c r="A117" s="87" t="s">
        <v>275</v>
      </c>
      <c r="B117" s="91" t="s">
        <v>2916</v>
      </c>
      <c r="C117" s="91">
        <v>10680</v>
      </c>
      <c r="D117" s="91">
        <v>10650</v>
      </c>
      <c r="E117" s="91">
        <v>10970</v>
      </c>
      <c r="F117" s="127">
        <v>1730</v>
      </c>
    </row>
    <row r="118" s="113" customFormat="1" ht="14.25" customHeight="1" spans="1:6">
      <c r="A118" s="87" t="s">
        <v>275</v>
      </c>
      <c r="B118" s="91" t="s">
        <v>2926</v>
      </c>
      <c r="C118" s="91">
        <v>10080</v>
      </c>
      <c r="D118" s="91">
        <v>10050</v>
      </c>
      <c r="E118" s="91">
        <v>10350</v>
      </c>
      <c r="F118" s="127">
        <v>1920</v>
      </c>
    </row>
    <row r="119" s="113" customFormat="1" ht="14.25" customHeight="1" spans="1:6">
      <c r="A119" s="87" t="s">
        <v>275</v>
      </c>
      <c r="B119" s="91" t="s">
        <v>2936</v>
      </c>
      <c r="C119" s="91">
        <v>9450</v>
      </c>
      <c r="D119" s="91">
        <v>9410</v>
      </c>
      <c r="E119" s="91">
        <v>9680</v>
      </c>
      <c r="F119" s="127">
        <v>1880</v>
      </c>
    </row>
    <row r="120" s="113" customFormat="1" ht="14.25" customHeight="1" spans="1:6">
      <c r="A120" s="87" t="s">
        <v>275</v>
      </c>
      <c r="B120" s="91" t="s">
        <v>2946</v>
      </c>
      <c r="C120" s="91">
        <v>8730</v>
      </c>
      <c r="D120" s="91">
        <v>8700</v>
      </c>
      <c r="E120" s="91">
        <v>8950</v>
      </c>
      <c r="F120" s="127">
        <v>1830</v>
      </c>
    </row>
    <row r="121" s="113" customFormat="1" ht="14.25" customHeight="1" spans="1:6">
      <c r="A121" s="87" t="s">
        <v>275</v>
      </c>
      <c r="B121" s="91" t="s">
        <v>2956</v>
      </c>
      <c r="C121" s="91">
        <v>10070</v>
      </c>
      <c r="D121" s="91">
        <v>10040</v>
      </c>
      <c r="E121" s="91">
        <v>10270</v>
      </c>
      <c r="F121" s="127">
        <v>1960</v>
      </c>
    </row>
    <row r="122" s="113" customFormat="1" ht="14.25" customHeight="1" spans="1:6">
      <c r="A122" s="87" t="s">
        <v>275</v>
      </c>
      <c r="B122" s="91" t="s">
        <v>2965</v>
      </c>
      <c r="C122" s="91">
        <v>10500</v>
      </c>
      <c r="D122" s="91">
        <v>10470</v>
      </c>
      <c r="E122" s="91">
        <v>10780</v>
      </c>
      <c r="F122" s="127">
        <v>2180</v>
      </c>
    </row>
    <row r="123" s="113" customFormat="1" ht="14.25" customHeight="1" spans="1:6">
      <c r="A123" s="87" t="s">
        <v>275</v>
      </c>
      <c r="B123" s="91" t="s">
        <v>2975</v>
      </c>
      <c r="C123" s="91">
        <v>10390</v>
      </c>
      <c r="D123" s="91">
        <v>10360</v>
      </c>
      <c r="E123" s="91">
        <v>10660</v>
      </c>
      <c r="F123" s="127">
        <v>2040</v>
      </c>
    </row>
    <row r="124" s="113" customFormat="1" ht="14.25" customHeight="1" spans="1:6">
      <c r="A124" s="87" t="s">
        <v>275</v>
      </c>
      <c r="B124" s="91" t="s">
        <v>2984</v>
      </c>
      <c r="C124" s="91">
        <v>10390</v>
      </c>
      <c r="D124" s="91">
        <v>10360</v>
      </c>
      <c r="E124" s="91">
        <v>10680</v>
      </c>
      <c r="F124" s="130"/>
    </row>
    <row r="125" s="113" customFormat="1" ht="14.25" customHeight="1" spans="1:6">
      <c r="A125" s="87" t="s">
        <v>275</v>
      </c>
      <c r="B125" s="91" t="s">
        <v>2994</v>
      </c>
      <c r="C125" s="91">
        <v>10440</v>
      </c>
      <c r="D125" s="91">
        <v>10410</v>
      </c>
      <c r="E125" s="91">
        <v>10710</v>
      </c>
      <c r="F125" s="130"/>
    </row>
    <row r="126" s="113" customFormat="1" ht="14.25" customHeight="1" spans="1:6">
      <c r="A126" s="87" t="s">
        <v>275</v>
      </c>
      <c r="B126" s="91" t="s">
        <v>3004</v>
      </c>
      <c r="C126" s="91">
        <v>10780</v>
      </c>
      <c r="D126" s="91">
        <v>10750</v>
      </c>
      <c r="E126" s="91">
        <v>11080</v>
      </c>
      <c r="F126" s="130"/>
    </row>
    <row r="127" s="113" customFormat="1" ht="14.25" customHeight="1" spans="1:6">
      <c r="A127" s="87" t="s">
        <v>275</v>
      </c>
      <c r="B127" s="91" t="s">
        <v>3014</v>
      </c>
      <c r="C127" s="91">
        <v>10100</v>
      </c>
      <c r="D127" s="91">
        <v>10070</v>
      </c>
      <c r="E127" s="91">
        <v>10350</v>
      </c>
      <c r="F127" s="130"/>
    </row>
    <row r="128" s="113" customFormat="1" ht="14.25" customHeight="1" spans="1:6">
      <c r="A128" s="87" t="s">
        <v>275</v>
      </c>
      <c r="B128" s="91" t="s">
        <v>3024</v>
      </c>
      <c r="C128" s="91">
        <v>9200</v>
      </c>
      <c r="D128" s="91">
        <v>9160</v>
      </c>
      <c r="E128" s="91">
        <v>9660</v>
      </c>
      <c r="F128" s="130"/>
    </row>
    <row r="129" s="113" customFormat="1" ht="14.25" customHeight="1" spans="1:6">
      <c r="A129" s="87" t="s">
        <v>275</v>
      </c>
      <c r="B129" s="91" t="s">
        <v>3033</v>
      </c>
      <c r="C129" s="91">
        <v>10340</v>
      </c>
      <c r="D129" s="91">
        <v>10310</v>
      </c>
      <c r="E129" s="91">
        <v>10580</v>
      </c>
      <c r="F129" s="130"/>
    </row>
    <row r="130" s="113" customFormat="1" ht="14.25" customHeight="1" spans="1:6">
      <c r="A130" s="87" t="s">
        <v>275</v>
      </c>
      <c r="B130" s="91" t="s">
        <v>3041</v>
      </c>
      <c r="C130" s="91">
        <v>9680</v>
      </c>
      <c r="D130" s="91">
        <v>9660</v>
      </c>
      <c r="E130" s="91">
        <v>9950</v>
      </c>
      <c r="F130" s="130"/>
    </row>
    <row r="131" s="113" customFormat="1" ht="14.25" customHeight="1" spans="1:6">
      <c r="A131" s="87" t="s">
        <v>275</v>
      </c>
      <c r="B131" s="91" t="s">
        <v>3049</v>
      </c>
      <c r="C131" s="91">
        <v>9540</v>
      </c>
      <c r="D131" s="91">
        <v>9510</v>
      </c>
      <c r="E131" s="91">
        <v>9790</v>
      </c>
      <c r="F131" s="130"/>
    </row>
    <row r="132" s="113" customFormat="1" ht="14.25" customHeight="1" spans="1:6">
      <c r="A132" s="87" t="s">
        <v>275</v>
      </c>
      <c r="B132" s="91" t="s">
        <v>3056</v>
      </c>
      <c r="C132" s="91">
        <v>9320</v>
      </c>
      <c r="D132" s="91">
        <v>9290</v>
      </c>
      <c r="E132" s="91">
        <v>9570</v>
      </c>
      <c r="F132" s="130"/>
    </row>
    <row r="133" s="113" customFormat="1" ht="14.25" customHeight="1" spans="1:6">
      <c r="A133" s="87" t="s">
        <v>275</v>
      </c>
      <c r="B133" s="91" t="s">
        <v>3063</v>
      </c>
      <c r="C133" s="91">
        <v>10310</v>
      </c>
      <c r="D133" s="91">
        <v>10280</v>
      </c>
      <c r="E133" s="91">
        <v>10530</v>
      </c>
      <c r="F133" s="130"/>
    </row>
    <row r="134" s="113" customFormat="1" ht="14.25" customHeight="1" spans="1:6">
      <c r="A134" s="87" t="s">
        <v>275</v>
      </c>
      <c r="B134" s="91" t="s">
        <v>3070</v>
      </c>
      <c r="C134" s="91">
        <v>10370</v>
      </c>
      <c r="D134" s="91">
        <v>10310</v>
      </c>
      <c r="E134" s="91">
        <v>10240</v>
      </c>
      <c r="F134" s="127">
        <v>2060</v>
      </c>
    </row>
    <row r="135" s="113" customFormat="1" ht="14.25" customHeight="1" spans="1:6">
      <c r="A135" s="87" t="s">
        <v>275</v>
      </c>
      <c r="B135" s="91" t="s">
        <v>3077</v>
      </c>
      <c r="C135" s="91">
        <v>9300</v>
      </c>
      <c r="D135" s="91">
        <v>9270</v>
      </c>
      <c r="E135" s="91">
        <v>9350</v>
      </c>
      <c r="F135" s="130"/>
    </row>
    <row r="136" s="113" customFormat="1" ht="14.25" customHeight="1" spans="1:6">
      <c r="A136" s="87" t="s">
        <v>275</v>
      </c>
      <c r="B136" s="91" t="s">
        <v>3084</v>
      </c>
      <c r="C136" s="91">
        <v>10160</v>
      </c>
      <c r="D136" s="91">
        <v>10110</v>
      </c>
      <c r="E136" s="91">
        <v>10080</v>
      </c>
      <c r="F136" s="130"/>
    </row>
    <row r="137" s="113" customFormat="1" ht="14.25" customHeight="1" spans="1:6">
      <c r="A137" s="87" t="s">
        <v>275</v>
      </c>
      <c r="B137" s="91" t="s">
        <v>3089</v>
      </c>
      <c r="C137" s="91">
        <v>9200</v>
      </c>
      <c r="D137" s="91">
        <v>9170</v>
      </c>
      <c r="E137" s="91">
        <v>9450</v>
      </c>
      <c r="F137" s="130"/>
    </row>
    <row r="138" s="113" customFormat="1" ht="14.25" customHeight="1" spans="1:6">
      <c r="A138" s="87" t="s">
        <v>275</v>
      </c>
      <c r="B138" s="91" t="s">
        <v>3094</v>
      </c>
      <c r="C138" s="91">
        <v>9690</v>
      </c>
      <c r="D138" s="91">
        <v>9660</v>
      </c>
      <c r="E138" s="91">
        <v>9840</v>
      </c>
      <c r="F138" s="130"/>
    </row>
    <row r="139" s="113" customFormat="1" ht="14.25" customHeight="1" spans="1:6">
      <c r="A139" s="87" t="s">
        <v>275</v>
      </c>
      <c r="B139" s="91" t="s">
        <v>3099</v>
      </c>
      <c r="C139" s="91">
        <v>10290</v>
      </c>
      <c r="D139" s="91">
        <v>10260</v>
      </c>
      <c r="E139" s="91">
        <v>10550</v>
      </c>
      <c r="F139" s="127">
        <v>1700</v>
      </c>
    </row>
    <row r="140" s="113" customFormat="1" ht="14.25" customHeight="1" spans="1:6">
      <c r="A140" s="87" t="s">
        <v>275</v>
      </c>
      <c r="B140" s="91" t="s">
        <v>3104</v>
      </c>
      <c r="C140" s="91">
        <v>9740</v>
      </c>
      <c r="D140" s="91">
        <v>9710</v>
      </c>
      <c r="E140" s="91">
        <v>10000</v>
      </c>
      <c r="F140" s="127">
        <v>2000</v>
      </c>
    </row>
    <row r="141" s="113" customFormat="1" ht="14.25" customHeight="1" spans="1:6">
      <c r="A141" s="87" t="s">
        <v>275</v>
      </c>
      <c r="B141" s="91" t="s">
        <v>3109</v>
      </c>
      <c r="C141" s="91">
        <v>9810</v>
      </c>
      <c r="D141" s="91">
        <v>9770</v>
      </c>
      <c r="E141" s="91">
        <v>10060</v>
      </c>
      <c r="F141" s="130"/>
    </row>
    <row r="142" s="113" customFormat="1" ht="14.25" customHeight="1" spans="1:6">
      <c r="A142" s="87" t="s">
        <v>275</v>
      </c>
      <c r="B142" s="91" t="s">
        <v>3114</v>
      </c>
      <c r="C142" s="91">
        <v>9300</v>
      </c>
      <c r="D142" s="91">
        <v>9270</v>
      </c>
      <c r="E142" s="91">
        <v>9530</v>
      </c>
      <c r="F142" s="130"/>
    </row>
    <row r="143" s="113" customFormat="1" ht="14.25" customHeight="1" spans="1:6">
      <c r="A143" s="87" t="s">
        <v>275</v>
      </c>
      <c r="B143" s="91" t="s">
        <v>3119</v>
      </c>
      <c r="C143" s="91">
        <v>10080</v>
      </c>
      <c r="D143" s="91">
        <v>10050</v>
      </c>
      <c r="E143" s="91">
        <v>10340</v>
      </c>
      <c r="F143" s="130"/>
    </row>
    <row r="144" s="113" customFormat="1" ht="14.25" customHeight="1" spans="1:6">
      <c r="A144" s="87" t="s">
        <v>275</v>
      </c>
      <c r="B144" s="91" t="s">
        <v>3123</v>
      </c>
      <c r="C144" s="91">
        <v>9820</v>
      </c>
      <c r="D144" s="91">
        <v>9750</v>
      </c>
      <c r="E144" s="91">
        <v>9900</v>
      </c>
      <c r="F144" s="130"/>
    </row>
    <row r="145" s="113" customFormat="1" ht="14.25" customHeight="1" spans="1:6">
      <c r="A145" s="87" t="s">
        <v>275</v>
      </c>
      <c r="B145" s="91" t="s">
        <v>3127</v>
      </c>
      <c r="C145" s="91"/>
      <c r="D145" s="91"/>
      <c r="E145" s="91"/>
      <c r="F145" s="127">
        <v>1740</v>
      </c>
    </row>
    <row r="146" s="113" customFormat="1" ht="14.25" customHeight="1" spans="1:6">
      <c r="A146" s="87" t="s">
        <v>275</v>
      </c>
      <c r="B146" s="91" t="s">
        <v>3131</v>
      </c>
      <c r="C146" s="91"/>
      <c r="D146" s="91"/>
      <c r="E146" s="91"/>
      <c r="F146" s="127">
        <v>1740</v>
      </c>
    </row>
    <row r="147" s="113" customFormat="1" ht="14.25" customHeight="1" spans="1:6">
      <c r="A147" s="87" t="s">
        <v>275</v>
      </c>
      <c r="B147" s="91" t="s">
        <v>3135</v>
      </c>
      <c r="C147" s="91"/>
      <c r="D147" s="91"/>
      <c r="E147" s="91"/>
      <c r="F147" s="127">
        <v>1740</v>
      </c>
    </row>
    <row r="148" s="113" customFormat="1" ht="14.25" customHeight="1" spans="1:6">
      <c r="A148" s="87" t="s">
        <v>275</v>
      </c>
      <c r="B148" s="91" t="s">
        <v>3139</v>
      </c>
      <c r="C148" s="91"/>
      <c r="D148" s="91"/>
      <c r="E148" s="91"/>
      <c r="F148" s="127">
        <v>1740</v>
      </c>
    </row>
    <row r="149" s="113" customFormat="1" ht="14.25" customHeight="1" spans="1:6">
      <c r="A149" s="87" t="s">
        <v>275</v>
      </c>
      <c r="B149" s="91" t="s">
        <v>3143</v>
      </c>
      <c r="C149" s="91"/>
      <c r="D149" s="91"/>
      <c r="E149" s="91"/>
      <c r="F149" s="127">
        <v>1740</v>
      </c>
    </row>
    <row r="150" s="113" customFormat="1" ht="14.25" customHeight="1" spans="1:6">
      <c r="A150" s="87" t="s">
        <v>275</v>
      </c>
      <c r="B150" s="91" t="s">
        <v>3146</v>
      </c>
      <c r="C150" s="91"/>
      <c r="D150" s="91"/>
      <c r="E150" s="91"/>
      <c r="F150" s="127">
        <v>1610</v>
      </c>
    </row>
    <row r="151" s="113" customFormat="1" ht="14.25" customHeight="1" spans="1:6">
      <c r="A151" s="87" t="s">
        <v>275</v>
      </c>
      <c r="B151" s="91" t="s">
        <v>3149</v>
      </c>
      <c r="C151" s="91"/>
      <c r="D151" s="91"/>
      <c r="E151" s="91"/>
      <c r="F151" s="127">
        <v>1610</v>
      </c>
    </row>
    <row r="152" s="113" customFormat="1" ht="14.25" customHeight="1" spans="1:6">
      <c r="A152" s="87" t="s">
        <v>275</v>
      </c>
      <c r="B152" s="91" t="s">
        <v>3152</v>
      </c>
      <c r="C152" s="91"/>
      <c r="D152" s="91"/>
      <c r="E152" s="91"/>
      <c r="F152" s="127">
        <v>1610</v>
      </c>
    </row>
    <row r="153" s="113" customFormat="1" ht="14.25" customHeight="1" spans="1:6">
      <c r="A153" s="87" t="s">
        <v>275</v>
      </c>
      <c r="B153" s="91" t="s">
        <v>3155</v>
      </c>
      <c r="C153" s="91"/>
      <c r="D153" s="91"/>
      <c r="E153" s="91"/>
      <c r="F153" s="127">
        <v>1610</v>
      </c>
    </row>
    <row r="154" s="113" customFormat="1" ht="14.25" customHeight="1" spans="1:6">
      <c r="A154" s="87" t="s">
        <v>275</v>
      </c>
      <c r="B154" s="91" t="s">
        <v>3158</v>
      </c>
      <c r="C154" s="91"/>
      <c r="D154" s="91"/>
      <c r="E154" s="91"/>
      <c r="F154" s="127">
        <v>1610</v>
      </c>
    </row>
    <row r="155" s="113" customFormat="1" ht="14.25" customHeight="1" spans="1:6">
      <c r="A155" s="87" t="s">
        <v>275</v>
      </c>
      <c r="B155" s="91" t="s">
        <v>3161</v>
      </c>
      <c r="C155" s="91"/>
      <c r="D155" s="91"/>
      <c r="E155" s="91"/>
      <c r="F155" s="127">
        <v>1800</v>
      </c>
    </row>
    <row r="156" s="113" customFormat="1" ht="14.25" customHeight="1" spans="1:6">
      <c r="A156" s="87" t="s">
        <v>275</v>
      </c>
      <c r="B156" s="91" t="s">
        <v>3163</v>
      </c>
      <c r="C156" s="91"/>
      <c r="D156" s="91"/>
      <c r="E156" s="91"/>
      <c r="F156" s="127">
        <v>1910</v>
      </c>
    </row>
    <row r="157" s="113" customFormat="1" ht="14.25" customHeight="1" spans="1:6">
      <c r="A157" s="87" t="s">
        <v>275</v>
      </c>
      <c r="B157" s="102" t="s">
        <v>3165</v>
      </c>
      <c r="C157" s="102"/>
      <c r="D157" s="102"/>
      <c r="E157" s="102"/>
      <c r="F157" s="129">
        <v>1500</v>
      </c>
    </row>
    <row r="158" s="113" customFormat="1" ht="14.25" customHeight="1" spans="1:6">
      <c r="A158" s="87" t="s">
        <v>280</v>
      </c>
      <c r="B158" s="88" t="s">
        <v>2833</v>
      </c>
      <c r="C158" s="88">
        <v>8170</v>
      </c>
      <c r="D158" s="88">
        <v>8140</v>
      </c>
      <c r="E158" s="88">
        <v>8590</v>
      </c>
      <c r="F158" s="124">
        <v>1450</v>
      </c>
    </row>
    <row r="159" s="113" customFormat="1" ht="14.25" customHeight="1" spans="1:6">
      <c r="A159" s="87" t="s">
        <v>280</v>
      </c>
      <c r="B159" s="91" t="s">
        <v>2846</v>
      </c>
      <c r="C159" s="91">
        <v>7410</v>
      </c>
      <c r="D159" s="91">
        <v>7370</v>
      </c>
      <c r="E159" s="91">
        <v>8030</v>
      </c>
      <c r="F159" s="127">
        <v>1510</v>
      </c>
    </row>
    <row r="160" s="113" customFormat="1" ht="14.25" customHeight="1" spans="1:6">
      <c r="A160" s="87" t="s">
        <v>280</v>
      </c>
      <c r="B160" s="91" t="s">
        <v>2860</v>
      </c>
      <c r="C160" s="91">
        <v>7240</v>
      </c>
      <c r="D160" s="91">
        <v>7210</v>
      </c>
      <c r="E160" s="91">
        <v>7860</v>
      </c>
      <c r="F160" s="127">
        <v>1370</v>
      </c>
    </row>
    <row r="161" s="113" customFormat="1" ht="14.25" customHeight="1" spans="1:6">
      <c r="A161" s="87" t="s">
        <v>280</v>
      </c>
      <c r="B161" s="91" t="s">
        <v>2872</v>
      </c>
      <c r="C161" s="91">
        <v>7720</v>
      </c>
      <c r="D161" s="91">
        <v>7690</v>
      </c>
      <c r="E161" s="91">
        <v>8200</v>
      </c>
      <c r="F161" s="127">
        <v>1190</v>
      </c>
    </row>
    <row r="162" s="113" customFormat="1" ht="14.25" customHeight="1" spans="1:6">
      <c r="A162" s="87" t="s">
        <v>280</v>
      </c>
      <c r="B162" s="91" t="s">
        <v>2884</v>
      </c>
      <c r="C162" s="91">
        <v>6900</v>
      </c>
      <c r="D162" s="91">
        <v>6870</v>
      </c>
      <c r="E162" s="91">
        <v>7500</v>
      </c>
      <c r="F162" s="127">
        <v>1390</v>
      </c>
    </row>
    <row r="163" s="113" customFormat="1" ht="14.25" customHeight="1" spans="1:6">
      <c r="A163" s="87" t="s">
        <v>280</v>
      </c>
      <c r="B163" s="91" t="s">
        <v>2895</v>
      </c>
      <c r="C163" s="91">
        <v>7120</v>
      </c>
      <c r="D163" s="91">
        <v>7090</v>
      </c>
      <c r="E163" s="91">
        <v>7690</v>
      </c>
      <c r="F163" s="127">
        <v>1230</v>
      </c>
    </row>
    <row r="164" s="113" customFormat="1" ht="14.25" customHeight="1" spans="1:6">
      <c r="A164" s="87" t="s">
        <v>280</v>
      </c>
      <c r="B164" s="91" t="s">
        <v>2906</v>
      </c>
      <c r="C164" s="91">
        <v>6560</v>
      </c>
      <c r="D164" s="91">
        <v>6530</v>
      </c>
      <c r="E164" s="91">
        <v>7110</v>
      </c>
      <c r="F164" s="127">
        <v>1340</v>
      </c>
    </row>
    <row r="165" s="113" customFormat="1" ht="14.25" customHeight="1" spans="1:6">
      <c r="A165" s="87" t="s">
        <v>280</v>
      </c>
      <c r="B165" s="91" t="s">
        <v>2917</v>
      </c>
      <c r="C165" s="91">
        <v>7450</v>
      </c>
      <c r="D165" s="91">
        <v>7430</v>
      </c>
      <c r="E165" s="91">
        <v>8110</v>
      </c>
      <c r="F165" s="127">
        <v>1290</v>
      </c>
    </row>
    <row r="166" s="113" customFormat="1" ht="14.25" customHeight="1" spans="1:6">
      <c r="A166" s="87" t="s">
        <v>280</v>
      </c>
      <c r="B166" s="91" t="s">
        <v>2927</v>
      </c>
      <c r="C166" s="91">
        <v>7490</v>
      </c>
      <c r="D166" s="91">
        <v>7460</v>
      </c>
      <c r="E166" s="91">
        <v>8150</v>
      </c>
      <c r="F166" s="127">
        <v>1350</v>
      </c>
    </row>
    <row r="167" s="113" customFormat="1" ht="14.25" customHeight="1" spans="1:6">
      <c r="A167" s="87" t="s">
        <v>280</v>
      </c>
      <c r="B167" s="91" t="s">
        <v>2937</v>
      </c>
      <c r="C167" s="91">
        <v>7540</v>
      </c>
      <c r="D167" s="91">
        <v>7510</v>
      </c>
      <c r="E167" s="91">
        <v>8030</v>
      </c>
      <c r="F167" s="130"/>
    </row>
    <row r="168" s="113" customFormat="1" ht="14.25" customHeight="1" spans="1:6">
      <c r="A168" s="87" t="s">
        <v>280</v>
      </c>
      <c r="B168" s="91" t="s">
        <v>2947</v>
      </c>
      <c r="C168" s="91">
        <v>7210</v>
      </c>
      <c r="D168" s="91">
        <v>7180</v>
      </c>
      <c r="E168" s="91">
        <v>7830</v>
      </c>
      <c r="F168" s="130"/>
    </row>
    <row r="169" s="113" customFormat="1" ht="14.25" customHeight="1" spans="1:6">
      <c r="A169" s="87" t="s">
        <v>280</v>
      </c>
      <c r="B169" s="91" t="s">
        <v>2957</v>
      </c>
      <c r="C169" s="91">
        <v>7040</v>
      </c>
      <c r="D169" s="91">
        <v>7020</v>
      </c>
      <c r="E169" s="91">
        <v>7670</v>
      </c>
      <c r="F169" s="130"/>
    </row>
    <row r="170" s="113" customFormat="1" ht="14.25" customHeight="1" spans="1:6">
      <c r="A170" s="87" t="s">
        <v>280</v>
      </c>
      <c r="B170" s="91" t="s">
        <v>2966</v>
      </c>
      <c r="C170" s="91">
        <v>8040</v>
      </c>
      <c r="D170" s="91">
        <v>7190</v>
      </c>
      <c r="E170" s="91">
        <v>7850</v>
      </c>
      <c r="F170" s="130"/>
    </row>
    <row r="171" s="113" customFormat="1" ht="14.25" customHeight="1" spans="1:6">
      <c r="A171" s="87" t="s">
        <v>280</v>
      </c>
      <c r="B171" s="91" t="s">
        <v>2976</v>
      </c>
      <c r="C171" s="91">
        <v>7860</v>
      </c>
      <c r="D171" s="91">
        <v>7720</v>
      </c>
      <c r="E171" s="91">
        <v>8150</v>
      </c>
      <c r="F171" s="127">
        <v>1110</v>
      </c>
    </row>
    <row r="172" s="113" customFormat="1" ht="14.25" customHeight="1" spans="1:6">
      <c r="A172" s="87" t="s">
        <v>280</v>
      </c>
      <c r="B172" s="91" t="s">
        <v>2985</v>
      </c>
      <c r="C172" s="91">
        <v>7210</v>
      </c>
      <c r="D172" s="91">
        <v>7170</v>
      </c>
      <c r="E172" s="91">
        <v>7320</v>
      </c>
      <c r="F172" s="130"/>
    </row>
    <row r="173" s="113" customFormat="1" ht="14.25" customHeight="1" spans="1:6">
      <c r="A173" s="87" t="s">
        <v>280</v>
      </c>
      <c r="B173" s="91" t="s">
        <v>2995</v>
      </c>
      <c r="C173" s="91">
        <v>6860</v>
      </c>
      <c r="D173" s="91">
        <v>6810</v>
      </c>
      <c r="E173" s="91">
        <v>7440</v>
      </c>
      <c r="F173" s="130"/>
    </row>
    <row r="174" s="113" customFormat="1" ht="14.25" customHeight="1" spans="1:6">
      <c r="A174" s="87" t="s">
        <v>280</v>
      </c>
      <c r="B174" s="91" t="s">
        <v>3005</v>
      </c>
      <c r="C174" s="91">
        <v>7120</v>
      </c>
      <c r="D174" s="91">
        <v>7090</v>
      </c>
      <c r="E174" s="91">
        <v>7500</v>
      </c>
      <c r="F174" s="127">
        <v>1490</v>
      </c>
    </row>
    <row r="175" s="113" customFormat="1" ht="14.25" customHeight="1" spans="1:6">
      <c r="A175" s="87" t="s">
        <v>280</v>
      </c>
      <c r="B175" s="91" t="s">
        <v>3015</v>
      </c>
      <c r="C175" s="91">
        <v>7850</v>
      </c>
      <c r="D175" s="91">
        <v>7820</v>
      </c>
      <c r="E175" s="91">
        <v>8120</v>
      </c>
      <c r="F175" s="127">
        <v>1530</v>
      </c>
    </row>
    <row r="176" s="113" customFormat="1" ht="14.25" customHeight="1" spans="1:6">
      <c r="A176" s="87" t="s">
        <v>280</v>
      </c>
      <c r="B176" s="91" t="s">
        <v>3025</v>
      </c>
      <c r="C176" s="91">
        <v>7620</v>
      </c>
      <c r="D176" s="91">
        <v>7570</v>
      </c>
      <c r="E176" s="91">
        <v>7990</v>
      </c>
      <c r="F176" s="127">
        <v>1480</v>
      </c>
    </row>
    <row r="177" s="113" customFormat="1" ht="14.25" customHeight="1" spans="1:6">
      <c r="A177" s="87" t="s">
        <v>280</v>
      </c>
      <c r="B177" s="91" t="s">
        <v>3034</v>
      </c>
      <c r="C177" s="91">
        <v>8590</v>
      </c>
      <c r="D177" s="91">
        <v>8570</v>
      </c>
      <c r="E177" s="91">
        <v>8740</v>
      </c>
      <c r="F177" s="127">
        <v>1540</v>
      </c>
    </row>
    <row r="178" s="113" customFormat="1" ht="14.25" customHeight="1" spans="1:6">
      <c r="A178" s="87" t="s">
        <v>280</v>
      </c>
      <c r="B178" s="91" t="s">
        <v>3042</v>
      </c>
      <c r="C178" s="91">
        <v>7510</v>
      </c>
      <c r="D178" s="91">
        <v>7470</v>
      </c>
      <c r="E178" s="91">
        <v>8090</v>
      </c>
      <c r="F178" s="127">
        <v>1320</v>
      </c>
    </row>
    <row r="179" s="113" customFormat="1" ht="14.25" customHeight="1" spans="1:6">
      <c r="A179" s="87" t="s">
        <v>280</v>
      </c>
      <c r="B179" s="91" t="s">
        <v>3050</v>
      </c>
      <c r="C179" s="91">
        <v>6380</v>
      </c>
      <c r="D179" s="91">
        <v>6340</v>
      </c>
      <c r="E179" s="91">
        <v>6810</v>
      </c>
      <c r="F179" s="130"/>
    </row>
    <row r="180" s="113" customFormat="1" ht="14.25" customHeight="1" spans="1:6">
      <c r="A180" s="87" t="s">
        <v>280</v>
      </c>
      <c r="B180" s="91" t="s">
        <v>3057</v>
      </c>
      <c r="C180" s="91">
        <v>7830</v>
      </c>
      <c r="D180" s="91">
        <v>7800</v>
      </c>
      <c r="E180" s="91">
        <v>7780</v>
      </c>
      <c r="F180" s="127">
        <v>1440</v>
      </c>
    </row>
    <row r="181" s="113" customFormat="1" ht="14.25" customHeight="1" spans="1:6">
      <c r="A181" s="87" t="s">
        <v>280</v>
      </c>
      <c r="B181" s="91" t="s">
        <v>3064</v>
      </c>
      <c r="C181" s="91">
        <v>7110</v>
      </c>
      <c r="D181" s="91">
        <v>7080</v>
      </c>
      <c r="E181" s="91">
        <v>7730</v>
      </c>
      <c r="F181" s="127">
        <v>1350</v>
      </c>
    </row>
    <row r="182" s="113" customFormat="1" ht="14.25" customHeight="1" spans="1:6">
      <c r="A182" s="87" t="s">
        <v>280</v>
      </c>
      <c r="B182" s="91" t="s">
        <v>3071</v>
      </c>
      <c r="C182" s="91">
        <v>7310</v>
      </c>
      <c r="D182" s="91">
        <v>7280</v>
      </c>
      <c r="E182" s="91">
        <v>7950</v>
      </c>
      <c r="F182" s="127">
        <v>1220</v>
      </c>
    </row>
    <row r="183" s="113" customFormat="1" ht="14.25" customHeight="1" spans="1:6">
      <c r="A183" s="87" t="s">
        <v>280</v>
      </c>
      <c r="B183" s="91" t="s">
        <v>3078</v>
      </c>
      <c r="C183" s="91">
        <v>7470</v>
      </c>
      <c r="D183" s="91">
        <v>7440</v>
      </c>
      <c r="E183" s="91">
        <v>7880</v>
      </c>
      <c r="F183" s="130"/>
    </row>
    <row r="184" s="113" customFormat="1" ht="14.25" customHeight="1" spans="1:6">
      <c r="A184" s="87" t="s">
        <v>280</v>
      </c>
      <c r="B184" s="91" t="s">
        <v>3085</v>
      </c>
      <c r="C184" s="91">
        <v>6960</v>
      </c>
      <c r="D184" s="91">
        <v>6930</v>
      </c>
      <c r="E184" s="91">
        <v>7570</v>
      </c>
      <c r="F184" s="130"/>
    </row>
    <row r="185" s="113" customFormat="1" ht="14.25" customHeight="1" spans="1:6">
      <c r="A185" s="87" t="s">
        <v>280</v>
      </c>
      <c r="B185" s="91" t="s">
        <v>3090</v>
      </c>
      <c r="C185" s="91">
        <v>7260</v>
      </c>
      <c r="D185" s="91">
        <v>7230</v>
      </c>
      <c r="E185" s="91">
        <v>7710</v>
      </c>
      <c r="F185" s="127">
        <v>1360</v>
      </c>
    </row>
    <row r="186" s="113" customFormat="1" ht="14.25" customHeight="1" spans="1:6">
      <c r="A186" s="87" t="s">
        <v>280</v>
      </c>
      <c r="B186" s="91" t="s">
        <v>3095</v>
      </c>
      <c r="C186" s="91"/>
      <c r="D186" s="91"/>
      <c r="E186" s="91"/>
      <c r="F186" s="127">
        <v>1560</v>
      </c>
    </row>
    <row r="187" s="113" customFormat="1" ht="14.25" customHeight="1" spans="1:6">
      <c r="A187" s="87" t="s">
        <v>280</v>
      </c>
      <c r="B187" s="91" t="s">
        <v>3100</v>
      </c>
      <c r="C187" s="91"/>
      <c r="D187" s="91"/>
      <c r="E187" s="91"/>
      <c r="F187" s="127">
        <v>1560</v>
      </c>
    </row>
    <row r="188" s="113" customFormat="1" ht="14.25" customHeight="1" spans="1:6">
      <c r="A188" s="87" t="s">
        <v>280</v>
      </c>
      <c r="B188" s="91" t="s">
        <v>3105</v>
      </c>
      <c r="C188" s="91"/>
      <c r="D188" s="91"/>
      <c r="E188" s="91"/>
      <c r="F188" s="127">
        <v>1560</v>
      </c>
    </row>
    <row r="189" s="113" customFormat="1" ht="14.25" customHeight="1" spans="1:6">
      <c r="A189" s="87" t="s">
        <v>280</v>
      </c>
      <c r="B189" s="91" t="s">
        <v>3110</v>
      </c>
      <c r="C189" s="91"/>
      <c r="D189" s="91"/>
      <c r="E189" s="91"/>
      <c r="F189" s="127">
        <v>1320</v>
      </c>
    </row>
    <row r="190" s="113" customFormat="1" ht="14.25" customHeight="1" spans="1:6">
      <c r="A190" s="87" t="s">
        <v>280</v>
      </c>
      <c r="B190" s="91" t="s">
        <v>3115</v>
      </c>
      <c r="C190" s="91"/>
      <c r="D190" s="91"/>
      <c r="E190" s="91"/>
      <c r="F190" s="127">
        <v>1320</v>
      </c>
    </row>
    <row r="191" s="113" customFormat="1" ht="14.25" customHeight="1" spans="1:6">
      <c r="A191" s="87" t="s">
        <v>280</v>
      </c>
      <c r="B191" s="91" t="s">
        <v>3120</v>
      </c>
      <c r="C191" s="91"/>
      <c r="D191" s="91"/>
      <c r="E191" s="91"/>
      <c r="F191" s="127">
        <v>1320</v>
      </c>
    </row>
    <row r="192" s="113" customFormat="1" ht="14.25" customHeight="1" spans="1:6">
      <c r="A192" s="87" t="s">
        <v>280</v>
      </c>
      <c r="B192" s="91" t="s">
        <v>3124</v>
      </c>
      <c r="C192" s="91"/>
      <c r="D192" s="91"/>
      <c r="E192" s="91"/>
      <c r="F192" s="127">
        <v>1100</v>
      </c>
    </row>
    <row r="193" s="113" customFormat="1" ht="14.25" customHeight="1" spans="1:6">
      <c r="A193" s="87" t="s">
        <v>280</v>
      </c>
      <c r="B193" s="91" t="s">
        <v>3128</v>
      </c>
      <c r="C193" s="91"/>
      <c r="D193" s="91"/>
      <c r="E193" s="91"/>
      <c r="F193" s="127">
        <v>1100</v>
      </c>
    </row>
    <row r="194" s="113" customFormat="1" ht="14.25" customHeight="1" spans="1:6">
      <c r="A194" s="87" t="s">
        <v>280</v>
      </c>
      <c r="B194" s="91" t="s">
        <v>3132</v>
      </c>
      <c r="C194" s="91"/>
      <c r="D194" s="91"/>
      <c r="E194" s="91"/>
      <c r="F194" s="127">
        <v>1080</v>
      </c>
    </row>
    <row r="195" s="113" customFormat="1" ht="14.25" customHeight="1" spans="1:6">
      <c r="A195" s="87" t="s">
        <v>280</v>
      </c>
      <c r="B195" s="91" t="s">
        <v>3136</v>
      </c>
      <c r="C195" s="91"/>
      <c r="D195" s="91"/>
      <c r="E195" s="91"/>
      <c r="F195" s="127">
        <v>1270</v>
      </c>
    </row>
    <row r="196" s="113" customFormat="1" ht="14.25" customHeight="1" spans="1:6">
      <c r="A196" s="87" t="s">
        <v>280</v>
      </c>
      <c r="B196" s="91" t="s">
        <v>3140</v>
      </c>
      <c r="C196" s="91"/>
      <c r="D196" s="91"/>
      <c r="E196" s="91"/>
      <c r="F196" s="127">
        <v>1150</v>
      </c>
    </row>
    <row r="197" s="113" customFormat="1" ht="14.25" customHeight="1" spans="1:6">
      <c r="A197" s="87" t="s">
        <v>280</v>
      </c>
      <c r="B197" s="91" t="s">
        <v>3144</v>
      </c>
      <c r="C197" s="91"/>
      <c r="D197" s="91"/>
      <c r="E197" s="91"/>
      <c r="F197" s="127">
        <v>1330</v>
      </c>
    </row>
    <row r="198" s="113" customFormat="1" ht="14.25" customHeight="1" spans="1:6">
      <c r="A198" s="87" t="s">
        <v>280</v>
      </c>
      <c r="B198" s="91" t="s">
        <v>3147</v>
      </c>
      <c r="C198" s="91"/>
      <c r="D198" s="91"/>
      <c r="E198" s="91"/>
      <c r="F198" s="127">
        <v>1170</v>
      </c>
    </row>
    <row r="199" s="113" customFormat="1" ht="14.25" customHeight="1" spans="1:6">
      <c r="A199" s="87" t="s">
        <v>280</v>
      </c>
      <c r="B199" s="91" t="s">
        <v>3150</v>
      </c>
      <c r="C199" s="91"/>
      <c r="D199" s="91"/>
      <c r="E199" s="91"/>
      <c r="F199" s="127">
        <v>1120</v>
      </c>
    </row>
    <row r="200" s="113" customFormat="1" ht="14.25" customHeight="1" spans="1:6">
      <c r="A200" s="87" t="s">
        <v>280</v>
      </c>
      <c r="B200" s="91" t="s">
        <v>3153</v>
      </c>
      <c r="C200" s="91"/>
      <c r="D200" s="91"/>
      <c r="E200" s="91"/>
      <c r="F200" s="127">
        <v>1120</v>
      </c>
    </row>
    <row r="201" s="113" customFormat="1" ht="14.25" customHeight="1" spans="1:6">
      <c r="A201" s="87" t="s">
        <v>280</v>
      </c>
      <c r="B201" s="91" t="s">
        <v>3156</v>
      </c>
      <c r="C201" s="91"/>
      <c r="D201" s="91"/>
      <c r="E201" s="91"/>
      <c r="F201" s="127">
        <v>1540</v>
      </c>
    </row>
    <row r="202" s="113" customFormat="1" ht="14.25" customHeight="1" spans="1:6">
      <c r="A202" s="87" t="s">
        <v>280</v>
      </c>
      <c r="B202" s="91" t="s">
        <v>3159</v>
      </c>
      <c r="C202" s="91"/>
      <c r="D202" s="91"/>
      <c r="E202" s="91"/>
      <c r="F202" s="127">
        <v>1310</v>
      </c>
    </row>
    <row r="203" s="113" customFormat="1" ht="14.25" customHeight="1" spans="1:6">
      <c r="A203" s="87" t="s">
        <v>280</v>
      </c>
      <c r="B203" s="91" t="s">
        <v>3162</v>
      </c>
      <c r="C203" s="91"/>
      <c r="D203" s="91"/>
      <c r="E203" s="91"/>
      <c r="F203" s="127">
        <v>1310</v>
      </c>
    </row>
    <row r="204" s="113" customFormat="1" ht="14.25" customHeight="1" spans="1:6">
      <c r="A204" s="87" t="s">
        <v>280</v>
      </c>
      <c r="B204" s="91" t="s">
        <v>3164</v>
      </c>
      <c r="C204" s="91"/>
      <c r="D204" s="91"/>
      <c r="E204" s="91"/>
      <c r="F204" s="127">
        <v>1080</v>
      </c>
    </row>
    <row r="205" s="113" customFormat="1" ht="14.25" customHeight="1" spans="1:6">
      <c r="A205" s="87" t="s">
        <v>280</v>
      </c>
      <c r="B205" s="91" t="s">
        <v>3166</v>
      </c>
      <c r="C205" s="91"/>
      <c r="D205" s="91"/>
      <c r="E205" s="91"/>
      <c r="F205" s="127">
        <v>1080</v>
      </c>
    </row>
    <row r="206" s="113" customFormat="1" ht="14.25" customHeight="1" spans="1:6">
      <c r="A206" s="87" t="s">
        <v>285</v>
      </c>
      <c r="B206" s="88" t="s">
        <v>2834</v>
      </c>
      <c r="C206" s="88">
        <v>5450</v>
      </c>
      <c r="D206" s="88">
        <v>5430</v>
      </c>
      <c r="E206" s="88">
        <v>5700</v>
      </c>
      <c r="F206" s="124">
        <v>1020</v>
      </c>
    </row>
    <row r="207" s="113" customFormat="1" ht="14.25" customHeight="1" spans="1:6">
      <c r="A207" s="87" t="s">
        <v>285</v>
      </c>
      <c r="B207" s="91" t="s">
        <v>2847</v>
      </c>
      <c r="C207" s="91">
        <v>5860</v>
      </c>
      <c r="D207" s="91">
        <v>5820</v>
      </c>
      <c r="E207" s="91">
        <v>6050</v>
      </c>
      <c r="F207" s="127">
        <v>1080</v>
      </c>
    </row>
    <row r="208" s="113" customFormat="1" ht="14.25" customHeight="1" spans="1:6">
      <c r="A208" s="87" t="s">
        <v>285</v>
      </c>
      <c r="B208" s="91" t="s">
        <v>2861</v>
      </c>
      <c r="C208" s="91">
        <v>4630</v>
      </c>
      <c r="D208" s="91">
        <v>4600</v>
      </c>
      <c r="E208" s="91">
        <v>4840</v>
      </c>
      <c r="F208" s="127">
        <v>900</v>
      </c>
    </row>
    <row r="209" s="113" customFormat="1" ht="14.25" customHeight="1" spans="1:6">
      <c r="A209" s="87" t="s">
        <v>285</v>
      </c>
      <c r="B209" s="91" t="s">
        <v>2873</v>
      </c>
      <c r="C209" s="91">
        <v>5320</v>
      </c>
      <c r="D209" s="91">
        <v>5270</v>
      </c>
      <c r="E209" s="91">
        <v>5540</v>
      </c>
      <c r="F209" s="127">
        <v>980</v>
      </c>
    </row>
    <row r="210" s="113" customFormat="1" ht="14.25" customHeight="1" spans="1:6">
      <c r="A210" s="87" t="s">
        <v>285</v>
      </c>
      <c r="B210" s="91" t="s">
        <v>2885</v>
      </c>
      <c r="C210" s="91">
        <v>5760</v>
      </c>
      <c r="D210" s="91">
        <v>5710</v>
      </c>
      <c r="E210" s="91">
        <v>6010</v>
      </c>
      <c r="F210" s="127">
        <v>870</v>
      </c>
    </row>
    <row r="211" s="113" customFormat="1" ht="14.25" customHeight="1" spans="1:6">
      <c r="A211" s="87" t="s">
        <v>285</v>
      </c>
      <c r="B211" s="91" t="s">
        <v>2896</v>
      </c>
      <c r="C211" s="91">
        <v>4160</v>
      </c>
      <c r="D211" s="91">
        <v>4100</v>
      </c>
      <c r="E211" s="91">
        <v>4270</v>
      </c>
      <c r="F211" s="127">
        <v>790</v>
      </c>
    </row>
    <row r="212" s="113" customFormat="1" ht="14.25" customHeight="1" spans="1:6">
      <c r="A212" s="87" t="s">
        <v>285</v>
      </c>
      <c r="B212" s="91" t="s">
        <v>2907</v>
      </c>
      <c r="C212" s="91">
        <v>4880</v>
      </c>
      <c r="D212" s="91">
        <v>4850</v>
      </c>
      <c r="E212" s="91">
        <v>5110</v>
      </c>
      <c r="F212" s="127">
        <v>940</v>
      </c>
    </row>
    <row r="213" s="113" customFormat="1" ht="14.25" customHeight="1" spans="1:6">
      <c r="A213" s="87" t="s">
        <v>285</v>
      </c>
      <c r="B213" s="91" t="s">
        <v>2918</v>
      </c>
      <c r="C213" s="91">
        <v>4640</v>
      </c>
      <c r="D213" s="91">
        <v>4590</v>
      </c>
      <c r="E213" s="91">
        <v>4700</v>
      </c>
      <c r="F213" s="127">
        <v>1030</v>
      </c>
    </row>
    <row r="214" s="113" customFormat="1" ht="14.25" customHeight="1" spans="1:6">
      <c r="A214" s="87" t="s">
        <v>285</v>
      </c>
      <c r="B214" s="91" t="s">
        <v>2928</v>
      </c>
      <c r="C214" s="91">
        <v>4540</v>
      </c>
      <c r="D214" s="91">
        <v>4490</v>
      </c>
      <c r="E214" s="91">
        <v>4610</v>
      </c>
      <c r="F214" s="130"/>
    </row>
    <row r="215" s="113" customFormat="1" ht="14.25" customHeight="1" spans="1:6">
      <c r="A215" s="87" t="s">
        <v>285</v>
      </c>
      <c r="B215" s="91" t="s">
        <v>2938</v>
      </c>
      <c r="C215" s="91">
        <v>5280</v>
      </c>
      <c r="D215" s="91">
        <v>5250</v>
      </c>
      <c r="E215" s="91">
        <v>5520</v>
      </c>
      <c r="F215" s="127">
        <v>1000</v>
      </c>
    </row>
    <row r="216" s="113" customFormat="1" ht="14.25" customHeight="1" spans="1:6">
      <c r="A216" s="87" t="s">
        <v>285</v>
      </c>
      <c r="B216" s="91" t="s">
        <v>2948</v>
      </c>
      <c r="C216" s="91">
        <v>5100</v>
      </c>
      <c r="D216" s="91">
        <v>5050</v>
      </c>
      <c r="E216" s="91">
        <v>5300</v>
      </c>
      <c r="F216" s="127">
        <v>950</v>
      </c>
    </row>
    <row r="217" s="113" customFormat="1" ht="14.25" customHeight="1" spans="1:6">
      <c r="A217" s="87" t="s">
        <v>285</v>
      </c>
      <c r="B217" s="91" t="s">
        <v>2958</v>
      </c>
      <c r="C217" s="91">
        <v>5370</v>
      </c>
      <c r="D217" s="91">
        <v>5320</v>
      </c>
      <c r="E217" s="91">
        <v>5410</v>
      </c>
      <c r="F217" s="127">
        <v>950</v>
      </c>
    </row>
    <row r="218" s="113" customFormat="1" ht="14.25" customHeight="1" spans="1:6">
      <c r="A218" s="87" t="s">
        <v>285</v>
      </c>
      <c r="B218" s="91" t="s">
        <v>2967</v>
      </c>
      <c r="C218" s="91">
        <v>5540</v>
      </c>
      <c r="D218" s="91">
        <v>5480</v>
      </c>
      <c r="E218" s="91">
        <v>5740</v>
      </c>
      <c r="F218" s="127">
        <v>1020</v>
      </c>
    </row>
    <row r="219" s="113" customFormat="1" ht="14.25" customHeight="1" spans="1:6">
      <c r="A219" s="87" t="s">
        <v>285</v>
      </c>
      <c r="B219" s="91" t="s">
        <v>2977</v>
      </c>
      <c r="C219" s="91">
        <v>5140</v>
      </c>
      <c r="D219" s="91">
        <v>5100</v>
      </c>
      <c r="E219" s="91">
        <v>5350</v>
      </c>
      <c r="F219" s="127">
        <v>1120</v>
      </c>
    </row>
    <row r="220" s="113" customFormat="1" ht="14.25" customHeight="1" spans="1:6">
      <c r="A220" s="87" t="s">
        <v>285</v>
      </c>
      <c r="B220" s="91" t="s">
        <v>2986</v>
      </c>
      <c r="C220" s="91">
        <v>5040</v>
      </c>
      <c r="D220" s="91">
        <v>5000</v>
      </c>
      <c r="E220" s="91">
        <v>5240</v>
      </c>
      <c r="F220" s="127">
        <v>980</v>
      </c>
    </row>
    <row r="221" s="113" customFormat="1" ht="14.25" customHeight="1" spans="1:6">
      <c r="A221" s="87" t="s">
        <v>285</v>
      </c>
      <c r="B221" s="91" t="s">
        <v>2996</v>
      </c>
      <c r="C221" s="133"/>
      <c r="D221" s="133"/>
      <c r="E221" s="133"/>
      <c r="F221" s="127">
        <v>1070</v>
      </c>
    </row>
    <row r="222" s="113" customFormat="1" ht="14.25" customHeight="1" spans="1:6">
      <c r="A222" s="87" t="s">
        <v>285</v>
      </c>
      <c r="B222" s="91" t="s">
        <v>3006</v>
      </c>
      <c r="C222" s="133"/>
      <c r="D222" s="133"/>
      <c r="E222" s="133"/>
      <c r="F222" s="127">
        <v>870</v>
      </c>
    </row>
    <row r="223" s="113" customFormat="1" ht="14.25" customHeight="1" spans="1:6">
      <c r="A223" s="87" t="s">
        <v>285</v>
      </c>
      <c r="B223" s="91" t="s">
        <v>3016</v>
      </c>
      <c r="C223" s="133"/>
      <c r="D223" s="133"/>
      <c r="E223" s="133"/>
      <c r="F223" s="127">
        <v>940</v>
      </c>
    </row>
    <row r="224" s="113" customFormat="1" ht="14.25" customHeight="1" spans="1:6">
      <c r="A224" s="87" t="s">
        <v>285</v>
      </c>
      <c r="B224" s="91" t="s">
        <v>3026</v>
      </c>
      <c r="C224" s="133"/>
      <c r="D224" s="133"/>
      <c r="E224" s="133"/>
      <c r="F224" s="127">
        <v>990</v>
      </c>
    </row>
    <row r="225" s="113" customFormat="1" ht="14.25" customHeight="1" spans="1:6">
      <c r="A225" s="87" t="s">
        <v>285</v>
      </c>
      <c r="B225" s="91" t="s">
        <v>3035</v>
      </c>
      <c r="C225" s="91">
        <v>5730</v>
      </c>
      <c r="D225" s="91">
        <v>5680</v>
      </c>
      <c r="E225" s="91">
        <v>6020</v>
      </c>
      <c r="F225" s="127">
        <v>1000</v>
      </c>
    </row>
    <row r="226" s="113" customFormat="1" ht="14.25" customHeight="1" spans="1:6">
      <c r="A226" s="87" t="s">
        <v>285</v>
      </c>
      <c r="B226" s="91" t="s">
        <v>3043</v>
      </c>
      <c r="C226" s="91">
        <v>4970</v>
      </c>
      <c r="D226" s="91">
        <v>4940</v>
      </c>
      <c r="E226" s="91">
        <v>5180</v>
      </c>
      <c r="F226" s="127">
        <v>960</v>
      </c>
    </row>
    <row r="227" s="113" customFormat="1" ht="14.25" customHeight="1" spans="1:6">
      <c r="A227" s="87" t="s">
        <v>285</v>
      </c>
      <c r="B227" s="91" t="s">
        <v>3051</v>
      </c>
      <c r="C227" s="91">
        <v>5550</v>
      </c>
      <c r="D227" s="91">
        <v>5500</v>
      </c>
      <c r="E227" s="91">
        <v>5780</v>
      </c>
      <c r="F227" s="127">
        <v>940</v>
      </c>
    </row>
    <row r="228" s="113" customFormat="1" ht="14.25" customHeight="1" spans="1:6">
      <c r="A228" s="87" t="s">
        <v>285</v>
      </c>
      <c r="B228" s="91" t="s">
        <v>3058</v>
      </c>
      <c r="C228" s="91">
        <v>5460</v>
      </c>
      <c r="D228" s="91">
        <v>5420</v>
      </c>
      <c r="E228" s="91">
        <v>5690</v>
      </c>
      <c r="F228" s="127">
        <v>910</v>
      </c>
    </row>
    <row r="229" s="113" customFormat="1" ht="14.25" customHeight="1" spans="1:6">
      <c r="A229" s="87" t="s">
        <v>285</v>
      </c>
      <c r="B229" s="91" t="s">
        <v>3065</v>
      </c>
      <c r="C229" s="91">
        <v>5310</v>
      </c>
      <c r="D229" s="91">
        <v>5270</v>
      </c>
      <c r="E229" s="91">
        <v>5510</v>
      </c>
      <c r="F229" s="130"/>
    </row>
    <row r="230" s="113" customFormat="1" ht="14.25" customHeight="1" spans="1:6">
      <c r="A230" s="87" t="s">
        <v>285</v>
      </c>
      <c r="B230" s="91" t="s">
        <v>3072</v>
      </c>
      <c r="C230" s="91">
        <v>4540</v>
      </c>
      <c r="D230" s="91">
        <v>4500</v>
      </c>
      <c r="E230" s="91">
        <v>4730</v>
      </c>
      <c r="F230" s="130"/>
    </row>
    <row r="231" s="113" customFormat="1" ht="14.25" customHeight="1" spans="1:6">
      <c r="A231" s="87" t="s">
        <v>285</v>
      </c>
      <c r="B231" s="91" t="s">
        <v>3079</v>
      </c>
      <c r="C231" s="91">
        <v>4480</v>
      </c>
      <c r="D231" s="91">
        <v>4410</v>
      </c>
      <c r="E231" s="91">
        <v>4640</v>
      </c>
      <c r="F231" s="130"/>
    </row>
    <row r="232" s="113" customFormat="1" ht="14.25" customHeight="1" spans="1:6">
      <c r="A232" s="87" t="s">
        <v>285</v>
      </c>
      <c r="B232" s="91" t="s">
        <v>3086</v>
      </c>
      <c r="C232" s="91">
        <v>5670</v>
      </c>
      <c r="D232" s="91">
        <v>5600</v>
      </c>
      <c r="E232" s="91">
        <v>5890</v>
      </c>
      <c r="F232" s="127">
        <v>1150</v>
      </c>
    </row>
    <row r="233" s="113" customFormat="1" ht="14.25" customHeight="1" spans="1:6">
      <c r="A233" s="87" t="s">
        <v>285</v>
      </c>
      <c r="B233" s="91" t="s">
        <v>3091</v>
      </c>
      <c r="C233" s="91">
        <v>4590</v>
      </c>
      <c r="D233" s="91">
        <v>4500</v>
      </c>
      <c r="E233" s="91">
        <v>4600</v>
      </c>
      <c r="F233" s="130"/>
    </row>
    <row r="234" s="113" customFormat="1" ht="14.25" customHeight="1" spans="1:6">
      <c r="A234" s="87" t="s">
        <v>285</v>
      </c>
      <c r="B234" s="91" t="s">
        <v>3096</v>
      </c>
      <c r="C234" s="91">
        <v>3990</v>
      </c>
      <c r="D234" s="91">
        <v>3950</v>
      </c>
      <c r="E234" s="91">
        <v>4180</v>
      </c>
      <c r="F234" s="130"/>
    </row>
    <row r="235" s="113" customFormat="1" ht="14.25" customHeight="1" spans="1:6">
      <c r="A235" s="87" t="s">
        <v>285</v>
      </c>
      <c r="B235" s="91" t="s">
        <v>3101</v>
      </c>
      <c r="C235" s="91">
        <v>5590</v>
      </c>
      <c r="D235" s="91">
        <v>5540</v>
      </c>
      <c r="E235" s="91">
        <v>5810</v>
      </c>
      <c r="F235" s="127">
        <v>970</v>
      </c>
    </row>
    <row r="236" s="113" customFormat="1" ht="14.25" customHeight="1" spans="1:6">
      <c r="A236" s="87" t="s">
        <v>285</v>
      </c>
      <c r="B236" s="91" t="s">
        <v>3106</v>
      </c>
      <c r="C236" s="91"/>
      <c r="D236" s="91"/>
      <c r="E236" s="91"/>
      <c r="F236" s="127">
        <v>1020</v>
      </c>
    </row>
    <row r="237" s="113" customFormat="1" ht="14.25" customHeight="1" spans="1:6">
      <c r="A237" s="87" t="s">
        <v>285</v>
      </c>
      <c r="B237" s="91" t="s">
        <v>3111</v>
      </c>
      <c r="C237" s="91"/>
      <c r="D237" s="91"/>
      <c r="E237" s="91"/>
      <c r="F237" s="127">
        <v>960</v>
      </c>
    </row>
    <row r="238" s="113" customFormat="1" ht="14.25" customHeight="1" spans="1:6">
      <c r="A238" s="87" t="s">
        <v>285</v>
      </c>
      <c r="B238" s="91" t="s">
        <v>3116</v>
      </c>
      <c r="C238" s="91"/>
      <c r="D238" s="91"/>
      <c r="E238" s="91"/>
      <c r="F238" s="127">
        <v>960</v>
      </c>
    </row>
    <row r="239" s="113" customFormat="1" ht="14.25" customHeight="1" spans="1:6">
      <c r="A239" s="87" t="s">
        <v>285</v>
      </c>
      <c r="B239" s="91" t="s">
        <v>3121</v>
      </c>
      <c r="C239" s="91"/>
      <c r="D239" s="91"/>
      <c r="E239" s="91"/>
      <c r="F239" s="127">
        <v>960</v>
      </c>
    </row>
    <row r="240" s="113" customFormat="1" ht="14.25" customHeight="1" spans="1:6">
      <c r="A240" s="87" t="s">
        <v>285</v>
      </c>
      <c r="B240" s="91" t="s">
        <v>3125</v>
      </c>
      <c r="C240" s="91"/>
      <c r="D240" s="91"/>
      <c r="E240" s="91"/>
      <c r="F240" s="127">
        <v>990</v>
      </c>
    </row>
    <row r="241" s="113" customFormat="1" ht="14.25" customHeight="1" spans="1:6">
      <c r="A241" s="87" t="s">
        <v>285</v>
      </c>
      <c r="B241" s="91" t="s">
        <v>3129</v>
      </c>
      <c r="C241" s="91"/>
      <c r="D241" s="91"/>
      <c r="E241" s="91"/>
      <c r="F241" s="127">
        <v>1000</v>
      </c>
    </row>
    <row r="242" s="113" customFormat="1" ht="14.25" customHeight="1" spans="1:6">
      <c r="A242" s="87" t="s">
        <v>285</v>
      </c>
      <c r="B242" s="91" t="s">
        <v>3133</v>
      </c>
      <c r="C242" s="91"/>
      <c r="D242" s="91"/>
      <c r="E242" s="91"/>
      <c r="F242" s="127">
        <v>980</v>
      </c>
    </row>
    <row r="243" s="113" customFormat="1" ht="14.25" customHeight="1" spans="1:6">
      <c r="A243" s="87" t="s">
        <v>285</v>
      </c>
      <c r="B243" s="91" t="s">
        <v>3137</v>
      </c>
      <c r="C243" s="91"/>
      <c r="D243" s="91"/>
      <c r="E243" s="91"/>
      <c r="F243" s="127">
        <v>970</v>
      </c>
    </row>
    <row r="244" s="113" customFormat="1" ht="14.25" customHeight="1" spans="1:6">
      <c r="A244" s="87" t="s">
        <v>285</v>
      </c>
      <c r="B244" s="102" t="s">
        <v>3141</v>
      </c>
      <c r="C244" s="102"/>
      <c r="D244" s="102"/>
      <c r="E244" s="102"/>
      <c r="F244" s="129">
        <v>970</v>
      </c>
    </row>
    <row r="245" s="113" customFormat="1" ht="14.25" customHeight="1" spans="1:6">
      <c r="A245" s="87" t="s">
        <v>288</v>
      </c>
      <c r="B245" s="88" t="s">
        <v>2835</v>
      </c>
      <c r="C245" s="88">
        <v>4050</v>
      </c>
      <c r="D245" s="88">
        <v>4020</v>
      </c>
      <c r="E245" s="88">
        <v>4160</v>
      </c>
      <c r="F245" s="124">
        <v>840</v>
      </c>
    </row>
    <row r="246" s="113" customFormat="1" ht="14.25" customHeight="1" spans="1:6">
      <c r="A246" s="87" t="s">
        <v>288</v>
      </c>
      <c r="B246" s="91" t="s">
        <v>2848</v>
      </c>
      <c r="C246" s="91">
        <v>4010</v>
      </c>
      <c r="D246" s="91">
        <v>3960</v>
      </c>
      <c r="E246" s="91">
        <v>4130</v>
      </c>
      <c r="F246" s="127">
        <v>840</v>
      </c>
    </row>
    <row r="247" s="113" customFormat="1" ht="14.25" customHeight="1" spans="1:6">
      <c r="A247" s="87" t="s">
        <v>288</v>
      </c>
      <c r="B247" s="91" t="s">
        <v>2862</v>
      </c>
      <c r="C247" s="91">
        <v>3170</v>
      </c>
      <c r="D247" s="91">
        <v>3140</v>
      </c>
      <c r="E247" s="91">
        <v>3270</v>
      </c>
      <c r="F247" s="127">
        <v>640</v>
      </c>
    </row>
    <row r="248" s="113" customFormat="1" ht="14.25" customHeight="1" spans="1:6">
      <c r="A248" s="87" t="s">
        <v>288</v>
      </c>
      <c r="B248" s="91" t="s">
        <v>2874</v>
      </c>
      <c r="C248" s="91">
        <v>3140</v>
      </c>
      <c r="D248" s="91">
        <v>3120</v>
      </c>
      <c r="E248" s="91">
        <v>3240</v>
      </c>
      <c r="F248" s="127">
        <v>620</v>
      </c>
    </row>
    <row r="249" s="113" customFormat="1" ht="14.25" customHeight="1" spans="1:6">
      <c r="A249" s="87" t="s">
        <v>288</v>
      </c>
      <c r="B249" s="91" t="s">
        <v>2886</v>
      </c>
      <c r="C249" s="91">
        <v>3200</v>
      </c>
      <c r="D249" s="91">
        <v>3100</v>
      </c>
      <c r="E249" s="91">
        <v>3230</v>
      </c>
      <c r="F249" s="127">
        <v>750</v>
      </c>
    </row>
    <row r="250" s="113" customFormat="1" ht="14.25" customHeight="1" spans="1:6">
      <c r="A250" s="87" t="s">
        <v>288</v>
      </c>
      <c r="B250" s="91" t="s">
        <v>2897</v>
      </c>
      <c r="C250" s="91">
        <v>4060</v>
      </c>
      <c r="D250" s="91">
        <v>4000</v>
      </c>
      <c r="E250" s="91">
        <v>4140</v>
      </c>
      <c r="F250" s="127">
        <v>790</v>
      </c>
    </row>
    <row r="251" s="113" customFormat="1" ht="14.25" customHeight="1" spans="1:6">
      <c r="A251" s="87" t="s">
        <v>288</v>
      </c>
      <c r="B251" s="91" t="s">
        <v>2908</v>
      </c>
      <c r="C251" s="91">
        <v>3990</v>
      </c>
      <c r="D251" s="91">
        <v>3970</v>
      </c>
      <c r="E251" s="91">
        <v>4110</v>
      </c>
      <c r="F251" s="127">
        <v>730</v>
      </c>
    </row>
    <row r="252" s="113" customFormat="1" ht="14.25" customHeight="1" spans="1:6">
      <c r="A252" s="87" t="s">
        <v>288</v>
      </c>
      <c r="B252" s="91" t="s">
        <v>2919</v>
      </c>
      <c r="C252" s="91">
        <v>3560</v>
      </c>
      <c r="D252" s="91">
        <v>3530</v>
      </c>
      <c r="E252" s="91">
        <v>3650</v>
      </c>
      <c r="F252" s="127">
        <v>750</v>
      </c>
    </row>
    <row r="253" s="113" customFormat="1" ht="14.25" customHeight="1" spans="1:6">
      <c r="A253" s="87" t="s">
        <v>288</v>
      </c>
      <c r="B253" s="91" t="s">
        <v>2929</v>
      </c>
      <c r="C253" s="91">
        <v>3780</v>
      </c>
      <c r="D253" s="91">
        <v>3750</v>
      </c>
      <c r="E253" s="91">
        <v>3870</v>
      </c>
      <c r="F253" s="127">
        <v>770</v>
      </c>
    </row>
    <row r="254" s="113" customFormat="1" ht="14.25" customHeight="1" spans="1:6">
      <c r="A254" s="87" t="s">
        <v>288</v>
      </c>
      <c r="B254" s="91" t="s">
        <v>2939</v>
      </c>
      <c r="C254" s="133"/>
      <c r="D254" s="133"/>
      <c r="E254" s="133"/>
      <c r="F254" s="127">
        <v>740</v>
      </c>
    </row>
    <row r="255" s="113" customFormat="1" ht="14.25" customHeight="1" spans="1:6">
      <c r="A255" s="87" t="s">
        <v>288</v>
      </c>
      <c r="B255" s="91" t="s">
        <v>2949</v>
      </c>
      <c r="C255" s="133"/>
      <c r="D255" s="133"/>
      <c r="E255" s="133"/>
      <c r="F255" s="127">
        <v>760</v>
      </c>
    </row>
    <row r="256" s="113" customFormat="1" ht="14.25" customHeight="1" spans="1:6">
      <c r="A256" s="87" t="s">
        <v>288</v>
      </c>
      <c r="B256" s="91" t="s">
        <v>2959</v>
      </c>
      <c r="C256" s="91">
        <v>3760</v>
      </c>
      <c r="D256" s="91">
        <v>3730</v>
      </c>
      <c r="E256" s="91">
        <v>3870</v>
      </c>
      <c r="F256" s="127">
        <v>830</v>
      </c>
    </row>
    <row r="257" s="113" customFormat="1" ht="14.25" customHeight="1" spans="1:6">
      <c r="A257" s="87" t="s">
        <v>288</v>
      </c>
      <c r="B257" s="91" t="s">
        <v>2968</v>
      </c>
      <c r="C257" s="91">
        <v>3570</v>
      </c>
      <c r="D257" s="91">
        <v>3540</v>
      </c>
      <c r="E257" s="91">
        <v>3650</v>
      </c>
      <c r="F257" s="127">
        <v>790</v>
      </c>
    </row>
    <row r="258" s="113" customFormat="1" ht="14.25" customHeight="1" spans="1:6">
      <c r="A258" s="87" t="s">
        <v>288</v>
      </c>
      <c r="B258" s="91" t="s">
        <v>2978</v>
      </c>
      <c r="C258" s="91">
        <v>3410</v>
      </c>
      <c r="D258" s="91">
        <v>3380</v>
      </c>
      <c r="E258" s="91">
        <v>3500</v>
      </c>
      <c r="F258" s="127">
        <v>830</v>
      </c>
    </row>
    <row r="259" s="113" customFormat="1" ht="14.25" customHeight="1" spans="1:6">
      <c r="A259" s="87" t="s">
        <v>288</v>
      </c>
      <c r="B259" s="91" t="s">
        <v>2987</v>
      </c>
      <c r="C259" s="91">
        <v>3870</v>
      </c>
      <c r="D259" s="91">
        <v>3840</v>
      </c>
      <c r="E259" s="91">
        <v>3970</v>
      </c>
      <c r="F259" s="127">
        <v>830</v>
      </c>
    </row>
    <row r="260" s="113" customFormat="1" ht="14.25" customHeight="1" spans="1:6">
      <c r="A260" s="87" t="s">
        <v>288</v>
      </c>
      <c r="B260" s="91" t="s">
        <v>2997</v>
      </c>
      <c r="C260" s="91">
        <v>3700</v>
      </c>
      <c r="D260" s="91">
        <v>3660</v>
      </c>
      <c r="E260" s="91">
        <v>3810</v>
      </c>
      <c r="F260" s="127">
        <v>790</v>
      </c>
    </row>
    <row r="261" s="113" customFormat="1" ht="14.25" customHeight="1" spans="1:6">
      <c r="A261" s="87" t="s">
        <v>288</v>
      </c>
      <c r="B261" s="91" t="s">
        <v>3007</v>
      </c>
      <c r="C261" s="91">
        <v>3470</v>
      </c>
      <c r="D261" s="91">
        <v>3430</v>
      </c>
      <c r="E261" s="91">
        <v>3640</v>
      </c>
      <c r="F261" s="127">
        <v>760</v>
      </c>
    </row>
    <row r="262" s="113" customFormat="1" ht="14.25" customHeight="1" spans="1:6">
      <c r="A262" s="87" t="s">
        <v>288</v>
      </c>
      <c r="B262" s="91" t="s">
        <v>3017</v>
      </c>
      <c r="C262" s="91">
        <v>3510</v>
      </c>
      <c r="D262" s="91">
        <v>3470</v>
      </c>
      <c r="E262" s="91">
        <v>3680</v>
      </c>
      <c r="F262" s="130"/>
    </row>
    <row r="263" s="113" customFormat="1" ht="14.25" customHeight="1" spans="1:6">
      <c r="A263" s="87" t="s">
        <v>288</v>
      </c>
      <c r="B263" s="91" t="s">
        <v>3027</v>
      </c>
      <c r="C263" s="91">
        <v>3960</v>
      </c>
      <c r="D263" s="91">
        <v>3930</v>
      </c>
      <c r="E263" s="91">
        <v>4070</v>
      </c>
      <c r="F263" s="127">
        <v>830</v>
      </c>
    </row>
    <row r="264" s="113" customFormat="1" ht="14.25" customHeight="1" spans="1:6">
      <c r="A264" s="87" t="s">
        <v>288</v>
      </c>
      <c r="B264" s="91" t="s">
        <v>3036</v>
      </c>
      <c r="C264" s="91">
        <v>4010</v>
      </c>
      <c r="D264" s="91">
        <v>3980</v>
      </c>
      <c r="E264" s="91">
        <v>4150</v>
      </c>
      <c r="F264" s="127">
        <v>760</v>
      </c>
    </row>
    <row r="265" s="113" customFormat="1" ht="14.25" customHeight="1" spans="1:6">
      <c r="A265" s="87" t="s">
        <v>288</v>
      </c>
      <c r="B265" s="91" t="s">
        <v>3044</v>
      </c>
      <c r="C265" s="91">
        <v>3910</v>
      </c>
      <c r="D265" s="91">
        <v>3890</v>
      </c>
      <c r="E265" s="91">
        <v>4040</v>
      </c>
      <c r="F265" s="127">
        <v>780</v>
      </c>
    </row>
    <row r="266" s="113" customFormat="1" ht="14.25" customHeight="1" spans="1:6">
      <c r="A266" s="87" t="s">
        <v>288</v>
      </c>
      <c r="B266" s="91" t="s">
        <v>3052</v>
      </c>
      <c r="C266" s="91">
        <v>3930</v>
      </c>
      <c r="D266" s="91">
        <v>3900</v>
      </c>
      <c r="E266" s="91">
        <v>4080</v>
      </c>
      <c r="F266" s="127">
        <v>770</v>
      </c>
    </row>
    <row r="267" s="113" customFormat="1" ht="14.25" customHeight="1" spans="1:6">
      <c r="A267" s="87" t="s">
        <v>288</v>
      </c>
      <c r="B267" s="91" t="s">
        <v>3059</v>
      </c>
      <c r="C267" s="91">
        <v>3800</v>
      </c>
      <c r="D267" s="91">
        <v>3780</v>
      </c>
      <c r="E267" s="91">
        <v>3930</v>
      </c>
      <c r="F267" s="130"/>
    </row>
    <row r="268" s="113" customFormat="1" ht="14.25" customHeight="1" spans="1:6">
      <c r="A268" s="87" t="s">
        <v>288</v>
      </c>
      <c r="B268" s="91" t="s">
        <v>3066</v>
      </c>
      <c r="C268" s="91">
        <v>3460</v>
      </c>
      <c r="D268" s="91">
        <v>3430</v>
      </c>
      <c r="E268" s="91">
        <v>3560</v>
      </c>
      <c r="F268" s="127">
        <v>840</v>
      </c>
    </row>
    <row r="269" s="113" customFormat="1" ht="14.25" customHeight="1" spans="1:6">
      <c r="A269" s="87" t="s">
        <v>288</v>
      </c>
      <c r="B269" s="91" t="s">
        <v>3073</v>
      </c>
      <c r="C269" s="91">
        <v>3210</v>
      </c>
      <c r="D269" s="91">
        <v>3190</v>
      </c>
      <c r="E269" s="91">
        <v>3310</v>
      </c>
      <c r="F269" s="127">
        <v>730</v>
      </c>
    </row>
    <row r="270" s="113" customFormat="1" ht="14.25" customHeight="1" spans="1:6">
      <c r="A270" s="87" t="s">
        <v>288</v>
      </c>
      <c r="B270" s="91" t="s">
        <v>3080</v>
      </c>
      <c r="C270" s="91">
        <v>3240</v>
      </c>
      <c r="D270" s="91">
        <v>3210</v>
      </c>
      <c r="E270" s="91">
        <v>3390</v>
      </c>
      <c r="F270" s="127">
        <v>820</v>
      </c>
    </row>
    <row r="271" s="113" customFormat="1" ht="14.25" customHeight="1" spans="1:6">
      <c r="A271" s="87" t="s">
        <v>288</v>
      </c>
      <c r="B271" s="91" t="s">
        <v>3087</v>
      </c>
      <c r="C271" s="91">
        <v>3300</v>
      </c>
      <c r="D271" s="91">
        <v>3270</v>
      </c>
      <c r="E271" s="91">
        <v>3380</v>
      </c>
      <c r="F271" s="127">
        <v>750</v>
      </c>
    </row>
    <row r="272" s="113" customFormat="1" ht="14.25" customHeight="1" spans="1:6">
      <c r="A272" s="87" t="s">
        <v>288</v>
      </c>
      <c r="B272" s="91" t="s">
        <v>3092</v>
      </c>
      <c r="C272" s="133"/>
      <c r="D272" s="133"/>
      <c r="E272" s="133"/>
      <c r="F272" s="127">
        <v>740</v>
      </c>
    </row>
    <row r="273" s="113" customFormat="1" ht="14.25" customHeight="1" spans="1:6">
      <c r="A273" s="87" t="s">
        <v>288</v>
      </c>
      <c r="B273" s="91" t="s">
        <v>3097</v>
      </c>
      <c r="C273" s="91">
        <v>3130</v>
      </c>
      <c r="D273" s="91">
        <v>3100</v>
      </c>
      <c r="E273" s="91">
        <v>3230</v>
      </c>
      <c r="F273" s="127">
        <v>700</v>
      </c>
    </row>
    <row r="274" s="113" customFormat="1" ht="14.25" customHeight="1" spans="1:6">
      <c r="A274" s="87" t="s">
        <v>288</v>
      </c>
      <c r="B274" s="91" t="s">
        <v>3102</v>
      </c>
      <c r="C274" s="91">
        <v>3460</v>
      </c>
      <c r="D274" s="91">
        <v>3430</v>
      </c>
      <c r="E274" s="91">
        <v>3560</v>
      </c>
      <c r="F274" s="127">
        <v>690</v>
      </c>
    </row>
    <row r="275" s="113" customFormat="1" ht="14.25" customHeight="1" spans="1:6">
      <c r="A275" s="87" t="s">
        <v>288</v>
      </c>
      <c r="B275" s="91" t="s">
        <v>3107</v>
      </c>
      <c r="C275" s="91">
        <v>4040</v>
      </c>
      <c r="D275" s="91">
        <v>4020</v>
      </c>
      <c r="E275" s="91">
        <v>4160</v>
      </c>
      <c r="F275" s="127">
        <v>820</v>
      </c>
    </row>
    <row r="276" s="113" customFormat="1" ht="14.25" customHeight="1" spans="1:6">
      <c r="A276" s="87" t="s">
        <v>288</v>
      </c>
      <c r="B276" s="91" t="s">
        <v>3112</v>
      </c>
      <c r="C276" s="91">
        <v>3270</v>
      </c>
      <c r="D276" s="91">
        <v>3240</v>
      </c>
      <c r="E276" s="91">
        <v>3350</v>
      </c>
      <c r="F276" s="127">
        <v>680</v>
      </c>
    </row>
    <row r="277" s="113" customFormat="1" ht="14.25" customHeight="1" spans="1:6">
      <c r="A277" s="87" t="s">
        <v>288</v>
      </c>
      <c r="B277" s="91" t="s">
        <v>3117</v>
      </c>
      <c r="C277" s="91">
        <v>2930</v>
      </c>
      <c r="D277" s="91">
        <v>2900</v>
      </c>
      <c r="E277" s="91">
        <v>3000</v>
      </c>
      <c r="F277" s="127">
        <v>640</v>
      </c>
    </row>
    <row r="278" s="113" customFormat="1" ht="14.25" customHeight="1" spans="1:6">
      <c r="A278" s="87" t="s">
        <v>288</v>
      </c>
      <c r="B278" s="91" t="s">
        <v>3122</v>
      </c>
      <c r="C278" s="91">
        <v>4080</v>
      </c>
      <c r="D278" s="91">
        <v>4030</v>
      </c>
      <c r="E278" s="91">
        <v>4140</v>
      </c>
      <c r="F278" s="127">
        <v>850</v>
      </c>
    </row>
    <row r="279" s="113" customFormat="1" ht="14.25" customHeight="1" spans="1:6">
      <c r="A279" s="87" t="s">
        <v>288</v>
      </c>
      <c r="B279" s="91" t="s">
        <v>3126</v>
      </c>
      <c r="C279" s="91"/>
      <c r="D279" s="91"/>
      <c r="E279" s="91"/>
      <c r="F279" s="127">
        <v>760</v>
      </c>
    </row>
    <row r="280" s="113" customFormat="1" ht="14.25" customHeight="1" spans="1:6">
      <c r="A280" s="87" t="s">
        <v>288</v>
      </c>
      <c r="B280" s="91" t="s">
        <v>3130</v>
      </c>
      <c r="C280" s="91"/>
      <c r="D280" s="91"/>
      <c r="E280" s="91"/>
      <c r="F280" s="127">
        <v>760</v>
      </c>
    </row>
    <row r="281" s="113" customFormat="1" ht="14.25" customHeight="1" spans="1:6">
      <c r="A281" s="87" t="s">
        <v>288</v>
      </c>
      <c r="B281" s="91" t="s">
        <v>3134</v>
      </c>
      <c r="C281" s="91"/>
      <c r="D281" s="91"/>
      <c r="E281" s="91"/>
      <c r="F281" s="127">
        <v>780</v>
      </c>
    </row>
    <row r="282" s="113" customFormat="1" ht="14.25" customHeight="1" spans="1:6">
      <c r="A282" s="87" t="s">
        <v>288</v>
      </c>
      <c r="B282" s="91" t="s">
        <v>3138</v>
      </c>
      <c r="C282" s="91"/>
      <c r="D282" s="91"/>
      <c r="E282" s="91"/>
      <c r="F282" s="127">
        <v>730</v>
      </c>
    </row>
    <row r="283" s="113" customFormat="1" ht="14.25" customHeight="1" spans="1:6">
      <c r="A283" s="87" t="s">
        <v>288</v>
      </c>
      <c r="B283" s="91" t="s">
        <v>3142</v>
      </c>
      <c r="C283" s="91"/>
      <c r="D283" s="91"/>
      <c r="E283" s="91"/>
      <c r="F283" s="127">
        <v>770</v>
      </c>
    </row>
    <row r="284" s="113" customFormat="1" ht="14.25" customHeight="1" spans="1:6">
      <c r="A284" s="87" t="s">
        <v>288</v>
      </c>
      <c r="B284" s="91" t="s">
        <v>3145</v>
      </c>
      <c r="C284" s="91"/>
      <c r="D284" s="91"/>
      <c r="E284" s="91"/>
      <c r="F284" s="127">
        <v>640</v>
      </c>
    </row>
    <row r="285" s="113" customFormat="1" ht="14.25" customHeight="1" spans="1:6">
      <c r="A285" s="87" t="s">
        <v>288</v>
      </c>
      <c r="B285" s="91" t="s">
        <v>3148</v>
      </c>
      <c r="C285" s="91"/>
      <c r="D285" s="91"/>
      <c r="E285" s="91"/>
      <c r="F285" s="127">
        <v>640</v>
      </c>
    </row>
    <row r="286" s="113" customFormat="1" ht="14.25" customHeight="1" spans="1:6">
      <c r="A286" s="87" t="s">
        <v>288</v>
      </c>
      <c r="B286" s="91" t="s">
        <v>3151</v>
      </c>
      <c r="C286" s="91"/>
      <c r="D286" s="91"/>
      <c r="E286" s="91"/>
      <c r="F286" s="127">
        <v>850</v>
      </c>
    </row>
    <row r="287" s="113" customFormat="1" ht="14.25" customHeight="1" spans="1:6">
      <c r="A287" s="87" t="s">
        <v>288</v>
      </c>
      <c r="B287" s="91" t="s">
        <v>3154</v>
      </c>
      <c r="C287" s="91"/>
      <c r="D287" s="91"/>
      <c r="E287" s="91"/>
      <c r="F287" s="127">
        <v>760</v>
      </c>
    </row>
    <row r="288" s="113" customFormat="1" ht="14.25" customHeight="1" spans="1:6">
      <c r="A288" s="87" t="s">
        <v>288</v>
      </c>
      <c r="B288" s="91" t="s">
        <v>3157</v>
      </c>
      <c r="C288" s="91"/>
      <c r="D288" s="91"/>
      <c r="E288" s="91"/>
      <c r="F288" s="127">
        <v>830</v>
      </c>
    </row>
    <row r="289" s="113" customFormat="1" ht="14.25" customHeight="1" spans="1:6">
      <c r="A289" s="87" t="s">
        <v>288</v>
      </c>
      <c r="B289" s="102" t="s">
        <v>3160</v>
      </c>
      <c r="C289" s="102"/>
      <c r="D289" s="102"/>
      <c r="E289" s="102"/>
      <c r="F289" s="129">
        <v>680</v>
      </c>
    </row>
    <row r="290" s="113" customFormat="1" ht="14.25" customHeight="1" spans="1:6">
      <c r="A290" s="87" t="s">
        <v>291</v>
      </c>
      <c r="B290" s="88" t="s">
        <v>2836</v>
      </c>
      <c r="C290" s="88">
        <v>2770</v>
      </c>
      <c r="D290" s="88">
        <v>2740</v>
      </c>
      <c r="E290" s="88">
        <v>2720</v>
      </c>
      <c r="F290" s="134"/>
    </row>
    <row r="291" s="113" customFormat="1" ht="14.25" customHeight="1" spans="1:6">
      <c r="A291" s="87" t="s">
        <v>291</v>
      </c>
      <c r="B291" s="91" t="s">
        <v>2849</v>
      </c>
      <c r="C291" s="91">
        <v>2670</v>
      </c>
      <c r="D291" s="91">
        <v>2640</v>
      </c>
      <c r="E291" s="91">
        <v>2620</v>
      </c>
      <c r="F291" s="130"/>
    </row>
    <row r="292" s="113" customFormat="1" ht="14.25" customHeight="1" spans="1:6">
      <c r="A292" s="87" t="s">
        <v>291</v>
      </c>
      <c r="B292" s="91" t="s">
        <v>2863</v>
      </c>
      <c r="C292" s="91">
        <v>2180</v>
      </c>
      <c r="D292" s="91">
        <v>2140</v>
      </c>
      <c r="E292" s="91">
        <v>2120</v>
      </c>
      <c r="F292" s="127">
        <v>490</v>
      </c>
    </row>
    <row r="293" s="113" customFormat="1" ht="14.25" customHeight="1" spans="1:6">
      <c r="A293" s="87" t="s">
        <v>291</v>
      </c>
      <c r="B293" s="91" t="s">
        <v>3167</v>
      </c>
      <c r="C293" s="91"/>
      <c r="D293" s="91"/>
      <c r="E293" s="91"/>
      <c r="F293" s="127">
        <v>470</v>
      </c>
    </row>
    <row r="294" s="113" customFormat="1" ht="14.25" customHeight="1" spans="1:6">
      <c r="A294" s="87" t="s">
        <v>291</v>
      </c>
      <c r="B294" s="91" t="s">
        <v>2875</v>
      </c>
      <c r="C294" s="91">
        <v>2730</v>
      </c>
      <c r="D294" s="91">
        <v>2700</v>
      </c>
      <c r="E294" s="91">
        <v>2680</v>
      </c>
      <c r="F294" s="127">
        <v>490</v>
      </c>
    </row>
    <row r="295" s="113" customFormat="1" ht="14.25" customHeight="1" spans="1:6">
      <c r="A295" s="87" t="s">
        <v>291</v>
      </c>
      <c r="B295" s="91" t="s">
        <v>2887</v>
      </c>
      <c r="C295" s="91">
        <v>2380</v>
      </c>
      <c r="D295" s="91">
        <v>2350</v>
      </c>
      <c r="E295" s="91">
        <v>2330</v>
      </c>
      <c r="F295" s="127">
        <v>530</v>
      </c>
    </row>
    <row r="296" s="113" customFormat="1" ht="14.25" customHeight="1" spans="1:6">
      <c r="A296" s="87" t="s">
        <v>291</v>
      </c>
      <c r="B296" s="91" t="s">
        <v>2898</v>
      </c>
      <c r="C296" s="91">
        <v>2650</v>
      </c>
      <c r="D296" s="91">
        <v>2620</v>
      </c>
      <c r="E296" s="91">
        <v>2590</v>
      </c>
      <c r="F296" s="127">
        <v>590</v>
      </c>
    </row>
    <row r="297" s="113" customFormat="1" ht="14.25" customHeight="1" spans="1:6">
      <c r="A297" s="87" t="s">
        <v>291</v>
      </c>
      <c r="B297" s="91" t="s">
        <v>2909</v>
      </c>
      <c r="C297" s="91">
        <v>2700</v>
      </c>
      <c r="D297" s="91">
        <v>2670</v>
      </c>
      <c r="E297" s="91">
        <v>2650</v>
      </c>
      <c r="F297" s="127">
        <v>630</v>
      </c>
    </row>
    <row r="298" s="113" customFormat="1" ht="14.25" customHeight="1" spans="1:6">
      <c r="A298" s="87" t="s">
        <v>291</v>
      </c>
      <c r="B298" s="91" t="s">
        <v>2920</v>
      </c>
      <c r="C298" s="91">
        <v>2650</v>
      </c>
      <c r="D298" s="91">
        <v>2620</v>
      </c>
      <c r="E298" s="91">
        <v>2590</v>
      </c>
      <c r="F298" s="127">
        <v>640</v>
      </c>
    </row>
    <row r="299" s="113" customFormat="1" ht="14.25" customHeight="1" spans="1:6">
      <c r="A299" s="87" t="s">
        <v>291</v>
      </c>
      <c r="B299" s="91" t="s">
        <v>2930</v>
      </c>
      <c r="C299" s="91">
        <v>2500</v>
      </c>
      <c r="D299" s="91">
        <v>2480</v>
      </c>
      <c r="E299" s="91">
        <v>2460</v>
      </c>
      <c r="F299" s="130"/>
    </row>
    <row r="300" s="113" customFormat="1" ht="14.25" customHeight="1" spans="1:6">
      <c r="A300" s="87" t="s">
        <v>291</v>
      </c>
      <c r="B300" s="91" t="s">
        <v>2940</v>
      </c>
      <c r="C300" s="91">
        <v>2760</v>
      </c>
      <c r="D300" s="91">
        <v>2730</v>
      </c>
      <c r="E300" s="91">
        <v>2700</v>
      </c>
      <c r="F300" s="127">
        <v>630</v>
      </c>
    </row>
    <row r="301" s="113" customFormat="1" ht="14.25" customHeight="1" spans="1:6">
      <c r="A301" s="87" t="s">
        <v>291</v>
      </c>
      <c r="B301" s="91" t="s">
        <v>2950</v>
      </c>
      <c r="C301" s="91">
        <v>2510</v>
      </c>
      <c r="D301" s="91">
        <v>2480</v>
      </c>
      <c r="E301" s="91">
        <v>2460</v>
      </c>
      <c r="F301" s="130"/>
    </row>
    <row r="302" s="113" customFormat="1" ht="14.25" customHeight="1" spans="1:6">
      <c r="A302" s="87" t="s">
        <v>291</v>
      </c>
      <c r="B302" s="91" t="s">
        <v>2960</v>
      </c>
      <c r="C302" s="91">
        <v>2480</v>
      </c>
      <c r="D302" s="91">
        <v>2450</v>
      </c>
      <c r="E302" s="91">
        <v>2420</v>
      </c>
      <c r="F302" s="127">
        <v>600</v>
      </c>
    </row>
    <row r="303" s="113" customFormat="1" ht="14.25" customHeight="1" spans="1:6">
      <c r="A303" s="87" t="s">
        <v>291</v>
      </c>
      <c r="B303" s="91" t="s">
        <v>2969</v>
      </c>
      <c r="C303" s="91">
        <v>2270</v>
      </c>
      <c r="D303" s="91">
        <v>2240</v>
      </c>
      <c r="E303" s="91">
        <v>2210</v>
      </c>
      <c r="F303" s="127">
        <v>540</v>
      </c>
    </row>
    <row r="304" s="113" customFormat="1" ht="14.25" customHeight="1" spans="1:6">
      <c r="A304" s="87" t="s">
        <v>291</v>
      </c>
      <c r="B304" s="91" t="s">
        <v>2979</v>
      </c>
      <c r="C304" s="91">
        <v>2310</v>
      </c>
      <c r="D304" s="91">
        <v>2290</v>
      </c>
      <c r="E304" s="91">
        <v>2270</v>
      </c>
      <c r="F304" s="130"/>
    </row>
    <row r="305" s="113" customFormat="1" ht="14.25" customHeight="1" spans="1:6">
      <c r="A305" s="87" t="s">
        <v>291</v>
      </c>
      <c r="B305" s="91" t="s">
        <v>2988</v>
      </c>
      <c r="C305" s="91">
        <v>2490</v>
      </c>
      <c r="D305" s="91">
        <v>2470</v>
      </c>
      <c r="E305" s="91">
        <v>2440</v>
      </c>
      <c r="F305" s="127">
        <v>560</v>
      </c>
    </row>
    <row r="306" s="113" customFormat="1" ht="14.25" customHeight="1" spans="1:6">
      <c r="A306" s="87" t="s">
        <v>291</v>
      </c>
      <c r="B306" s="91" t="s">
        <v>2998</v>
      </c>
      <c r="C306" s="91">
        <v>2420</v>
      </c>
      <c r="D306" s="91">
        <v>2400</v>
      </c>
      <c r="E306" s="91">
        <v>2380</v>
      </c>
      <c r="F306" s="130"/>
    </row>
    <row r="307" s="113" customFormat="1" ht="14.25" customHeight="1" spans="1:6">
      <c r="A307" s="87" t="s">
        <v>291</v>
      </c>
      <c r="B307" s="91" t="s">
        <v>3008</v>
      </c>
      <c r="C307" s="91">
        <v>2770</v>
      </c>
      <c r="D307" s="91">
        <v>2740</v>
      </c>
      <c r="E307" s="91">
        <v>2710</v>
      </c>
      <c r="F307" s="127">
        <v>650</v>
      </c>
    </row>
    <row r="308" s="113" customFormat="1" ht="14.25" customHeight="1" spans="1:6">
      <c r="A308" s="87" t="s">
        <v>291</v>
      </c>
      <c r="B308" s="91" t="s">
        <v>3018</v>
      </c>
      <c r="C308" s="91">
        <v>2610</v>
      </c>
      <c r="D308" s="91">
        <v>2580</v>
      </c>
      <c r="E308" s="91">
        <v>2550</v>
      </c>
      <c r="F308" s="127">
        <v>580</v>
      </c>
    </row>
    <row r="309" s="113" customFormat="1" ht="14.25" customHeight="1" spans="1:6">
      <c r="A309" s="87" t="s">
        <v>291</v>
      </c>
      <c r="B309" s="91" t="s">
        <v>3028</v>
      </c>
      <c r="C309" s="91">
        <v>2690</v>
      </c>
      <c r="D309" s="91">
        <v>2670</v>
      </c>
      <c r="E309" s="91">
        <v>2650</v>
      </c>
      <c r="F309" s="130"/>
    </row>
    <row r="310" s="113" customFormat="1" ht="14.25" customHeight="1" spans="1:6">
      <c r="A310" s="87" t="s">
        <v>291</v>
      </c>
      <c r="B310" s="91" t="s">
        <v>3037</v>
      </c>
      <c r="C310" s="91">
        <v>2360</v>
      </c>
      <c r="D310" s="91">
        <v>2330</v>
      </c>
      <c r="E310" s="91">
        <v>2310</v>
      </c>
      <c r="F310" s="127">
        <v>560</v>
      </c>
    </row>
    <row r="311" s="113" customFormat="1" ht="14.25" customHeight="1" spans="1:6">
      <c r="A311" s="87" t="s">
        <v>291</v>
      </c>
      <c r="B311" s="91" t="s">
        <v>3045</v>
      </c>
      <c r="C311" s="91">
        <v>1970</v>
      </c>
      <c r="D311" s="91">
        <v>1950</v>
      </c>
      <c r="E311" s="91">
        <v>1920</v>
      </c>
      <c r="F311" s="127">
        <v>470</v>
      </c>
    </row>
    <row r="312" s="113" customFormat="1" ht="14.25" customHeight="1" spans="1:6">
      <c r="A312" s="87" t="s">
        <v>291</v>
      </c>
      <c r="B312" s="91" t="s">
        <v>3053</v>
      </c>
      <c r="C312" s="91">
        <v>2230</v>
      </c>
      <c r="D312" s="91">
        <v>2200</v>
      </c>
      <c r="E312" s="91">
        <v>2170</v>
      </c>
      <c r="F312" s="127">
        <v>460</v>
      </c>
    </row>
    <row r="313" s="113" customFormat="1" ht="14.25" customHeight="1" spans="1:6">
      <c r="A313" s="87" t="s">
        <v>291</v>
      </c>
      <c r="B313" s="91" t="s">
        <v>3060</v>
      </c>
      <c r="C313" s="91">
        <v>2770</v>
      </c>
      <c r="D313" s="91">
        <v>2740</v>
      </c>
      <c r="E313" s="91">
        <v>2710</v>
      </c>
      <c r="F313" s="127">
        <v>610</v>
      </c>
    </row>
    <row r="314" s="113" customFormat="1" ht="14.25" customHeight="1" spans="1:6">
      <c r="A314" s="87" t="s">
        <v>291</v>
      </c>
      <c r="B314" s="91" t="s">
        <v>3067</v>
      </c>
      <c r="C314" s="91"/>
      <c r="D314" s="91"/>
      <c r="E314" s="91"/>
      <c r="F314" s="127">
        <v>490</v>
      </c>
    </row>
    <row r="315" s="113" customFormat="1" ht="14.25" customHeight="1" spans="1:6">
      <c r="A315" s="87" t="s">
        <v>291</v>
      </c>
      <c r="B315" s="91" t="s">
        <v>3074</v>
      </c>
      <c r="C315" s="91"/>
      <c r="D315" s="91"/>
      <c r="E315" s="91"/>
      <c r="F315" s="127">
        <v>520</v>
      </c>
    </row>
    <row r="316" s="113" customFormat="1" ht="14.25" customHeight="1" spans="1:6">
      <c r="A316" s="87" t="s">
        <v>291</v>
      </c>
      <c r="B316" s="102" t="s">
        <v>3081</v>
      </c>
      <c r="C316" s="102"/>
      <c r="D316" s="102"/>
      <c r="E316" s="102"/>
      <c r="F316" s="129">
        <v>460</v>
      </c>
    </row>
    <row r="317" s="113" customFormat="1" ht="14.25" customHeight="1" spans="1:6">
      <c r="A317" s="87" t="s">
        <v>294</v>
      </c>
      <c r="B317" s="88" t="s">
        <v>2837</v>
      </c>
      <c r="C317" s="88">
        <v>1200</v>
      </c>
      <c r="D317" s="88">
        <v>1180</v>
      </c>
      <c r="E317" s="88">
        <v>1160</v>
      </c>
      <c r="F317" s="124">
        <v>370</v>
      </c>
    </row>
    <row r="318" s="113" customFormat="1" ht="14.25" customHeight="1" spans="1:6">
      <c r="A318" s="87" t="s">
        <v>294</v>
      </c>
      <c r="B318" s="91" t="s">
        <v>2850</v>
      </c>
      <c r="C318" s="91">
        <v>1090</v>
      </c>
      <c r="D318" s="91">
        <v>1060</v>
      </c>
      <c r="E318" s="91">
        <v>1040</v>
      </c>
      <c r="F318" s="130"/>
    </row>
    <row r="319" s="113" customFormat="1" ht="14.25" customHeight="1" spans="1:6">
      <c r="A319" s="87" t="s">
        <v>294</v>
      </c>
      <c r="B319" s="91" t="s">
        <v>2864</v>
      </c>
      <c r="C319" s="91">
        <v>1520</v>
      </c>
      <c r="D319" s="91">
        <v>1470</v>
      </c>
      <c r="E319" s="91">
        <v>1440</v>
      </c>
      <c r="F319" s="127">
        <v>370</v>
      </c>
    </row>
    <row r="320" s="113" customFormat="1" ht="14.25" customHeight="1" spans="1:6">
      <c r="A320" s="87" t="s">
        <v>294</v>
      </c>
      <c r="B320" s="91" t="s">
        <v>2876</v>
      </c>
      <c r="C320" s="91">
        <v>1360</v>
      </c>
      <c r="D320" s="91">
        <v>1300</v>
      </c>
      <c r="E320" s="91">
        <v>1270</v>
      </c>
      <c r="F320" s="130"/>
    </row>
    <row r="321" s="113" customFormat="1" ht="14.25" customHeight="1" spans="1:6">
      <c r="A321" s="87" t="s">
        <v>294</v>
      </c>
      <c r="B321" s="91" t="s">
        <v>2888</v>
      </c>
      <c r="C321" s="91">
        <v>1750</v>
      </c>
      <c r="D321" s="91">
        <v>1690</v>
      </c>
      <c r="E321" s="91">
        <v>1660</v>
      </c>
      <c r="F321" s="130"/>
    </row>
    <row r="322" s="113" customFormat="1" ht="14.25" customHeight="1" spans="1:6">
      <c r="A322" s="87" t="s">
        <v>294</v>
      </c>
      <c r="B322" s="91" t="s">
        <v>2899</v>
      </c>
      <c r="C322" s="91">
        <v>1650</v>
      </c>
      <c r="D322" s="91">
        <v>1610</v>
      </c>
      <c r="E322" s="91">
        <v>1580</v>
      </c>
      <c r="F322" s="127">
        <v>500</v>
      </c>
    </row>
    <row r="323" s="113" customFormat="1" ht="14.25" customHeight="1" spans="1:6">
      <c r="A323" s="87" t="s">
        <v>294</v>
      </c>
      <c r="B323" s="91" t="s">
        <v>2910</v>
      </c>
      <c r="C323" s="91">
        <v>1780</v>
      </c>
      <c r="D323" s="91">
        <v>1740</v>
      </c>
      <c r="E323" s="91">
        <v>1720</v>
      </c>
      <c r="F323" s="130"/>
    </row>
    <row r="324" s="113" customFormat="1" ht="14.25" customHeight="1" spans="1:6">
      <c r="A324" s="87" t="s">
        <v>294</v>
      </c>
      <c r="B324" s="91" t="s">
        <v>2921</v>
      </c>
      <c r="C324" s="91">
        <v>1650</v>
      </c>
      <c r="D324" s="91">
        <v>1610</v>
      </c>
      <c r="E324" s="91">
        <v>1580</v>
      </c>
      <c r="F324" s="130"/>
    </row>
    <row r="325" s="113" customFormat="1" ht="14.25" customHeight="1" spans="1:6">
      <c r="A325" s="87" t="s">
        <v>294</v>
      </c>
      <c r="B325" s="91" t="s">
        <v>2931</v>
      </c>
      <c r="C325" s="91">
        <v>1330</v>
      </c>
      <c r="D325" s="91">
        <v>1270</v>
      </c>
      <c r="E325" s="91">
        <v>1240</v>
      </c>
      <c r="F325" s="127">
        <v>430</v>
      </c>
    </row>
    <row r="326" s="113" customFormat="1" ht="14.25" customHeight="1" spans="1:6">
      <c r="A326" s="87" t="s">
        <v>294</v>
      </c>
      <c r="B326" s="91" t="s">
        <v>2941</v>
      </c>
      <c r="C326" s="91">
        <v>1470</v>
      </c>
      <c r="D326" s="91">
        <v>1430</v>
      </c>
      <c r="E326" s="91">
        <v>1400</v>
      </c>
      <c r="F326" s="130"/>
    </row>
    <row r="327" s="113" customFormat="1" ht="14.25" customHeight="1" spans="1:6">
      <c r="A327" s="87" t="s">
        <v>294</v>
      </c>
      <c r="B327" s="91" t="s">
        <v>2951</v>
      </c>
      <c r="C327" s="91">
        <v>1420</v>
      </c>
      <c r="D327" s="91">
        <v>1380</v>
      </c>
      <c r="E327" s="91">
        <v>1360</v>
      </c>
      <c r="F327" s="127">
        <v>420</v>
      </c>
    </row>
    <row r="328" s="113" customFormat="1" ht="14.25" customHeight="1" spans="1:6">
      <c r="A328" s="87" t="s">
        <v>294</v>
      </c>
      <c r="B328" s="91" t="s">
        <v>2961</v>
      </c>
      <c r="C328" s="91">
        <v>1400</v>
      </c>
      <c r="D328" s="91">
        <v>1360</v>
      </c>
      <c r="E328" s="91">
        <v>1330</v>
      </c>
      <c r="F328" s="127">
        <v>460</v>
      </c>
    </row>
    <row r="329" s="113" customFormat="1" ht="14.25" customHeight="1" spans="1:6">
      <c r="A329" s="87" t="s">
        <v>294</v>
      </c>
      <c r="B329" s="91" t="s">
        <v>2970</v>
      </c>
      <c r="C329" s="91">
        <v>1640</v>
      </c>
      <c r="D329" s="91">
        <v>1610</v>
      </c>
      <c r="E329" s="91">
        <v>1580</v>
      </c>
      <c r="F329" s="127">
        <v>410</v>
      </c>
    </row>
    <row r="330" s="113" customFormat="1" ht="14.25" customHeight="1" spans="1:6">
      <c r="A330" s="87" t="s">
        <v>294</v>
      </c>
      <c r="B330" s="91" t="s">
        <v>2980</v>
      </c>
      <c r="C330" s="91">
        <v>1260</v>
      </c>
      <c r="D330" s="91">
        <v>1220</v>
      </c>
      <c r="E330" s="91">
        <v>1200</v>
      </c>
      <c r="F330" s="130"/>
    </row>
    <row r="331" s="113" customFormat="1" ht="14.25" customHeight="1" spans="1:6">
      <c r="A331" s="87" t="s">
        <v>294</v>
      </c>
      <c r="B331" s="91" t="s">
        <v>2989</v>
      </c>
      <c r="C331" s="91">
        <v>1620</v>
      </c>
      <c r="D331" s="91">
        <v>1560</v>
      </c>
      <c r="E331" s="91">
        <v>1530</v>
      </c>
      <c r="F331" s="127">
        <v>490</v>
      </c>
    </row>
    <row r="332" s="113" customFormat="1" ht="14.25" customHeight="1" spans="1:6">
      <c r="A332" s="87" t="s">
        <v>294</v>
      </c>
      <c r="B332" s="91" t="s">
        <v>2999</v>
      </c>
      <c r="C332" s="91">
        <v>1520</v>
      </c>
      <c r="D332" s="91">
        <v>1470</v>
      </c>
      <c r="E332" s="91">
        <v>1440</v>
      </c>
      <c r="F332" s="127">
        <v>440</v>
      </c>
    </row>
    <row r="333" s="113" customFormat="1" ht="14.25" customHeight="1" spans="1:6">
      <c r="A333" s="87" t="s">
        <v>294</v>
      </c>
      <c r="B333" s="91" t="s">
        <v>3009</v>
      </c>
      <c r="C333" s="91">
        <v>1370</v>
      </c>
      <c r="D333" s="91">
        <v>1320</v>
      </c>
      <c r="E333" s="91">
        <v>1300</v>
      </c>
      <c r="F333" s="127">
        <v>460</v>
      </c>
    </row>
    <row r="334" s="113" customFormat="1" ht="14.25" customHeight="1" spans="1:6">
      <c r="A334" s="87" t="s">
        <v>294</v>
      </c>
      <c r="B334" s="91" t="s">
        <v>3019</v>
      </c>
      <c r="C334" s="91">
        <v>1410</v>
      </c>
      <c r="D334" s="91">
        <v>1340</v>
      </c>
      <c r="E334" s="91">
        <v>1310</v>
      </c>
      <c r="F334" s="127">
        <v>410</v>
      </c>
    </row>
    <row r="335" s="113" customFormat="1" ht="14.25" customHeight="1" spans="1:6">
      <c r="A335" s="87" t="s">
        <v>294</v>
      </c>
      <c r="B335" s="91" t="s">
        <v>3029</v>
      </c>
      <c r="C335" s="91">
        <v>1260</v>
      </c>
      <c r="D335" s="91">
        <v>1220</v>
      </c>
      <c r="E335" s="91">
        <v>1200</v>
      </c>
      <c r="F335" s="130"/>
    </row>
    <row r="336" s="113" customFormat="1" ht="14.25" customHeight="1" spans="1:6">
      <c r="A336" s="87" t="s">
        <v>294</v>
      </c>
      <c r="B336" s="91" t="s">
        <v>3038</v>
      </c>
      <c r="C336" s="91">
        <v>1160</v>
      </c>
      <c r="D336" s="91">
        <v>1140</v>
      </c>
      <c r="E336" s="91">
        <v>1120</v>
      </c>
      <c r="F336" s="127">
        <v>430</v>
      </c>
    </row>
    <row r="337" s="113" customFormat="1" ht="14.25" customHeight="1" spans="1:6">
      <c r="A337" s="87" t="s">
        <v>294</v>
      </c>
      <c r="B337" s="102" t="s">
        <v>3046</v>
      </c>
      <c r="C337" s="102"/>
      <c r="D337" s="102"/>
      <c r="E337" s="102"/>
      <c r="F337" s="129">
        <v>380</v>
      </c>
    </row>
    <row r="338" s="113" customFormat="1" ht="14.25" customHeight="1" spans="1:6">
      <c r="A338" s="87" t="s">
        <v>297</v>
      </c>
      <c r="B338" s="88" t="s">
        <v>2838</v>
      </c>
      <c r="C338" s="88">
        <v>880</v>
      </c>
      <c r="D338" s="88">
        <v>850</v>
      </c>
      <c r="E338" s="88">
        <v>830</v>
      </c>
      <c r="F338" s="134"/>
    </row>
    <row r="339" s="113" customFormat="1" ht="14.25" customHeight="1" spans="1:6">
      <c r="A339" s="87" t="s">
        <v>297</v>
      </c>
      <c r="B339" s="91" t="s">
        <v>2851</v>
      </c>
      <c r="C339" s="91">
        <v>830</v>
      </c>
      <c r="D339" s="91">
        <v>800</v>
      </c>
      <c r="E339" s="91">
        <v>780</v>
      </c>
      <c r="F339" s="130"/>
    </row>
    <row r="340" s="113" customFormat="1" ht="14.25" customHeight="1" spans="1:6">
      <c r="A340" s="87" t="s">
        <v>297</v>
      </c>
      <c r="B340" s="91" t="s">
        <v>2865</v>
      </c>
      <c r="C340" s="91">
        <v>980</v>
      </c>
      <c r="D340" s="91">
        <v>950</v>
      </c>
      <c r="E340" s="91">
        <v>920</v>
      </c>
      <c r="F340" s="130"/>
    </row>
    <row r="341" s="113" customFormat="1" ht="14.25" customHeight="1" spans="1:6">
      <c r="A341" s="87" t="s">
        <v>297</v>
      </c>
      <c r="B341" s="91" t="s">
        <v>2877</v>
      </c>
      <c r="C341" s="91">
        <v>760</v>
      </c>
      <c r="D341" s="91">
        <v>720</v>
      </c>
      <c r="E341" s="91">
        <v>690</v>
      </c>
      <c r="F341" s="127">
        <v>350</v>
      </c>
    </row>
    <row r="342" s="113" customFormat="1" ht="14.25" customHeight="1" spans="1:6">
      <c r="A342" s="87" t="s">
        <v>297</v>
      </c>
      <c r="B342" s="91" t="s">
        <v>2889</v>
      </c>
      <c r="C342" s="91">
        <v>910</v>
      </c>
      <c r="D342" s="91">
        <v>870</v>
      </c>
      <c r="E342" s="91">
        <v>850</v>
      </c>
      <c r="F342" s="127">
        <v>370</v>
      </c>
    </row>
    <row r="343" s="113" customFormat="1" ht="14.25" customHeight="1" spans="1:6">
      <c r="A343" s="87" t="s">
        <v>297</v>
      </c>
      <c r="B343" s="91" t="s">
        <v>2900</v>
      </c>
      <c r="C343" s="91">
        <v>800</v>
      </c>
      <c r="D343" s="91">
        <v>760</v>
      </c>
      <c r="E343" s="91">
        <v>730</v>
      </c>
      <c r="F343" s="127">
        <v>340</v>
      </c>
    </row>
    <row r="344" s="113" customFormat="1" ht="14.25" customHeight="1" spans="1:6">
      <c r="A344" s="87" t="s">
        <v>297</v>
      </c>
      <c r="B344" s="102" t="s">
        <v>2911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3168</v>
      </c>
      <c r="B1" s="83"/>
    </row>
    <row r="2" ht="14.25" spans="1:2">
      <c r="A2" s="83"/>
      <c r="B2" s="83"/>
    </row>
    <row r="3" ht="14.25" spans="1:6">
      <c r="A3" s="83"/>
      <c r="B3" s="83"/>
      <c r="C3" s="84" t="s">
        <v>461</v>
      </c>
      <c r="D3" s="84" t="s">
        <v>462</v>
      </c>
      <c r="E3" s="84" t="s">
        <v>2430</v>
      </c>
      <c r="F3" s="84" t="s">
        <v>2431</v>
      </c>
    </row>
    <row r="4" ht="14.25" spans="1:6">
      <c r="A4" s="85" t="s">
        <v>2839</v>
      </c>
      <c r="B4" s="86" t="s">
        <v>2852</v>
      </c>
      <c r="C4" s="84"/>
      <c r="D4" s="84"/>
      <c r="E4" s="84"/>
      <c r="F4" s="84"/>
    </row>
    <row r="5" ht="14.25" spans="1:6">
      <c r="A5" s="87" t="s">
        <v>232</v>
      </c>
      <c r="B5" s="88" t="s">
        <v>2827</v>
      </c>
      <c r="C5" s="89">
        <v>0.089</v>
      </c>
      <c r="D5" s="89">
        <v>0.074</v>
      </c>
      <c r="E5" s="89">
        <v>0.075</v>
      </c>
      <c r="F5" s="90">
        <v>0.1</v>
      </c>
    </row>
    <row r="6" ht="14.25" spans="1:6">
      <c r="A6" s="87" t="s">
        <v>232</v>
      </c>
      <c r="B6" s="91" t="s">
        <v>2840</v>
      </c>
      <c r="C6" s="92">
        <v>0.1</v>
      </c>
      <c r="D6" s="92">
        <v>0.091</v>
      </c>
      <c r="E6" s="92">
        <v>0.091</v>
      </c>
      <c r="F6" s="93">
        <v>0.1</v>
      </c>
    </row>
    <row r="7" ht="14.25" spans="1:6">
      <c r="A7" s="87" t="s">
        <v>232</v>
      </c>
      <c r="B7" s="94" t="s">
        <v>2854</v>
      </c>
      <c r="C7" s="92">
        <v>0.086</v>
      </c>
      <c r="D7" s="92">
        <v>0.096</v>
      </c>
      <c r="E7" s="92">
        <v>0.076</v>
      </c>
      <c r="F7" s="93">
        <v>0.1</v>
      </c>
    </row>
    <row r="8" ht="14.25" spans="1:6">
      <c r="A8" s="87" t="s">
        <v>232</v>
      </c>
      <c r="B8" s="91" t="s">
        <v>2866</v>
      </c>
      <c r="C8" s="92">
        <v>0.099</v>
      </c>
      <c r="D8" s="92">
        <v>0.098</v>
      </c>
      <c r="E8" s="92">
        <v>0.098</v>
      </c>
      <c r="F8" s="93">
        <v>0.1</v>
      </c>
    </row>
    <row r="9" ht="14.25" spans="1:6">
      <c r="A9" s="95" t="s">
        <v>232</v>
      </c>
      <c r="B9" s="96" t="s">
        <v>2878</v>
      </c>
      <c r="C9" s="97">
        <v>0.05</v>
      </c>
      <c r="D9" s="98"/>
      <c r="E9" s="98"/>
      <c r="F9" s="99"/>
    </row>
    <row r="10" ht="14.25" spans="1:6">
      <c r="A10" s="87" t="s">
        <v>243</v>
      </c>
      <c r="B10" s="88" t="s">
        <v>2828</v>
      </c>
      <c r="C10" s="89">
        <v>0.089</v>
      </c>
      <c r="D10" s="89">
        <v>0.073</v>
      </c>
      <c r="E10" s="89">
        <v>0.082</v>
      </c>
      <c r="F10" s="90">
        <v>0.1</v>
      </c>
    </row>
    <row r="11" ht="14.25" spans="1:6">
      <c r="A11" s="87" t="s">
        <v>243</v>
      </c>
      <c r="B11" s="94" t="s">
        <v>2841</v>
      </c>
      <c r="C11" s="92">
        <v>0.089</v>
      </c>
      <c r="D11" s="92">
        <v>0.073</v>
      </c>
      <c r="E11" s="92">
        <v>0.082</v>
      </c>
      <c r="F11" s="93">
        <v>0.1</v>
      </c>
    </row>
    <row r="12" ht="14.25" spans="1:6">
      <c r="A12" s="87" t="s">
        <v>243</v>
      </c>
      <c r="B12" s="94" t="s">
        <v>2855</v>
      </c>
      <c r="C12" s="92">
        <v>0.061</v>
      </c>
      <c r="D12" s="92">
        <v>0.071</v>
      </c>
      <c r="E12" s="92">
        <v>0.096</v>
      </c>
      <c r="F12" s="93">
        <v>0.1</v>
      </c>
    </row>
    <row r="13" ht="14.25" spans="1:6">
      <c r="A13" s="87" t="s">
        <v>243</v>
      </c>
      <c r="B13" s="94" t="s">
        <v>2867</v>
      </c>
      <c r="C13" s="92">
        <v>0.069</v>
      </c>
      <c r="D13" s="92">
        <v>0.065</v>
      </c>
      <c r="E13" s="92">
        <v>0.066</v>
      </c>
      <c r="F13" s="93">
        <v>0.1</v>
      </c>
    </row>
    <row r="14" ht="14.25" spans="1:6">
      <c r="A14" s="87" t="s">
        <v>243</v>
      </c>
      <c r="B14" s="94" t="s">
        <v>2879</v>
      </c>
      <c r="C14" s="92">
        <v>0.1</v>
      </c>
      <c r="D14" s="92">
        <v>0.065</v>
      </c>
      <c r="E14" s="92">
        <v>0.07</v>
      </c>
      <c r="F14" s="93">
        <v>0.1</v>
      </c>
    </row>
    <row r="15" ht="14.25" spans="1:6">
      <c r="A15" s="87" t="s">
        <v>243</v>
      </c>
      <c r="B15" s="94" t="s">
        <v>2890</v>
      </c>
      <c r="C15" s="92">
        <v>0.098</v>
      </c>
      <c r="D15" s="92">
        <v>0.089</v>
      </c>
      <c r="E15" s="92">
        <v>0.089</v>
      </c>
      <c r="F15" s="93">
        <v>0.1</v>
      </c>
    </row>
    <row r="16" ht="14.25" spans="1:6">
      <c r="A16" s="87" t="s">
        <v>243</v>
      </c>
      <c r="B16" s="94" t="s">
        <v>2901</v>
      </c>
      <c r="C16" s="92">
        <v>0.07</v>
      </c>
      <c r="D16" s="92">
        <v>0.093</v>
      </c>
      <c r="E16" s="92">
        <v>0.096</v>
      </c>
      <c r="F16" s="93">
        <v>0.1</v>
      </c>
    </row>
    <row r="17" ht="14.25" spans="1:6">
      <c r="A17" s="87" t="s">
        <v>243</v>
      </c>
      <c r="B17" s="94" t="s">
        <v>2912</v>
      </c>
      <c r="C17" s="92">
        <v>0.095</v>
      </c>
      <c r="D17" s="92">
        <v>0.1</v>
      </c>
      <c r="E17" s="92">
        <v>0.1</v>
      </c>
      <c r="F17" s="100"/>
    </row>
    <row r="18" ht="14.25" spans="1:6">
      <c r="A18" s="87" t="s">
        <v>243</v>
      </c>
      <c r="B18" s="94" t="s">
        <v>2922</v>
      </c>
      <c r="C18" s="92">
        <v>0.074</v>
      </c>
      <c r="D18" s="92">
        <v>0.099</v>
      </c>
      <c r="E18" s="92">
        <v>0.1</v>
      </c>
      <c r="F18" s="100"/>
    </row>
    <row r="19" ht="14.25" spans="1:6">
      <c r="A19" s="87" t="s">
        <v>243</v>
      </c>
      <c r="B19" s="94" t="s">
        <v>2932</v>
      </c>
      <c r="C19" s="92">
        <v>0.099</v>
      </c>
      <c r="D19" s="92">
        <v>0.076</v>
      </c>
      <c r="E19" s="92">
        <v>0.087</v>
      </c>
      <c r="F19" s="100"/>
    </row>
    <row r="20" ht="14.25" spans="1:6">
      <c r="A20" s="87" t="s">
        <v>243</v>
      </c>
      <c r="B20" s="94" t="s">
        <v>2942</v>
      </c>
      <c r="C20" s="92">
        <v>0.098</v>
      </c>
      <c r="D20" s="92">
        <v>0.085</v>
      </c>
      <c r="E20" s="92">
        <v>0.082</v>
      </c>
      <c r="F20" s="100"/>
    </row>
    <row r="21" ht="14.25" spans="1:6">
      <c r="A21" s="87" t="s">
        <v>243</v>
      </c>
      <c r="B21" s="94" t="s">
        <v>2952</v>
      </c>
      <c r="C21" s="92">
        <v>0.066</v>
      </c>
      <c r="D21" s="92">
        <v>0.064</v>
      </c>
      <c r="E21" s="92">
        <v>0.065</v>
      </c>
      <c r="F21" s="100"/>
    </row>
    <row r="22" ht="14.25" spans="1:6">
      <c r="A22" s="87" t="s">
        <v>243</v>
      </c>
      <c r="B22" s="94" t="s">
        <v>2962</v>
      </c>
      <c r="C22" s="92">
        <v>0.08</v>
      </c>
      <c r="D22" s="92">
        <v>0.098</v>
      </c>
      <c r="E22" s="92">
        <v>0.098</v>
      </c>
      <c r="F22" s="100"/>
    </row>
    <row r="23" ht="14.25" spans="1:6">
      <c r="A23" s="87" t="s">
        <v>243</v>
      </c>
      <c r="B23" s="94" t="s">
        <v>2971</v>
      </c>
      <c r="C23" s="92">
        <v>0.099</v>
      </c>
      <c r="D23" s="92">
        <v>0.098</v>
      </c>
      <c r="E23" s="92">
        <v>0.091</v>
      </c>
      <c r="F23" s="100"/>
    </row>
    <row r="24" ht="14.25" spans="1:6">
      <c r="A24" s="87" t="s">
        <v>243</v>
      </c>
      <c r="B24" s="94" t="s">
        <v>2981</v>
      </c>
      <c r="C24" s="92">
        <v>0.089</v>
      </c>
      <c r="D24" s="92">
        <v>0.097</v>
      </c>
      <c r="E24" s="92">
        <v>0.07</v>
      </c>
      <c r="F24" s="100"/>
    </row>
    <row r="25" ht="14.25" spans="1:6">
      <c r="A25" s="87" t="s">
        <v>243</v>
      </c>
      <c r="B25" s="94" t="s">
        <v>2990</v>
      </c>
      <c r="C25" s="92">
        <v>0.089</v>
      </c>
      <c r="D25" s="92">
        <v>0.1</v>
      </c>
      <c r="E25" s="92">
        <v>0.081</v>
      </c>
      <c r="F25" s="100"/>
    </row>
    <row r="26" ht="14.25" spans="1:6">
      <c r="A26" s="87" t="s">
        <v>243</v>
      </c>
      <c r="B26" s="94" t="s">
        <v>3000</v>
      </c>
      <c r="C26" s="101"/>
      <c r="D26" s="92">
        <v>0.096</v>
      </c>
      <c r="E26" s="92">
        <v>0.093</v>
      </c>
      <c r="F26" s="100"/>
    </row>
    <row r="27" ht="14.25" spans="1:6">
      <c r="A27" s="87" t="s">
        <v>243</v>
      </c>
      <c r="B27" s="94" t="s">
        <v>3010</v>
      </c>
      <c r="C27" s="101"/>
      <c r="D27" s="92">
        <v>0.076</v>
      </c>
      <c r="E27" s="92">
        <v>0.092</v>
      </c>
      <c r="F27" s="100"/>
    </row>
    <row r="28" ht="14.25" spans="1:6">
      <c r="A28" s="95" t="s">
        <v>243</v>
      </c>
      <c r="B28" s="96" t="s">
        <v>3020</v>
      </c>
      <c r="C28" s="98"/>
      <c r="D28" s="97">
        <v>0.076</v>
      </c>
      <c r="E28" s="97">
        <v>0.092</v>
      </c>
      <c r="F28" s="99"/>
    </row>
    <row r="29" ht="14.25" spans="1:6">
      <c r="A29" s="87" t="s">
        <v>253</v>
      </c>
      <c r="B29" s="88" t="s">
        <v>2829</v>
      </c>
      <c r="C29" s="89">
        <v>0.064</v>
      </c>
      <c r="D29" s="89">
        <v>0.065</v>
      </c>
      <c r="E29" s="89">
        <v>0.069</v>
      </c>
      <c r="F29" s="90">
        <v>0.1</v>
      </c>
    </row>
    <row r="30" ht="14.25" spans="1:6">
      <c r="A30" s="87" t="s">
        <v>253</v>
      </c>
      <c r="B30" s="94" t="s">
        <v>2842</v>
      </c>
      <c r="C30" s="92">
        <v>0.064</v>
      </c>
      <c r="D30" s="92">
        <v>0.099</v>
      </c>
      <c r="E30" s="92">
        <v>0.1</v>
      </c>
      <c r="F30" s="93">
        <v>0.1</v>
      </c>
    </row>
    <row r="31" ht="14.25" spans="1:6">
      <c r="A31" s="87" t="s">
        <v>253</v>
      </c>
      <c r="B31" s="94" t="s">
        <v>2856</v>
      </c>
      <c r="C31" s="92">
        <v>0.1</v>
      </c>
      <c r="D31" s="92">
        <v>0.095</v>
      </c>
      <c r="E31" s="92">
        <v>0.089</v>
      </c>
      <c r="F31" s="93">
        <v>0.1</v>
      </c>
    </row>
    <row r="32" ht="14.25" spans="1:6">
      <c r="A32" s="87" t="s">
        <v>253</v>
      </c>
      <c r="B32" s="94" t="s">
        <v>2868</v>
      </c>
      <c r="C32" s="92">
        <v>0.05</v>
      </c>
      <c r="D32" s="92">
        <v>0.05</v>
      </c>
      <c r="E32" s="92">
        <v>0.088</v>
      </c>
      <c r="F32" s="93">
        <v>0.1</v>
      </c>
    </row>
    <row r="33" ht="14.25" spans="1:6">
      <c r="A33" s="87" t="s">
        <v>253</v>
      </c>
      <c r="B33" s="94" t="s">
        <v>2880</v>
      </c>
      <c r="C33" s="92">
        <v>0.075</v>
      </c>
      <c r="D33" s="92">
        <v>0.094</v>
      </c>
      <c r="E33" s="92">
        <v>0.097</v>
      </c>
      <c r="F33" s="93">
        <v>0.1</v>
      </c>
    </row>
    <row r="34" ht="14.25" spans="1:6">
      <c r="A34" s="87" t="s">
        <v>253</v>
      </c>
      <c r="B34" s="94" t="s">
        <v>2891</v>
      </c>
      <c r="C34" s="92">
        <v>0.098</v>
      </c>
      <c r="D34" s="92">
        <v>0.086</v>
      </c>
      <c r="E34" s="92">
        <v>0.097</v>
      </c>
      <c r="F34" s="93">
        <v>0.1</v>
      </c>
    </row>
    <row r="35" ht="14.25" spans="1:6">
      <c r="A35" s="87" t="s">
        <v>253</v>
      </c>
      <c r="B35" s="94" t="s">
        <v>2902</v>
      </c>
      <c r="C35" s="92">
        <v>0.059</v>
      </c>
      <c r="D35" s="92">
        <v>0.065</v>
      </c>
      <c r="E35" s="92">
        <v>0.07</v>
      </c>
      <c r="F35" s="93">
        <v>0.1</v>
      </c>
    </row>
    <row r="36" ht="14.25" spans="1:6">
      <c r="A36" s="87" t="s">
        <v>253</v>
      </c>
      <c r="B36" s="94" t="s">
        <v>2913</v>
      </c>
      <c r="C36" s="92">
        <v>0.063</v>
      </c>
      <c r="D36" s="92">
        <v>0.1</v>
      </c>
      <c r="E36" s="92">
        <v>0.1</v>
      </c>
      <c r="F36" s="93">
        <v>0.1</v>
      </c>
    </row>
    <row r="37" ht="14.25" spans="1:6">
      <c r="A37" s="87" t="s">
        <v>253</v>
      </c>
      <c r="B37" s="94" t="s">
        <v>2923</v>
      </c>
      <c r="C37" s="92">
        <v>0.074</v>
      </c>
      <c r="D37" s="92">
        <v>0.1</v>
      </c>
      <c r="E37" s="92">
        <v>0.1</v>
      </c>
      <c r="F37" s="93">
        <v>0.1</v>
      </c>
    </row>
    <row r="38" ht="14.25" spans="1:6">
      <c r="A38" s="87" t="s">
        <v>253</v>
      </c>
      <c r="B38" s="94" t="s">
        <v>2933</v>
      </c>
      <c r="C38" s="92">
        <v>0.1</v>
      </c>
      <c r="D38" s="92">
        <v>0.096</v>
      </c>
      <c r="E38" s="92">
        <v>0.096</v>
      </c>
      <c r="F38" s="100"/>
    </row>
    <row r="39" ht="14.25" spans="1:6">
      <c r="A39" s="87" t="s">
        <v>253</v>
      </c>
      <c r="B39" s="94" t="s">
        <v>2943</v>
      </c>
      <c r="C39" s="92">
        <v>0.1</v>
      </c>
      <c r="D39" s="92">
        <v>0.096</v>
      </c>
      <c r="E39" s="92">
        <v>0.096</v>
      </c>
      <c r="F39" s="100"/>
    </row>
    <row r="40" ht="14.25" spans="1:6">
      <c r="A40" s="87" t="s">
        <v>253</v>
      </c>
      <c r="B40" s="94" t="s">
        <v>2953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2972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2991</v>
      </c>
      <c r="C44" s="92">
        <v>0.086</v>
      </c>
      <c r="D44" s="92">
        <v>0.079</v>
      </c>
      <c r="E44" s="92">
        <v>0.071</v>
      </c>
      <c r="F44" s="100"/>
    </row>
    <row r="45" ht="14.25" spans="1:6">
      <c r="A45" s="87" t="s">
        <v>253</v>
      </c>
      <c r="B45" s="94" t="s">
        <v>3001</v>
      </c>
      <c r="C45" s="92">
        <v>0.098</v>
      </c>
      <c r="D45" s="92">
        <v>0.096</v>
      </c>
      <c r="E45" s="92">
        <v>0.096</v>
      </c>
      <c r="F45" s="100"/>
    </row>
    <row r="46" ht="14.25" spans="1:6">
      <c r="A46" s="87" t="s">
        <v>253</v>
      </c>
      <c r="B46" s="94" t="s">
        <v>3011</v>
      </c>
      <c r="C46" s="92">
        <v>0.086</v>
      </c>
      <c r="D46" s="92">
        <v>0.098</v>
      </c>
      <c r="E46" s="92">
        <v>0.088</v>
      </c>
      <c r="F46" s="100"/>
    </row>
    <row r="47" ht="14.25" spans="1:6">
      <c r="A47" s="87" t="s">
        <v>253</v>
      </c>
      <c r="B47" s="94" t="s">
        <v>3021</v>
      </c>
      <c r="C47" s="92">
        <v>0.096</v>
      </c>
      <c r="D47" s="101"/>
      <c r="E47" s="92">
        <v>0.069</v>
      </c>
      <c r="F47" s="100"/>
    </row>
    <row r="48" ht="14.25" spans="1:6">
      <c r="A48" s="95" t="s">
        <v>253</v>
      </c>
      <c r="B48" s="96" t="s">
        <v>3030</v>
      </c>
      <c r="C48" s="97">
        <v>0.098</v>
      </c>
      <c r="D48" s="98"/>
      <c r="E48" s="97">
        <v>0.095</v>
      </c>
      <c r="F48" s="99"/>
    </row>
    <row r="49" ht="14.25" spans="1:6">
      <c r="A49" s="87" t="s">
        <v>261</v>
      </c>
      <c r="B49" s="88" t="s">
        <v>2830</v>
      </c>
      <c r="C49" s="89">
        <v>0.097</v>
      </c>
      <c r="D49" s="89">
        <v>0.095</v>
      </c>
      <c r="E49" s="89">
        <v>0.097</v>
      </c>
      <c r="F49" s="90">
        <v>0.1</v>
      </c>
    </row>
    <row r="50" ht="14.25" spans="1:6">
      <c r="A50" s="87" t="s">
        <v>261</v>
      </c>
      <c r="B50" s="91" t="s">
        <v>2843</v>
      </c>
      <c r="C50" s="92">
        <v>0.075</v>
      </c>
      <c r="D50" s="92">
        <v>0.095</v>
      </c>
      <c r="E50" s="92">
        <v>0.1</v>
      </c>
      <c r="F50" s="93">
        <v>0.1</v>
      </c>
    </row>
    <row r="51" ht="14.25" spans="1:6">
      <c r="A51" s="87" t="s">
        <v>261</v>
      </c>
      <c r="B51" s="91" t="s">
        <v>2857</v>
      </c>
      <c r="C51" s="92">
        <v>0.098</v>
      </c>
      <c r="D51" s="92">
        <v>0.089</v>
      </c>
      <c r="E51" s="92">
        <v>0.1</v>
      </c>
      <c r="F51" s="93">
        <v>0.1</v>
      </c>
    </row>
    <row r="52" ht="14.25" spans="1:6">
      <c r="A52" s="87" t="s">
        <v>261</v>
      </c>
      <c r="B52" s="91" t="s">
        <v>2869</v>
      </c>
      <c r="C52" s="92">
        <v>0.098</v>
      </c>
      <c r="D52" s="92">
        <v>0.097</v>
      </c>
      <c r="E52" s="92">
        <v>0.081</v>
      </c>
      <c r="F52" s="93">
        <v>0.1</v>
      </c>
    </row>
    <row r="53" ht="14.25" spans="1:6">
      <c r="A53" s="87" t="s">
        <v>261</v>
      </c>
      <c r="B53" s="91" t="s">
        <v>2881</v>
      </c>
      <c r="C53" s="92">
        <v>0.097</v>
      </c>
      <c r="D53" s="92">
        <v>0.076</v>
      </c>
      <c r="E53" s="92">
        <v>0.071</v>
      </c>
      <c r="F53" s="93">
        <v>0.1</v>
      </c>
    </row>
    <row r="54" ht="14.25" spans="1:6">
      <c r="A54" s="87" t="s">
        <v>261</v>
      </c>
      <c r="B54" s="91" t="s">
        <v>2892</v>
      </c>
      <c r="C54" s="92">
        <v>0.076</v>
      </c>
      <c r="D54" s="92">
        <v>0.1</v>
      </c>
      <c r="E54" s="92">
        <v>0.099</v>
      </c>
      <c r="F54" s="93">
        <v>0.1</v>
      </c>
    </row>
    <row r="55" ht="14.25" spans="1:6">
      <c r="A55" s="87" t="s">
        <v>261</v>
      </c>
      <c r="B55" s="91" t="s">
        <v>2903</v>
      </c>
      <c r="C55" s="92">
        <v>0.1</v>
      </c>
      <c r="D55" s="92">
        <v>0.1</v>
      </c>
      <c r="E55" s="92">
        <v>0.096</v>
      </c>
      <c r="F55" s="93">
        <v>0.1</v>
      </c>
    </row>
    <row r="56" ht="14.25" spans="1:6">
      <c r="A56" s="87" t="s">
        <v>261</v>
      </c>
      <c r="B56" s="91" t="s">
        <v>2914</v>
      </c>
      <c r="C56" s="92">
        <v>0.1</v>
      </c>
      <c r="D56" s="92">
        <v>0.096</v>
      </c>
      <c r="E56" s="92">
        <v>0.052</v>
      </c>
      <c r="F56" s="93">
        <v>0.1</v>
      </c>
    </row>
    <row r="57" ht="14.25" spans="1:6">
      <c r="A57" s="87" t="s">
        <v>261</v>
      </c>
      <c r="B57" s="91" t="s">
        <v>2924</v>
      </c>
      <c r="C57" s="92">
        <v>0.097</v>
      </c>
      <c r="D57" s="92">
        <v>0.096</v>
      </c>
      <c r="E57" s="92">
        <v>0.096</v>
      </c>
      <c r="F57" s="93">
        <v>0.1</v>
      </c>
    </row>
    <row r="58" ht="14.25" spans="1:6">
      <c r="A58" s="87" t="s">
        <v>261</v>
      </c>
      <c r="B58" s="91" t="s">
        <v>2934</v>
      </c>
      <c r="C58" s="92">
        <v>0.096</v>
      </c>
      <c r="D58" s="92">
        <v>0.099</v>
      </c>
      <c r="E58" s="92">
        <v>0.096</v>
      </c>
      <c r="F58" s="93">
        <v>0.1</v>
      </c>
    </row>
    <row r="59" ht="14.25" spans="1:6">
      <c r="A59" s="87" t="s">
        <v>261</v>
      </c>
      <c r="B59" s="91" t="s">
        <v>2944</v>
      </c>
      <c r="C59" s="92">
        <v>0.072</v>
      </c>
      <c r="D59" s="92">
        <v>0.096</v>
      </c>
      <c r="E59" s="92">
        <v>0.071</v>
      </c>
      <c r="F59" s="93">
        <v>0.1</v>
      </c>
    </row>
    <row r="60" ht="14.25" spans="1:6">
      <c r="A60" s="87" t="s">
        <v>261</v>
      </c>
      <c r="B60" s="91" t="s">
        <v>2954</v>
      </c>
      <c r="C60" s="92">
        <v>0.096</v>
      </c>
      <c r="D60" s="92">
        <v>0.089</v>
      </c>
      <c r="E60" s="92">
        <v>0.096</v>
      </c>
      <c r="F60" s="93">
        <v>0.1</v>
      </c>
    </row>
    <row r="61" ht="14.25" spans="1:6">
      <c r="A61" s="87" t="s">
        <v>261</v>
      </c>
      <c r="B61" s="91" t="s">
        <v>2963</v>
      </c>
      <c r="C61" s="92">
        <v>0.089</v>
      </c>
      <c r="D61" s="92">
        <v>0.098</v>
      </c>
      <c r="E61" s="92">
        <v>0.088</v>
      </c>
      <c r="F61" s="100"/>
    </row>
    <row r="62" ht="14.25" spans="1:6">
      <c r="A62" s="87" t="s">
        <v>261</v>
      </c>
      <c r="B62" s="91" t="s">
        <v>2973</v>
      </c>
      <c r="C62" s="92">
        <v>0.098</v>
      </c>
      <c r="D62" s="92">
        <v>0.093</v>
      </c>
      <c r="E62" s="92">
        <v>0.097</v>
      </c>
      <c r="F62" s="100"/>
    </row>
    <row r="63" ht="14.25" spans="1:6">
      <c r="A63" s="87" t="s">
        <v>261</v>
      </c>
      <c r="B63" s="91" t="s">
        <v>2982</v>
      </c>
      <c r="C63" s="92">
        <v>0.096</v>
      </c>
      <c r="D63" s="92">
        <v>0.098</v>
      </c>
      <c r="E63" s="92">
        <v>0.09</v>
      </c>
      <c r="F63" s="100"/>
    </row>
    <row r="64" ht="14.25" spans="1:6">
      <c r="A64" s="87" t="s">
        <v>261</v>
      </c>
      <c r="B64" s="91" t="s">
        <v>2992</v>
      </c>
      <c r="C64" s="92">
        <v>0.099</v>
      </c>
      <c r="D64" s="92">
        <v>0.097</v>
      </c>
      <c r="E64" s="92">
        <v>0.099</v>
      </c>
      <c r="F64" s="100"/>
    </row>
    <row r="65" ht="14.25" spans="1:6">
      <c r="A65" s="87" t="s">
        <v>261</v>
      </c>
      <c r="B65" s="91" t="s">
        <v>3002</v>
      </c>
      <c r="C65" s="92">
        <v>0.098</v>
      </c>
      <c r="D65" s="92">
        <v>0.096</v>
      </c>
      <c r="E65" s="92">
        <v>0.096</v>
      </c>
      <c r="F65" s="100"/>
    </row>
    <row r="66" ht="14.25" spans="1:6">
      <c r="A66" s="87" t="s">
        <v>261</v>
      </c>
      <c r="B66" s="91" t="s">
        <v>3012</v>
      </c>
      <c r="C66" s="92">
        <v>0.096</v>
      </c>
      <c r="D66" s="92">
        <v>0.092</v>
      </c>
      <c r="E66" s="92">
        <v>0.096</v>
      </c>
      <c r="F66" s="100"/>
    </row>
    <row r="67" ht="14.25" spans="1:6">
      <c r="A67" s="87" t="s">
        <v>261</v>
      </c>
      <c r="B67" s="91" t="s">
        <v>3022</v>
      </c>
      <c r="C67" s="92">
        <v>0.094</v>
      </c>
      <c r="D67" s="92">
        <v>0.1</v>
      </c>
      <c r="E67" s="92">
        <v>0.088</v>
      </c>
      <c r="F67" s="100"/>
    </row>
    <row r="68" ht="14.25" spans="1:6">
      <c r="A68" s="87" t="s">
        <v>261</v>
      </c>
      <c r="B68" s="91" t="s">
        <v>3031</v>
      </c>
      <c r="C68" s="92">
        <v>0.1</v>
      </c>
      <c r="D68" s="92">
        <v>0.088</v>
      </c>
      <c r="E68" s="92">
        <v>0.097</v>
      </c>
      <c r="F68" s="100"/>
    </row>
    <row r="69" ht="14.25" spans="1:6">
      <c r="A69" s="87" t="s">
        <v>261</v>
      </c>
      <c r="B69" s="91" t="s">
        <v>3039</v>
      </c>
      <c r="C69" s="92">
        <v>0.064</v>
      </c>
      <c r="D69" s="92">
        <v>0.1</v>
      </c>
      <c r="E69" s="92">
        <v>0.1</v>
      </c>
      <c r="F69" s="100"/>
    </row>
    <row r="70" ht="14.25" spans="1:6">
      <c r="A70" s="87" t="s">
        <v>261</v>
      </c>
      <c r="B70" s="91" t="s">
        <v>3047</v>
      </c>
      <c r="C70" s="92">
        <v>0.091</v>
      </c>
      <c r="D70" s="101"/>
      <c r="E70" s="101"/>
      <c r="F70" s="100"/>
    </row>
    <row r="71" ht="14.25" spans="1:6">
      <c r="A71" s="87" t="s">
        <v>261</v>
      </c>
      <c r="B71" s="91" t="s">
        <v>3054</v>
      </c>
      <c r="C71" s="92">
        <v>0.1</v>
      </c>
      <c r="D71" s="101"/>
      <c r="E71" s="101"/>
      <c r="F71" s="100"/>
    </row>
    <row r="72" ht="14.25" spans="1:6">
      <c r="A72" s="87" t="s">
        <v>261</v>
      </c>
      <c r="B72" s="91" t="s">
        <v>3061</v>
      </c>
      <c r="C72" s="101"/>
      <c r="D72" s="101"/>
      <c r="E72" s="101"/>
      <c r="F72" s="93">
        <v>0.05</v>
      </c>
    </row>
    <row r="73" ht="14.25" spans="1:6">
      <c r="A73" s="87" t="s">
        <v>261</v>
      </c>
      <c r="B73" s="91" t="s">
        <v>3068</v>
      </c>
      <c r="C73" s="101"/>
      <c r="D73" s="101"/>
      <c r="E73" s="101"/>
      <c r="F73" s="93">
        <v>0.05</v>
      </c>
    </row>
    <row r="74" ht="14.25" spans="1:6">
      <c r="A74" s="87" t="s">
        <v>261</v>
      </c>
      <c r="B74" s="91" t="s">
        <v>3075</v>
      </c>
      <c r="C74" s="101"/>
      <c r="D74" s="101"/>
      <c r="E74" s="101"/>
      <c r="F74" s="93">
        <v>0.05</v>
      </c>
    </row>
    <row r="75" ht="14.25" spans="1:6">
      <c r="A75" s="95" t="s">
        <v>261</v>
      </c>
      <c r="B75" s="102" t="s">
        <v>3082</v>
      </c>
      <c r="C75" s="98"/>
      <c r="D75" s="98"/>
      <c r="E75" s="98"/>
      <c r="F75" s="103">
        <v>0.05</v>
      </c>
    </row>
    <row r="76" ht="14.25" spans="1:6">
      <c r="A76" s="87" t="s">
        <v>269</v>
      </c>
      <c r="B76" s="88" t="s">
        <v>2831</v>
      </c>
      <c r="C76" s="89">
        <v>0.1</v>
      </c>
      <c r="D76" s="89">
        <v>0.1</v>
      </c>
      <c r="E76" s="89">
        <v>0.1</v>
      </c>
      <c r="F76" s="90">
        <v>0.1</v>
      </c>
    </row>
    <row r="77" ht="14.25" spans="1:6">
      <c r="A77" s="87" t="s">
        <v>269</v>
      </c>
      <c r="B77" s="91" t="s">
        <v>2844</v>
      </c>
      <c r="C77" s="92">
        <v>0.088</v>
      </c>
      <c r="D77" s="92">
        <v>0.087</v>
      </c>
      <c r="E77" s="92">
        <v>0.079</v>
      </c>
      <c r="F77" s="93">
        <v>0.1</v>
      </c>
    </row>
    <row r="78" ht="14.25" spans="1:6">
      <c r="A78" s="87" t="s">
        <v>269</v>
      </c>
      <c r="B78" s="91" t="s">
        <v>2858</v>
      </c>
      <c r="C78" s="92">
        <v>0.087</v>
      </c>
      <c r="D78" s="92">
        <v>0.084</v>
      </c>
      <c r="E78" s="92">
        <v>0.096</v>
      </c>
      <c r="F78" s="93">
        <v>0.1</v>
      </c>
    </row>
    <row r="79" ht="14.25" spans="1:6">
      <c r="A79" s="87" t="s">
        <v>269</v>
      </c>
      <c r="B79" s="91" t="s">
        <v>2870</v>
      </c>
      <c r="C79" s="92">
        <v>0.098</v>
      </c>
      <c r="D79" s="92">
        <v>0.098</v>
      </c>
      <c r="E79" s="92">
        <v>0.091</v>
      </c>
      <c r="F79" s="93">
        <v>0.1</v>
      </c>
    </row>
    <row r="80" ht="14.25" spans="1:6">
      <c r="A80" s="87" t="s">
        <v>269</v>
      </c>
      <c r="B80" s="91" t="s">
        <v>2882</v>
      </c>
      <c r="C80" s="92">
        <v>0.096</v>
      </c>
      <c r="D80" s="92">
        <v>0.096</v>
      </c>
      <c r="E80" s="92">
        <v>0.1</v>
      </c>
      <c r="F80" s="93">
        <v>0.1</v>
      </c>
    </row>
    <row r="81" ht="14.25" spans="1:6">
      <c r="A81" s="87" t="s">
        <v>269</v>
      </c>
      <c r="B81" s="91" t="s">
        <v>2893</v>
      </c>
      <c r="C81" s="92">
        <v>0.099</v>
      </c>
      <c r="D81" s="92">
        <v>0.099</v>
      </c>
      <c r="E81" s="92">
        <v>0.098</v>
      </c>
      <c r="F81" s="93">
        <v>0.1</v>
      </c>
    </row>
    <row r="82" ht="14.25" spans="1:6">
      <c r="A82" s="87" t="s">
        <v>269</v>
      </c>
      <c r="B82" s="91" t="s">
        <v>2904</v>
      </c>
      <c r="C82" s="92">
        <v>0.099</v>
      </c>
      <c r="D82" s="92">
        <v>0.099</v>
      </c>
      <c r="E82" s="92">
        <v>0.097</v>
      </c>
      <c r="F82" s="93">
        <v>0.1</v>
      </c>
    </row>
    <row r="83" ht="14.25" spans="1:6">
      <c r="A83" s="87" t="s">
        <v>269</v>
      </c>
      <c r="B83" s="91" t="s">
        <v>2915</v>
      </c>
      <c r="C83" s="92">
        <v>0.098</v>
      </c>
      <c r="D83" s="92">
        <v>0.098</v>
      </c>
      <c r="E83" s="92">
        <v>0.098</v>
      </c>
      <c r="F83" s="93">
        <v>0.1</v>
      </c>
    </row>
    <row r="84" ht="14.25" spans="1:6">
      <c r="A84" s="87" t="s">
        <v>269</v>
      </c>
      <c r="B84" s="91" t="s">
        <v>2925</v>
      </c>
      <c r="C84" s="92">
        <v>0.099</v>
      </c>
      <c r="D84" s="92">
        <v>0.099</v>
      </c>
      <c r="E84" s="92">
        <v>0.099</v>
      </c>
      <c r="F84" s="93">
        <v>0.1</v>
      </c>
    </row>
    <row r="85" ht="14.25" spans="1:6">
      <c r="A85" s="87" t="s">
        <v>269</v>
      </c>
      <c r="B85" s="91" t="s">
        <v>2935</v>
      </c>
      <c r="C85" s="92">
        <v>0.099</v>
      </c>
      <c r="D85" s="92">
        <v>0.099</v>
      </c>
      <c r="E85" s="92">
        <v>0.099</v>
      </c>
      <c r="F85" s="93">
        <v>0.1</v>
      </c>
    </row>
    <row r="86" ht="14.25" spans="1:6">
      <c r="A86" s="87" t="s">
        <v>269</v>
      </c>
      <c r="B86" s="91" t="s">
        <v>2945</v>
      </c>
      <c r="C86" s="92">
        <v>0.1</v>
      </c>
      <c r="D86" s="92">
        <v>0.1</v>
      </c>
      <c r="E86" s="92">
        <v>0.077</v>
      </c>
      <c r="F86" s="93">
        <v>0.1</v>
      </c>
    </row>
    <row r="87" ht="14.25" spans="1:6">
      <c r="A87" s="87" t="s">
        <v>269</v>
      </c>
      <c r="B87" s="91" t="s">
        <v>2955</v>
      </c>
      <c r="C87" s="92">
        <v>0.1</v>
      </c>
      <c r="D87" s="92">
        <v>0.1</v>
      </c>
      <c r="E87" s="92">
        <v>0.098</v>
      </c>
      <c r="F87" s="100"/>
    </row>
    <row r="88" ht="14.25" spans="1:6">
      <c r="A88" s="87" t="s">
        <v>269</v>
      </c>
      <c r="B88" s="91" t="s">
        <v>2964</v>
      </c>
      <c r="C88" s="92">
        <v>0.092</v>
      </c>
      <c r="D88" s="92">
        <v>0.085</v>
      </c>
      <c r="E88" s="92">
        <v>0.096</v>
      </c>
      <c r="F88" s="100"/>
    </row>
    <row r="89" ht="14.25" spans="1:6">
      <c r="A89" s="87" t="s">
        <v>269</v>
      </c>
      <c r="B89" s="91" t="s">
        <v>2974</v>
      </c>
      <c r="C89" s="92">
        <v>0.1</v>
      </c>
      <c r="D89" s="92">
        <v>0.1</v>
      </c>
      <c r="E89" s="92">
        <v>0.097</v>
      </c>
      <c r="F89" s="100"/>
    </row>
    <row r="90" ht="14.25" spans="1:6">
      <c r="A90" s="87" t="s">
        <v>269</v>
      </c>
      <c r="B90" s="91" t="s">
        <v>2983</v>
      </c>
      <c r="C90" s="92">
        <v>0.098</v>
      </c>
      <c r="D90" s="92">
        <v>0.098</v>
      </c>
      <c r="E90" s="92">
        <v>0.088</v>
      </c>
      <c r="F90" s="100"/>
    </row>
    <row r="91" ht="14.25" spans="1:6">
      <c r="A91" s="87" t="s">
        <v>269</v>
      </c>
      <c r="B91" s="91" t="s">
        <v>2993</v>
      </c>
      <c r="C91" s="92">
        <v>0.099</v>
      </c>
      <c r="D91" s="92">
        <v>0.099</v>
      </c>
      <c r="E91" s="92">
        <v>0.091</v>
      </c>
      <c r="F91" s="100"/>
    </row>
    <row r="92" ht="14.25" spans="1:6">
      <c r="A92" s="87" t="s">
        <v>269</v>
      </c>
      <c r="B92" s="91" t="s">
        <v>3003</v>
      </c>
      <c r="C92" s="92">
        <v>0.096</v>
      </c>
      <c r="D92" s="92">
        <v>0.096</v>
      </c>
      <c r="E92" s="92">
        <v>0.073</v>
      </c>
      <c r="F92" s="100"/>
    </row>
    <row r="93" ht="14.25" spans="1:6">
      <c r="A93" s="87" t="s">
        <v>269</v>
      </c>
      <c r="B93" s="91" t="s">
        <v>3013</v>
      </c>
      <c r="C93" s="92">
        <v>0.096</v>
      </c>
      <c r="D93" s="92">
        <v>0.096</v>
      </c>
      <c r="E93" s="92">
        <v>0.099</v>
      </c>
      <c r="F93" s="100"/>
    </row>
    <row r="94" ht="14.25" spans="1:6">
      <c r="A94" s="87" t="s">
        <v>269</v>
      </c>
      <c r="B94" s="91" t="s">
        <v>3023</v>
      </c>
      <c r="C94" s="92">
        <v>0.076</v>
      </c>
      <c r="D94" s="92">
        <v>0.074</v>
      </c>
      <c r="E94" s="92">
        <v>0.097</v>
      </c>
      <c r="F94" s="100"/>
    </row>
    <row r="95" ht="14.25" spans="1:6">
      <c r="A95" s="87" t="s">
        <v>269</v>
      </c>
      <c r="B95" s="91" t="s">
        <v>3032</v>
      </c>
      <c r="C95" s="92">
        <v>0.099</v>
      </c>
      <c r="D95" s="92">
        <v>0.094</v>
      </c>
      <c r="E95" s="92">
        <v>0.096</v>
      </c>
      <c r="F95" s="100"/>
    </row>
    <row r="96" ht="14.25" spans="1:6">
      <c r="A96" s="87" t="s">
        <v>269</v>
      </c>
      <c r="B96" s="91" t="s">
        <v>3040</v>
      </c>
      <c r="C96" s="92">
        <v>0.099</v>
      </c>
      <c r="D96" s="92">
        <v>0.099</v>
      </c>
      <c r="E96" s="92">
        <v>0.099</v>
      </c>
      <c r="F96" s="100"/>
    </row>
    <row r="97" ht="14.25" spans="1:6">
      <c r="A97" s="87" t="s">
        <v>269</v>
      </c>
      <c r="B97" s="91" t="s">
        <v>3048</v>
      </c>
      <c r="C97" s="92">
        <v>0.098</v>
      </c>
      <c r="D97" s="92">
        <v>0.098</v>
      </c>
      <c r="E97" s="92">
        <v>0.097</v>
      </c>
      <c r="F97" s="100"/>
    </row>
    <row r="98" ht="14.25" spans="1:6">
      <c r="A98" s="87" t="s">
        <v>269</v>
      </c>
      <c r="B98" s="91" t="s">
        <v>3055</v>
      </c>
      <c r="C98" s="92">
        <v>0.1</v>
      </c>
      <c r="D98" s="92">
        <v>0.1</v>
      </c>
      <c r="E98" s="92">
        <v>0.097</v>
      </c>
      <c r="F98" s="100"/>
    </row>
    <row r="99" ht="14.25" spans="1:6">
      <c r="A99" s="87" t="s">
        <v>269</v>
      </c>
      <c r="B99" s="91" t="s">
        <v>3062</v>
      </c>
      <c r="C99" s="92">
        <v>0.1</v>
      </c>
      <c r="D99" s="92">
        <v>0.1</v>
      </c>
      <c r="E99" s="101"/>
      <c r="F99" s="100"/>
    </row>
    <row r="100" ht="14.25" spans="1:6">
      <c r="A100" s="87" t="s">
        <v>269</v>
      </c>
      <c r="B100" s="91" t="s">
        <v>3069</v>
      </c>
      <c r="C100" s="92">
        <v>0.09</v>
      </c>
      <c r="D100" s="92">
        <v>0.089</v>
      </c>
      <c r="E100" s="101"/>
      <c r="F100" s="100"/>
    </row>
    <row r="101" ht="14.25" spans="1:6">
      <c r="A101" s="87" t="s">
        <v>269</v>
      </c>
      <c r="B101" s="91" t="s">
        <v>3076</v>
      </c>
      <c r="C101" s="92">
        <v>0.098</v>
      </c>
      <c r="D101" s="92">
        <v>0.097</v>
      </c>
      <c r="E101" s="101"/>
      <c r="F101" s="100"/>
    </row>
    <row r="102" ht="14.25" spans="1:6">
      <c r="A102" s="87" t="s">
        <v>269</v>
      </c>
      <c r="B102" s="91" t="s">
        <v>3083</v>
      </c>
      <c r="C102" s="101"/>
      <c r="D102" s="101"/>
      <c r="E102" s="101"/>
      <c r="F102" s="93">
        <v>0.05</v>
      </c>
    </row>
    <row r="103" ht="24.75" spans="1:6">
      <c r="A103" s="87" t="s">
        <v>269</v>
      </c>
      <c r="B103" s="91" t="s">
        <v>3088</v>
      </c>
      <c r="C103" s="101"/>
      <c r="D103" s="101"/>
      <c r="E103" s="101"/>
      <c r="F103" s="93">
        <v>0.05</v>
      </c>
    </row>
    <row r="104" ht="14.25" spans="1:6">
      <c r="A104" s="87" t="s">
        <v>269</v>
      </c>
      <c r="B104" s="91" t="s">
        <v>3093</v>
      </c>
      <c r="C104" s="101"/>
      <c r="D104" s="101"/>
      <c r="E104" s="101"/>
      <c r="F104" s="93">
        <v>0.05</v>
      </c>
    </row>
    <row r="105" ht="14.25" spans="1:6">
      <c r="A105" s="87" t="s">
        <v>269</v>
      </c>
      <c r="B105" s="91" t="s">
        <v>3098</v>
      </c>
      <c r="C105" s="101"/>
      <c r="D105" s="101"/>
      <c r="E105" s="101"/>
      <c r="F105" s="93">
        <v>0.05</v>
      </c>
    </row>
    <row r="106" ht="14.25" spans="1:6">
      <c r="A106" s="87" t="s">
        <v>269</v>
      </c>
      <c r="B106" s="91" t="s">
        <v>3103</v>
      </c>
      <c r="C106" s="101"/>
      <c r="D106" s="101"/>
      <c r="E106" s="101"/>
      <c r="F106" s="93">
        <v>0.05</v>
      </c>
    </row>
    <row r="107" ht="24.75" spans="1:6">
      <c r="A107" s="87" t="s">
        <v>269</v>
      </c>
      <c r="B107" s="91" t="s">
        <v>3108</v>
      </c>
      <c r="C107" s="101"/>
      <c r="D107" s="101"/>
      <c r="E107" s="101"/>
      <c r="F107" s="93">
        <v>0.05</v>
      </c>
    </row>
    <row r="108" ht="24.75" spans="1:6">
      <c r="A108" s="87" t="s">
        <v>269</v>
      </c>
      <c r="B108" s="91" t="s">
        <v>3113</v>
      </c>
      <c r="C108" s="101"/>
      <c r="D108" s="101"/>
      <c r="E108" s="101"/>
      <c r="F108" s="93">
        <v>0.05</v>
      </c>
    </row>
    <row r="109" ht="24.75" spans="1:6">
      <c r="A109" s="95" t="s">
        <v>269</v>
      </c>
      <c r="B109" s="102" t="s">
        <v>3118</v>
      </c>
      <c r="C109" s="98"/>
      <c r="D109" s="98"/>
      <c r="E109" s="98"/>
      <c r="F109" s="103">
        <v>0.05</v>
      </c>
    </row>
    <row r="110" ht="14.25" spans="1:6">
      <c r="A110" s="87" t="s">
        <v>275</v>
      </c>
      <c r="B110" s="88" t="s">
        <v>2832</v>
      </c>
      <c r="C110" s="89">
        <v>0.129</v>
      </c>
      <c r="D110" s="89">
        <v>0.129</v>
      </c>
      <c r="E110" s="89">
        <v>0.126</v>
      </c>
      <c r="F110" s="90">
        <v>0.13</v>
      </c>
    </row>
    <row r="111" ht="14.25" spans="1:6">
      <c r="A111" s="87" t="s">
        <v>275</v>
      </c>
      <c r="B111" s="91" t="s">
        <v>2845</v>
      </c>
      <c r="C111" s="92">
        <v>0.11</v>
      </c>
      <c r="D111" s="92">
        <v>0.11</v>
      </c>
      <c r="E111" s="92">
        <v>0.099</v>
      </c>
      <c r="F111" s="93">
        <v>0.128</v>
      </c>
    </row>
    <row r="112" ht="14.25" spans="1:6">
      <c r="A112" s="87" t="s">
        <v>275</v>
      </c>
      <c r="B112" s="91" t="s">
        <v>2859</v>
      </c>
      <c r="C112" s="92">
        <v>0.125</v>
      </c>
      <c r="D112" s="92">
        <v>0.125</v>
      </c>
      <c r="E112" s="92">
        <v>0.12</v>
      </c>
      <c r="F112" s="93">
        <v>0.125</v>
      </c>
    </row>
    <row r="113" ht="14.25" spans="1:6">
      <c r="A113" s="87" t="s">
        <v>275</v>
      </c>
      <c r="B113" s="91" t="s">
        <v>2871</v>
      </c>
      <c r="C113" s="92">
        <v>0.13</v>
      </c>
      <c r="D113" s="92">
        <v>0.13</v>
      </c>
      <c r="E113" s="92">
        <v>0.13</v>
      </c>
      <c r="F113" s="93">
        <v>0.13</v>
      </c>
    </row>
    <row r="114" ht="14.25" spans="1:6">
      <c r="A114" s="87" t="s">
        <v>275</v>
      </c>
      <c r="B114" s="91" t="s">
        <v>2883</v>
      </c>
      <c r="C114" s="92">
        <v>0.123</v>
      </c>
      <c r="D114" s="92">
        <v>0.123</v>
      </c>
      <c r="E114" s="92">
        <v>0.12</v>
      </c>
      <c r="F114" s="93">
        <v>0.13</v>
      </c>
    </row>
    <row r="115" ht="14.25" spans="1:6">
      <c r="A115" s="87" t="s">
        <v>275</v>
      </c>
      <c r="B115" s="91" t="s">
        <v>2894</v>
      </c>
      <c r="C115" s="92">
        <v>0.125</v>
      </c>
      <c r="D115" s="92">
        <v>0.125</v>
      </c>
      <c r="E115" s="92">
        <v>0.117</v>
      </c>
      <c r="F115" s="93">
        <v>0.13</v>
      </c>
    </row>
    <row r="116" ht="14.25" spans="1:6">
      <c r="A116" s="87" t="s">
        <v>275</v>
      </c>
      <c r="B116" s="91" t="s">
        <v>2905</v>
      </c>
      <c r="C116" s="92">
        <v>0.117</v>
      </c>
      <c r="D116" s="92">
        <v>0.117</v>
      </c>
      <c r="E116" s="92">
        <v>0.088</v>
      </c>
      <c r="F116" s="93">
        <v>0.13</v>
      </c>
    </row>
    <row r="117" ht="14.25" spans="1:6">
      <c r="A117" s="87" t="s">
        <v>275</v>
      </c>
      <c r="B117" s="91" t="s">
        <v>2916</v>
      </c>
      <c r="C117" s="92">
        <v>0.13</v>
      </c>
      <c r="D117" s="92">
        <v>0.13</v>
      </c>
      <c r="E117" s="92">
        <v>0.129</v>
      </c>
      <c r="F117" s="93">
        <v>0.13</v>
      </c>
    </row>
    <row r="118" ht="14.25" spans="1:6">
      <c r="A118" s="87" t="s">
        <v>275</v>
      </c>
      <c r="B118" s="91" t="s">
        <v>2926</v>
      </c>
      <c r="C118" s="92">
        <v>0.123</v>
      </c>
      <c r="D118" s="92">
        <v>0.123</v>
      </c>
      <c r="E118" s="92">
        <v>0.116</v>
      </c>
      <c r="F118" s="93">
        <v>0.13</v>
      </c>
    </row>
    <row r="119" ht="14.25" spans="1:6">
      <c r="A119" s="87" t="s">
        <v>275</v>
      </c>
      <c r="B119" s="91" t="s">
        <v>2936</v>
      </c>
      <c r="C119" s="92">
        <v>0.127</v>
      </c>
      <c r="D119" s="92">
        <v>0.127</v>
      </c>
      <c r="E119" s="92">
        <v>0.124</v>
      </c>
      <c r="F119" s="93">
        <v>0.13</v>
      </c>
    </row>
    <row r="120" ht="14.25" spans="1:6">
      <c r="A120" s="87" t="s">
        <v>275</v>
      </c>
      <c r="B120" s="91" t="s">
        <v>2946</v>
      </c>
      <c r="C120" s="92">
        <v>0.125</v>
      </c>
      <c r="D120" s="92">
        <v>0.125</v>
      </c>
      <c r="E120" s="92">
        <v>0.122</v>
      </c>
      <c r="F120" s="93">
        <v>0.13</v>
      </c>
    </row>
    <row r="121" ht="14.25" spans="1:6">
      <c r="A121" s="87" t="s">
        <v>275</v>
      </c>
      <c r="B121" s="91" t="s">
        <v>2956</v>
      </c>
      <c r="C121" s="92">
        <v>0.13</v>
      </c>
      <c r="D121" s="92">
        <v>0.13</v>
      </c>
      <c r="E121" s="92">
        <v>0.13</v>
      </c>
      <c r="F121" s="93">
        <v>0.13</v>
      </c>
    </row>
    <row r="122" ht="14.25" spans="1:6">
      <c r="A122" s="87" t="s">
        <v>275</v>
      </c>
      <c r="B122" s="91" t="s">
        <v>2965</v>
      </c>
      <c r="C122" s="92">
        <v>0.13</v>
      </c>
      <c r="D122" s="92">
        <v>0.13</v>
      </c>
      <c r="E122" s="92">
        <v>0.125</v>
      </c>
      <c r="F122" s="93">
        <v>0.13</v>
      </c>
    </row>
    <row r="123" ht="14.25" spans="1:6">
      <c r="A123" s="87" t="s">
        <v>275</v>
      </c>
      <c r="B123" s="91" t="s">
        <v>2975</v>
      </c>
      <c r="C123" s="92">
        <v>0.129</v>
      </c>
      <c r="D123" s="92">
        <v>0.129</v>
      </c>
      <c r="E123" s="92">
        <v>0.123</v>
      </c>
      <c r="F123" s="93">
        <v>0.13</v>
      </c>
    </row>
    <row r="124" ht="14.25" spans="1:6">
      <c r="A124" s="87" t="s">
        <v>275</v>
      </c>
      <c r="B124" s="91" t="s">
        <v>2984</v>
      </c>
      <c r="C124" s="92">
        <v>0.102</v>
      </c>
      <c r="D124" s="92">
        <v>0.101</v>
      </c>
      <c r="E124" s="92">
        <v>0.08</v>
      </c>
      <c r="F124" s="100"/>
    </row>
    <row r="125" ht="14.25" spans="1:6">
      <c r="A125" s="87" t="s">
        <v>275</v>
      </c>
      <c r="B125" s="91" t="s">
        <v>2994</v>
      </c>
      <c r="C125" s="92">
        <v>0.13</v>
      </c>
      <c r="D125" s="92">
        <v>0.13</v>
      </c>
      <c r="E125" s="92">
        <v>0.129</v>
      </c>
      <c r="F125" s="100"/>
    </row>
    <row r="126" ht="14.25" spans="1:6">
      <c r="A126" s="87" t="s">
        <v>275</v>
      </c>
      <c r="B126" s="91" t="s">
        <v>3004</v>
      </c>
      <c r="C126" s="92">
        <v>0.13</v>
      </c>
      <c r="D126" s="92">
        <v>0.13</v>
      </c>
      <c r="E126" s="92">
        <v>0.126</v>
      </c>
      <c r="F126" s="100"/>
    </row>
    <row r="127" ht="14.25" spans="1:6">
      <c r="A127" s="87" t="s">
        <v>275</v>
      </c>
      <c r="B127" s="91" t="s">
        <v>3014</v>
      </c>
      <c r="C127" s="92">
        <v>0.125</v>
      </c>
      <c r="D127" s="92">
        <v>0.125</v>
      </c>
      <c r="E127" s="92">
        <v>0.121</v>
      </c>
      <c r="F127" s="100"/>
    </row>
    <row r="128" ht="14.25" spans="1:6">
      <c r="A128" s="87" t="s">
        <v>275</v>
      </c>
      <c r="B128" s="91" t="s">
        <v>3024</v>
      </c>
      <c r="C128" s="92">
        <v>0.12</v>
      </c>
      <c r="D128" s="92">
        <v>0.12</v>
      </c>
      <c r="E128" s="92">
        <v>0.105</v>
      </c>
      <c r="F128" s="100"/>
    </row>
    <row r="129" ht="14.25" spans="1:6">
      <c r="A129" s="87" t="s">
        <v>275</v>
      </c>
      <c r="B129" s="91" t="s">
        <v>3033</v>
      </c>
      <c r="C129" s="92">
        <v>0.13</v>
      </c>
      <c r="D129" s="92">
        <v>0.13</v>
      </c>
      <c r="E129" s="92">
        <v>0.126</v>
      </c>
      <c r="F129" s="100"/>
    </row>
    <row r="130" ht="14.25" spans="1:6">
      <c r="A130" s="87" t="s">
        <v>275</v>
      </c>
      <c r="B130" s="91" t="s">
        <v>3041</v>
      </c>
      <c r="C130" s="92">
        <v>0.125</v>
      </c>
      <c r="D130" s="92">
        <v>0.125</v>
      </c>
      <c r="E130" s="92">
        <v>0.122</v>
      </c>
      <c r="F130" s="100"/>
    </row>
    <row r="131" ht="14.25" spans="1:6">
      <c r="A131" s="87" t="s">
        <v>275</v>
      </c>
      <c r="B131" s="91" t="s">
        <v>3049</v>
      </c>
      <c r="C131" s="92">
        <v>0.127</v>
      </c>
      <c r="D131" s="92">
        <v>0.126</v>
      </c>
      <c r="E131" s="92">
        <v>0.123</v>
      </c>
      <c r="F131" s="100"/>
    </row>
    <row r="132" ht="14.25" spans="1:6">
      <c r="A132" s="87" t="s">
        <v>275</v>
      </c>
      <c r="B132" s="91" t="s">
        <v>3056</v>
      </c>
      <c r="C132" s="92">
        <v>0.091</v>
      </c>
      <c r="D132" s="92">
        <v>0.121</v>
      </c>
      <c r="E132" s="92">
        <v>0.099</v>
      </c>
      <c r="F132" s="100"/>
    </row>
    <row r="133" ht="14.25" spans="1:6">
      <c r="A133" s="87" t="s">
        <v>275</v>
      </c>
      <c r="B133" s="91" t="s">
        <v>3063</v>
      </c>
      <c r="C133" s="92">
        <v>0.13</v>
      </c>
      <c r="D133" s="92">
        <v>0.13</v>
      </c>
      <c r="E133" s="92">
        <v>0.129</v>
      </c>
      <c r="F133" s="100"/>
    </row>
    <row r="134" ht="14.25" spans="1:6">
      <c r="A134" s="87" t="s">
        <v>275</v>
      </c>
      <c r="B134" s="91" t="s">
        <v>3070</v>
      </c>
      <c r="C134" s="92">
        <v>0.068</v>
      </c>
      <c r="D134" s="92">
        <v>0.065</v>
      </c>
      <c r="E134" s="92">
        <v>0.065</v>
      </c>
      <c r="F134" s="93">
        <v>0.13</v>
      </c>
    </row>
    <row r="135" ht="14.25" spans="1:6">
      <c r="A135" s="87" t="s">
        <v>275</v>
      </c>
      <c r="B135" s="91" t="s">
        <v>3077</v>
      </c>
      <c r="C135" s="92">
        <v>0.123</v>
      </c>
      <c r="D135" s="92">
        <v>0.123</v>
      </c>
      <c r="E135" s="92">
        <v>0.11</v>
      </c>
      <c r="F135" s="100"/>
    </row>
    <row r="136" ht="14.25" spans="1:6">
      <c r="A136" s="87" t="s">
        <v>275</v>
      </c>
      <c r="B136" s="91" t="s">
        <v>3084</v>
      </c>
      <c r="C136" s="92">
        <v>0.13</v>
      </c>
      <c r="D136" s="92">
        <v>0.13</v>
      </c>
      <c r="E136" s="92">
        <v>0.125</v>
      </c>
      <c r="F136" s="100"/>
    </row>
    <row r="137" ht="14.25" spans="1:6">
      <c r="A137" s="87" t="s">
        <v>275</v>
      </c>
      <c r="B137" s="91" t="s">
        <v>3089</v>
      </c>
      <c r="C137" s="92">
        <v>0.121</v>
      </c>
      <c r="D137" s="92">
        <v>0.122</v>
      </c>
      <c r="E137" s="92">
        <v>0.115</v>
      </c>
      <c r="F137" s="100"/>
    </row>
    <row r="138" ht="14.25" spans="1:6">
      <c r="A138" s="87" t="s">
        <v>275</v>
      </c>
      <c r="B138" s="91" t="s">
        <v>3094</v>
      </c>
      <c r="C138" s="92">
        <v>0.105</v>
      </c>
      <c r="D138" s="92">
        <v>0.125</v>
      </c>
      <c r="E138" s="92">
        <v>0.112</v>
      </c>
      <c r="F138" s="100"/>
    </row>
    <row r="139" ht="14.25" spans="1:6">
      <c r="A139" s="87" t="s">
        <v>275</v>
      </c>
      <c r="B139" s="91" t="s">
        <v>3099</v>
      </c>
      <c r="C139" s="92">
        <v>0.127</v>
      </c>
      <c r="D139" s="92">
        <v>0.127</v>
      </c>
      <c r="E139" s="92">
        <v>0.122</v>
      </c>
      <c r="F139" s="93">
        <v>0.13</v>
      </c>
    </row>
    <row r="140" ht="14.25" spans="1:6">
      <c r="A140" s="87" t="s">
        <v>275</v>
      </c>
      <c r="B140" s="91" t="s">
        <v>3104</v>
      </c>
      <c r="C140" s="92">
        <v>0.125</v>
      </c>
      <c r="D140" s="92">
        <v>0.125</v>
      </c>
      <c r="E140" s="92">
        <v>0.119</v>
      </c>
      <c r="F140" s="93">
        <v>0.13</v>
      </c>
    </row>
    <row r="141" ht="14.25" spans="1:6">
      <c r="A141" s="87" t="s">
        <v>275</v>
      </c>
      <c r="B141" s="91" t="s">
        <v>3109</v>
      </c>
      <c r="C141" s="92">
        <v>0.125</v>
      </c>
      <c r="D141" s="92">
        <v>0.125</v>
      </c>
      <c r="E141" s="92">
        <v>0.117</v>
      </c>
      <c r="F141" s="100"/>
    </row>
    <row r="142" ht="14.25" spans="1:6">
      <c r="A142" s="87" t="s">
        <v>275</v>
      </c>
      <c r="B142" s="91" t="s">
        <v>3114</v>
      </c>
      <c r="C142" s="92">
        <v>0.125</v>
      </c>
      <c r="D142" s="92">
        <v>0.125</v>
      </c>
      <c r="E142" s="92">
        <v>0.115</v>
      </c>
      <c r="F142" s="100"/>
    </row>
    <row r="143" ht="14.25" spans="1:6">
      <c r="A143" s="87" t="s">
        <v>275</v>
      </c>
      <c r="B143" s="91" t="s">
        <v>3119</v>
      </c>
      <c r="C143" s="92">
        <v>0.121</v>
      </c>
      <c r="D143" s="92">
        <v>0.121</v>
      </c>
      <c r="E143" s="92">
        <v>0.108</v>
      </c>
      <c r="F143" s="100"/>
    </row>
    <row r="144" ht="14.25" spans="1:6">
      <c r="A144" s="87" t="s">
        <v>275</v>
      </c>
      <c r="B144" s="104" t="s">
        <v>3123</v>
      </c>
      <c r="C144" s="105">
        <v>0.126</v>
      </c>
      <c r="D144" s="105">
        <v>0.126</v>
      </c>
      <c r="E144" s="105">
        <v>0.121</v>
      </c>
      <c r="F144" s="100"/>
    </row>
    <row r="145" ht="14.25" spans="1:6">
      <c r="A145" s="95" t="s">
        <v>275</v>
      </c>
      <c r="B145" s="106" t="s">
        <v>3127</v>
      </c>
      <c r="C145" s="107"/>
      <c r="D145" s="107"/>
      <c r="E145" s="107"/>
      <c r="F145" s="108">
        <v>0.05</v>
      </c>
    </row>
    <row r="146" ht="24.75" spans="1:6">
      <c r="A146" s="109" t="s">
        <v>275</v>
      </c>
      <c r="B146" s="94" t="s">
        <v>3131</v>
      </c>
      <c r="C146" s="101"/>
      <c r="D146" s="101"/>
      <c r="E146" s="101"/>
      <c r="F146" s="110">
        <v>0.05</v>
      </c>
    </row>
    <row r="147" ht="24.75" spans="1:6">
      <c r="A147" s="87" t="s">
        <v>275</v>
      </c>
      <c r="B147" s="91" t="s">
        <v>3135</v>
      </c>
      <c r="C147" s="101"/>
      <c r="D147" s="101"/>
      <c r="E147" s="101"/>
      <c r="F147" s="93">
        <v>0.05</v>
      </c>
    </row>
    <row r="148" ht="24.75" spans="1:6">
      <c r="A148" s="87" t="s">
        <v>275</v>
      </c>
      <c r="B148" s="91" t="s">
        <v>3139</v>
      </c>
      <c r="C148" s="101"/>
      <c r="D148" s="101"/>
      <c r="E148" s="101"/>
      <c r="F148" s="93">
        <v>0.05</v>
      </c>
    </row>
    <row r="149" ht="24.75" spans="1:6">
      <c r="A149" s="87" t="s">
        <v>275</v>
      </c>
      <c r="B149" s="91" t="s">
        <v>3143</v>
      </c>
      <c r="C149" s="101"/>
      <c r="D149" s="101"/>
      <c r="E149" s="101"/>
      <c r="F149" s="93">
        <v>0.05</v>
      </c>
    </row>
    <row r="150" ht="24.75" spans="1:6">
      <c r="A150" s="87" t="s">
        <v>275</v>
      </c>
      <c r="B150" s="91" t="s">
        <v>3146</v>
      </c>
      <c r="C150" s="101"/>
      <c r="D150" s="101"/>
      <c r="E150" s="101"/>
      <c r="F150" s="93">
        <v>0.05</v>
      </c>
    </row>
    <row r="151" ht="24.75" spans="1:6">
      <c r="A151" s="87" t="s">
        <v>275</v>
      </c>
      <c r="B151" s="91" t="s">
        <v>3149</v>
      </c>
      <c r="C151" s="101"/>
      <c r="D151" s="101"/>
      <c r="E151" s="101"/>
      <c r="F151" s="93">
        <v>0.05</v>
      </c>
    </row>
    <row r="152" ht="24.75" spans="1:6">
      <c r="A152" s="87" t="s">
        <v>275</v>
      </c>
      <c r="B152" s="91" t="s">
        <v>3152</v>
      </c>
      <c r="C152" s="101"/>
      <c r="D152" s="101"/>
      <c r="E152" s="101"/>
      <c r="F152" s="93">
        <v>0.05</v>
      </c>
    </row>
    <row r="153" ht="14.25" spans="1:6">
      <c r="A153" s="87" t="s">
        <v>275</v>
      </c>
      <c r="B153" s="91" t="s">
        <v>3155</v>
      </c>
      <c r="C153" s="101"/>
      <c r="D153" s="101"/>
      <c r="E153" s="101"/>
      <c r="F153" s="93">
        <v>0.05</v>
      </c>
    </row>
    <row r="154" ht="14.25" spans="1:6">
      <c r="A154" s="87" t="s">
        <v>275</v>
      </c>
      <c r="B154" s="91" t="s">
        <v>3158</v>
      </c>
      <c r="C154" s="101"/>
      <c r="D154" s="101"/>
      <c r="E154" s="101"/>
      <c r="F154" s="93">
        <v>0.05</v>
      </c>
    </row>
    <row r="155" ht="24.75" spans="1:6">
      <c r="A155" s="87" t="s">
        <v>275</v>
      </c>
      <c r="B155" s="91" t="s">
        <v>3161</v>
      </c>
      <c r="C155" s="101"/>
      <c r="D155" s="101"/>
      <c r="E155" s="101"/>
      <c r="F155" s="93">
        <v>0.05</v>
      </c>
    </row>
    <row r="156" ht="24.75" spans="1:6">
      <c r="A156" s="87" t="s">
        <v>275</v>
      </c>
      <c r="B156" s="91" t="s">
        <v>3163</v>
      </c>
      <c r="C156" s="101"/>
      <c r="D156" s="101"/>
      <c r="E156" s="101"/>
      <c r="F156" s="93">
        <v>0.05</v>
      </c>
    </row>
    <row r="157" ht="14.25" spans="1:6">
      <c r="A157" s="95" t="s">
        <v>275</v>
      </c>
      <c r="B157" s="102" t="s">
        <v>3165</v>
      </c>
      <c r="C157" s="98"/>
      <c r="D157" s="98"/>
      <c r="E157" s="98"/>
      <c r="F157" s="103">
        <v>0.05</v>
      </c>
    </row>
    <row r="158" ht="14.25" spans="1:6">
      <c r="A158" s="87" t="s">
        <v>280</v>
      </c>
      <c r="B158" s="88" t="s">
        <v>2833</v>
      </c>
      <c r="C158" s="89">
        <v>0.13</v>
      </c>
      <c r="D158" s="89">
        <v>0.13</v>
      </c>
      <c r="E158" s="89">
        <v>0.13</v>
      </c>
      <c r="F158" s="90">
        <v>0.13</v>
      </c>
    </row>
    <row r="159" ht="14.25" spans="1:6">
      <c r="A159" s="87" t="s">
        <v>280</v>
      </c>
      <c r="B159" s="91" t="s">
        <v>2846</v>
      </c>
      <c r="C159" s="92">
        <v>0.13</v>
      </c>
      <c r="D159" s="92">
        <v>0.13</v>
      </c>
      <c r="E159" s="92">
        <v>0.13</v>
      </c>
      <c r="F159" s="93">
        <v>0.13</v>
      </c>
    </row>
    <row r="160" ht="14.25" spans="1:6">
      <c r="A160" s="87" t="s">
        <v>280</v>
      </c>
      <c r="B160" s="91" t="s">
        <v>2860</v>
      </c>
      <c r="C160" s="92">
        <v>0.13</v>
      </c>
      <c r="D160" s="92">
        <v>0.13</v>
      </c>
      <c r="E160" s="92">
        <v>0.129</v>
      </c>
      <c r="F160" s="93">
        <v>0.13</v>
      </c>
    </row>
    <row r="161" ht="14.25" spans="1:6">
      <c r="A161" s="87" t="s">
        <v>280</v>
      </c>
      <c r="B161" s="91" t="s">
        <v>2872</v>
      </c>
      <c r="C161" s="92">
        <v>0.128</v>
      </c>
      <c r="D161" s="92">
        <v>0.128</v>
      </c>
      <c r="E161" s="92">
        <v>0.125</v>
      </c>
      <c r="F161" s="93">
        <v>0.13</v>
      </c>
    </row>
    <row r="162" ht="14.25" spans="1:6">
      <c r="A162" s="87" t="s">
        <v>280</v>
      </c>
      <c r="B162" s="91" t="s">
        <v>2884</v>
      </c>
      <c r="C162" s="92">
        <v>0.122</v>
      </c>
      <c r="D162" s="92">
        <v>0.122</v>
      </c>
      <c r="E162" s="92">
        <v>0.126</v>
      </c>
      <c r="F162" s="93">
        <v>0.122</v>
      </c>
    </row>
    <row r="163" ht="14.25" spans="1:6">
      <c r="A163" s="87" t="s">
        <v>280</v>
      </c>
      <c r="B163" s="91" t="s">
        <v>2895</v>
      </c>
      <c r="C163" s="92">
        <v>0.13</v>
      </c>
      <c r="D163" s="92">
        <v>0.13</v>
      </c>
      <c r="E163" s="92">
        <v>0.125</v>
      </c>
      <c r="F163" s="93">
        <v>0.13</v>
      </c>
    </row>
    <row r="164" ht="14.25" spans="1:6">
      <c r="A164" s="87" t="s">
        <v>280</v>
      </c>
      <c r="B164" s="91" t="s">
        <v>2906</v>
      </c>
      <c r="C164" s="92">
        <v>0.13</v>
      </c>
      <c r="D164" s="92">
        <v>0.13</v>
      </c>
      <c r="E164" s="92">
        <v>0.13</v>
      </c>
      <c r="F164" s="93">
        <v>0.13</v>
      </c>
    </row>
    <row r="165" ht="14.25" spans="1:6">
      <c r="A165" s="87" t="s">
        <v>280</v>
      </c>
      <c r="B165" s="91" t="s">
        <v>2917</v>
      </c>
      <c r="C165" s="92">
        <v>0.13</v>
      </c>
      <c r="D165" s="92">
        <v>0.13</v>
      </c>
      <c r="E165" s="92">
        <v>0.124</v>
      </c>
      <c r="F165" s="93">
        <v>0.13</v>
      </c>
    </row>
    <row r="166" ht="14.25" spans="1:6">
      <c r="A166" s="87" t="s">
        <v>280</v>
      </c>
      <c r="B166" s="91" t="s">
        <v>2927</v>
      </c>
      <c r="C166" s="92">
        <v>0.13</v>
      </c>
      <c r="D166" s="92">
        <v>0.13</v>
      </c>
      <c r="E166" s="92">
        <v>0.13</v>
      </c>
      <c r="F166" s="93">
        <v>0.13</v>
      </c>
    </row>
    <row r="167" ht="14.25" spans="1:6">
      <c r="A167" s="87" t="s">
        <v>280</v>
      </c>
      <c r="B167" s="91" t="s">
        <v>2937</v>
      </c>
      <c r="C167" s="92">
        <v>0.125</v>
      </c>
      <c r="D167" s="92">
        <v>0.125</v>
      </c>
      <c r="E167" s="92">
        <v>0.121</v>
      </c>
      <c r="F167" s="100"/>
    </row>
    <row r="168" ht="14.25" spans="1:6">
      <c r="A168" s="87" t="s">
        <v>280</v>
      </c>
      <c r="B168" s="91" t="s">
        <v>2947</v>
      </c>
      <c r="C168" s="92">
        <v>0.13</v>
      </c>
      <c r="D168" s="92">
        <v>0.13</v>
      </c>
      <c r="E168" s="92">
        <v>0.126</v>
      </c>
      <c r="F168" s="100"/>
    </row>
    <row r="169" ht="14.25" spans="1:6">
      <c r="A169" s="87" t="s">
        <v>280</v>
      </c>
      <c r="B169" s="91" t="s">
        <v>2957</v>
      </c>
      <c r="C169" s="92">
        <v>0.128</v>
      </c>
      <c r="D169" s="92">
        <v>0.129</v>
      </c>
      <c r="E169" s="92">
        <v>0.13</v>
      </c>
      <c r="F169" s="100"/>
    </row>
    <row r="170" ht="14.25" spans="1:6">
      <c r="A170" s="87" t="s">
        <v>280</v>
      </c>
      <c r="B170" s="91" t="s">
        <v>2966</v>
      </c>
      <c r="C170" s="92">
        <v>0.141</v>
      </c>
      <c r="D170" s="92">
        <v>0.13</v>
      </c>
      <c r="E170" s="92">
        <v>0.125</v>
      </c>
      <c r="F170" s="100"/>
    </row>
    <row r="171" ht="14.25" spans="1:6">
      <c r="A171" s="87" t="s">
        <v>280</v>
      </c>
      <c r="B171" s="91" t="s">
        <v>2976</v>
      </c>
      <c r="C171" s="92">
        <v>0.127</v>
      </c>
      <c r="D171" s="92">
        <v>0.126</v>
      </c>
      <c r="E171" s="92">
        <v>0.126</v>
      </c>
      <c r="F171" s="93">
        <v>0.118</v>
      </c>
    </row>
    <row r="172" ht="14.25" spans="1:6">
      <c r="A172" s="87" t="s">
        <v>280</v>
      </c>
      <c r="B172" s="91" t="s">
        <v>2985</v>
      </c>
      <c r="C172" s="92">
        <v>0.13</v>
      </c>
      <c r="D172" s="92">
        <v>0.13</v>
      </c>
      <c r="E172" s="92">
        <v>0.13</v>
      </c>
      <c r="F172" s="100"/>
    </row>
    <row r="173" ht="14.25" spans="1:6">
      <c r="A173" s="87" t="s">
        <v>280</v>
      </c>
      <c r="B173" s="91" t="s">
        <v>2995</v>
      </c>
      <c r="C173" s="92">
        <v>0.13</v>
      </c>
      <c r="D173" s="92">
        <v>0.13</v>
      </c>
      <c r="E173" s="92">
        <v>0.13</v>
      </c>
      <c r="F173" s="100"/>
    </row>
    <row r="174" ht="14.25" spans="1:6">
      <c r="A174" s="87" t="s">
        <v>280</v>
      </c>
      <c r="B174" s="91" t="s">
        <v>3005</v>
      </c>
      <c r="C174" s="92">
        <v>0.13</v>
      </c>
      <c r="D174" s="92">
        <v>0.13</v>
      </c>
      <c r="E174" s="92">
        <v>0.13</v>
      </c>
      <c r="F174" s="93">
        <v>0.13</v>
      </c>
    </row>
    <row r="175" ht="14.25" spans="1:6">
      <c r="A175" s="87" t="s">
        <v>280</v>
      </c>
      <c r="B175" s="91" t="s">
        <v>3015</v>
      </c>
      <c r="C175" s="92">
        <v>0.13</v>
      </c>
      <c r="D175" s="92">
        <v>0.13</v>
      </c>
      <c r="E175" s="92">
        <v>0.13</v>
      </c>
      <c r="F175" s="93">
        <v>0.13</v>
      </c>
    </row>
    <row r="176" ht="14.25" spans="1:6">
      <c r="A176" s="87" t="s">
        <v>280</v>
      </c>
      <c r="B176" s="91" t="s">
        <v>3025</v>
      </c>
      <c r="C176" s="92">
        <v>0.13</v>
      </c>
      <c r="D176" s="92">
        <v>0.13</v>
      </c>
      <c r="E176" s="92">
        <v>0.13</v>
      </c>
      <c r="F176" s="93">
        <v>0.13</v>
      </c>
    </row>
    <row r="177" ht="14.25" spans="1:6">
      <c r="A177" s="87" t="s">
        <v>280</v>
      </c>
      <c r="B177" s="91" t="s">
        <v>3034</v>
      </c>
      <c r="C177" s="92">
        <v>0.13</v>
      </c>
      <c r="D177" s="92">
        <v>0.13</v>
      </c>
      <c r="E177" s="92">
        <v>0.13</v>
      </c>
      <c r="F177" s="93">
        <v>0.13</v>
      </c>
    </row>
    <row r="178" ht="14.25" spans="1:6">
      <c r="A178" s="87" t="s">
        <v>280</v>
      </c>
      <c r="B178" s="91" t="s">
        <v>3042</v>
      </c>
      <c r="C178" s="92">
        <v>0.13</v>
      </c>
      <c r="D178" s="92">
        <v>0.13</v>
      </c>
      <c r="E178" s="92">
        <v>0.13</v>
      </c>
      <c r="F178" s="93">
        <v>0.127</v>
      </c>
    </row>
    <row r="179" ht="14.25" spans="1:6">
      <c r="A179" s="87" t="s">
        <v>280</v>
      </c>
      <c r="B179" s="91" t="s">
        <v>3050</v>
      </c>
      <c r="C179" s="92">
        <v>0.13</v>
      </c>
      <c r="D179" s="92">
        <v>0.13</v>
      </c>
      <c r="E179" s="92">
        <v>0.13</v>
      </c>
      <c r="F179" s="100"/>
    </row>
    <row r="180" ht="14.25" spans="1:6">
      <c r="A180" s="87" t="s">
        <v>280</v>
      </c>
      <c r="B180" s="91" t="s">
        <v>3057</v>
      </c>
      <c r="C180" s="92">
        <v>0.13</v>
      </c>
      <c r="D180" s="92">
        <v>0.13</v>
      </c>
      <c r="E180" s="92">
        <v>0.125</v>
      </c>
      <c r="F180" s="93">
        <v>0.13</v>
      </c>
    </row>
    <row r="181" ht="14.25" spans="1:6">
      <c r="A181" s="87" t="s">
        <v>280</v>
      </c>
      <c r="B181" s="91" t="s">
        <v>3064</v>
      </c>
      <c r="C181" s="92">
        <v>0.122</v>
      </c>
      <c r="D181" s="92">
        <v>0.123</v>
      </c>
      <c r="E181" s="92">
        <v>0.126</v>
      </c>
      <c r="F181" s="93">
        <v>0.121</v>
      </c>
    </row>
    <row r="182" ht="14.25" spans="1:6">
      <c r="A182" s="87" t="s">
        <v>280</v>
      </c>
      <c r="B182" s="91" t="s">
        <v>3071</v>
      </c>
      <c r="C182" s="92">
        <v>0.125</v>
      </c>
      <c r="D182" s="92">
        <v>0.125</v>
      </c>
      <c r="E182" s="92">
        <v>0.117</v>
      </c>
      <c r="F182" s="93">
        <v>0.13</v>
      </c>
    </row>
    <row r="183" ht="14.25" spans="1:6">
      <c r="A183" s="87" t="s">
        <v>280</v>
      </c>
      <c r="B183" s="91" t="s">
        <v>3078</v>
      </c>
      <c r="C183" s="92">
        <v>0.127</v>
      </c>
      <c r="D183" s="92">
        <v>0.127</v>
      </c>
      <c r="E183" s="92">
        <v>0.128</v>
      </c>
      <c r="F183" s="100"/>
    </row>
    <row r="184" ht="14.25" spans="1:6">
      <c r="A184" s="87" t="s">
        <v>280</v>
      </c>
      <c r="B184" s="91" t="s">
        <v>3085</v>
      </c>
      <c r="C184" s="92">
        <v>0.125</v>
      </c>
      <c r="D184" s="92">
        <v>0.125</v>
      </c>
      <c r="E184" s="92">
        <v>0.127</v>
      </c>
      <c r="F184" s="100"/>
    </row>
    <row r="185" ht="14.25" spans="1:6">
      <c r="A185" s="87" t="s">
        <v>280</v>
      </c>
      <c r="B185" s="91" t="s">
        <v>3090</v>
      </c>
      <c r="C185" s="92">
        <v>0.127</v>
      </c>
      <c r="D185" s="92">
        <v>0.127</v>
      </c>
      <c r="E185" s="92">
        <v>0.128</v>
      </c>
      <c r="F185" s="93">
        <v>0.13</v>
      </c>
    </row>
    <row r="186" ht="24.75" spans="1:6">
      <c r="A186" s="87" t="s">
        <v>280</v>
      </c>
      <c r="B186" s="91" t="s">
        <v>3095</v>
      </c>
      <c r="C186" s="101"/>
      <c r="D186" s="101"/>
      <c r="E186" s="101"/>
      <c r="F186" s="93">
        <v>0.05</v>
      </c>
    </row>
    <row r="187" ht="14.25" spans="1:6">
      <c r="A187" s="87" t="s">
        <v>280</v>
      </c>
      <c r="B187" s="91" t="s">
        <v>3100</v>
      </c>
      <c r="C187" s="101"/>
      <c r="D187" s="101"/>
      <c r="E187" s="101"/>
      <c r="F187" s="93">
        <v>0.05</v>
      </c>
    </row>
    <row r="188" ht="14.25" spans="1:6">
      <c r="A188" s="87" t="s">
        <v>280</v>
      </c>
      <c r="B188" s="91" t="s">
        <v>3105</v>
      </c>
      <c r="C188" s="101"/>
      <c r="D188" s="101"/>
      <c r="E188" s="101"/>
      <c r="F188" s="93">
        <v>0.05</v>
      </c>
    </row>
    <row r="189" ht="24.75" spans="1:6">
      <c r="A189" s="87" t="s">
        <v>280</v>
      </c>
      <c r="B189" s="91" t="s">
        <v>3110</v>
      </c>
      <c r="C189" s="101"/>
      <c r="D189" s="101"/>
      <c r="E189" s="101"/>
      <c r="F189" s="93">
        <v>0.05</v>
      </c>
    </row>
    <row r="190" ht="24.75" spans="1:6">
      <c r="A190" s="87" t="s">
        <v>280</v>
      </c>
      <c r="B190" s="91" t="s">
        <v>3115</v>
      </c>
      <c r="C190" s="101"/>
      <c r="D190" s="101"/>
      <c r="E190" s="101"/>
      <c r="F190" s="93">
        <v>0.05</v>
      </c>
    </row>
    <row r="191" ht="24.75" spans="1:6">
      <c r="A191" s="87" t="s">
        <v>280</v>
      </c>
      <c r="B191" s="91" t="s">
        <v>3120</v>
      </c>
      <c r="C191" s="101"/>
      <c r="D191" s="101"/>
      <c r="E191" s="101"/>
      <c r="F191" s="93">
        <v>0.05</v>
      </c>
    </row>
    <row r="192" ht="24.75" spans="1:6">
      <c r="A192" s="87" t="s">
        <v>280</v>
      </c>
      <c r="B192" s="91" t="s">
        <v>3124</v>
      </c>
      <c r="C192" s="101"/>
      <c r="D192" s="101"/>
      <c r="E192" s="101"/>
      <c r="F192" s="93">
        <v>0.05</v>
      </c>
    </row>
    <row r="193" ht="24.75" spans="1:6">
      <c r="A193" s="87" t="s">
        <v>280</v>
      </c>
      <c r="B193" s="91" t="s">
        <v>3128</v>
      </c>
      <c r="C193" s="101"/>
      <c r="D193" s="101"/>
      <c r="E193" s="101"/>
      <c r="F193" s="93">
        <v>0.05</v>
      </c>
    </row>
    <row r="194" ht="24.75" spans="1:6">
      <c r="A194" s="87" t="s">
        <v>280</v>
      </c>
      <c r="B194" s="91" t="s">
        <v>3132</v>
      </c>
      <c r="C194" s="101"/>
      <c r="D194" s="101"/>
      <c r="E194" s="101"/>
      <c r="F194" s="93">
        <v>0.05</v>
      </c>
    </row>
    <row r="195" ht="14.25" spans="1:6">
      <c r="A195" s="87" t="s">
        <v>280</v>
      </c>
      <c r="B195" s="91" t="s">
        <v>3136</v>
      </c>
      <c r="C195" s="101"/>
      <c r="D195" s="101"/>
      <c r="E195" s="101"/>
      <c r="F195" s="93">
        <v>0.05</v>
      </c>
    </row>
    <row r="196" ht="24.75" spans="1:6">
      <c r="A196" s="87" t="s">
        <v>280</v>
      </c>
      <c r="B196" s="91" t="s">
        <v>3140</v>
      </c>
      <c r="C196" s="101"/>
      <c r="D196" s="101"/>
      <c r="E196" s="101"/>
      <c r="F196" s="93">
        <v>0.05</v>
      </c>
    </row>
    <row r="197" ht="24.75" spans="1:6">
      <c r="A197" s="87" t="s">
        <v>280</v>
      </c>
      <c r="B197" s="91" t="s">
        <v>3144</v>
      </c>
      <c r="C197" s="101"/>
      <c r="D197" s="101"/>
      <c r="E197" s="101"/>
      <c r="F197" s="93">
        <v>0.05</v>
      </c>
    </row>
    <row r="198" ht="24.75" spans="1:6">
      <c r="A198" s="87" t="s">
        <v>280</v>
      </c>
      <c r="B198" s="91" t="s">
        <v>3147</v>
      </c>
      <c r="C198" s="101"/>
      <c r="D198" s="101"/>
      <c r="E198" s="101"/>
      <c r="F198" s="93">
        <v>0.05</v>
      </c>
    </row>
    <row r="199" ht="24.75" spans="1:6">
      <c r="A199" s="87" t="s">
        <v>280</v>
      </c>
      <c r="B199" s="91" t="s">
        <v>3150</v>
      </c>
      <c r="C199" s="101"/>
      <c r="D199" s="101"/>
      <c r="E199" s="101"/>
      <c r="F199" s="93">
        <v>0.05</v>
      </c>
    </row>
    <row r="200" ht="24.75" spans="1:6">
      <c r="A200" s="87" t="s">
        <v>280</v>
      </c>
      <c r="B200" s="91" t="s">
        <v>3153</v>
      </c>
      <c r="C200" s="101"/>
      <c r="D200" s="101"/>
      <c r="E200" s="101"/>
      <c r="F200" s="93">
        <v>0.05</v>
      </c>
    </row>
    <row r="201" ht="24.75" spans="1:6">
      <c r="A201" s="87" t="s">
        <v>280</v>
      </c>
      <c r="B201" s="91" t="s">
        <v>3156</v>
      </c>
      <c r="C201" s="101"/>
      <c r="D201" s="101"/>
      <c r="E201" s="101"/>
      <c r="F201" s="93">
        <v>0.05</v>
      </c>
    </row>
    <row r="202" ht="24.75" spans="1:6">
      <c r="A202" s="87" t="s">
        <v>280</v>
      </c>
      <c r="B202" s="91" t="s">
        <v>3159</v>
      </c>
      <c r="C202" s="101"/>
      <c r="D202" s="101"/>
      <c r="E202" s="101"/>
      <c r="F202" s="93">
        <v>0.05</v>
      </c>
    </row>
    <row r="203" ht="24.75" spans="1:6">
      <c r="A203" s="87" t="s">
        <v>280</v>
      </c>
      <c r="B203" s="91" t="s">
        <v>3162</v>
      </c>
      <c r="C203" s="101"/>
      <c r="D203" s="101"/>
      <c r="E203" s="101"/>
      <c r="F203" s="93">
        <v>0.05</v>
      </c>
    </row>
    <row r="204" ht="14.25" spans="1:6">
      <c r="A204" s="87" t="s">
        <v>280</v>
      </c>
      <c r="B204" s="91" t="s">
        <v>3164</v>
      </c>
      <c r="C204" s="101"/>
      <c r="D204" s="101"/>
      <c r="E204" s="101"/>
      <c r="F204" s="93">
        <v>0.05</v>
      </c>
    </row>
    <row r="205" ht="14.25" spans="1:6">
      <c r="A205" s="95" t="s">
        <v>280</v>
      </c>
      <c r="B205" s="102" t="s">
        <v>3166</v>
      </c>
      <c r="C205" s="98"/>
      <c r="D205" s="98"/>
      <c r="E205" s="98"/>
      <c r="F205" s="103">
        <v>0.05</v>
      </c>
    </row>
    <row r="206" ht="14.25" spans="1:6">
      <c r="A206" s="87" t="s">
        <v>285</v>
      </c>
      <c r="B206" s="88" t="s">
        <v>2834</v>
      </c>
      <c r="C206" s="89">
        <v>0.15</v>
      </c>
      <c r="D206" s="89">
        <v>0.15</v>
      </c>
      <c r="E206" s="89">
        <v>0.15</v>
      </c>
      <c r="F206" s="90">
        <v>0.15</v>
      </c>
    </row>
    <row r="207" ht="14.25" spans="1:6">
      <c r="A207" s="87" t="s">
        <v>285</v>
      </c>
      <c r="B207" s="91" t="s">
        <v>2847</v>
      </c>
      <c r="C207" s="92">
        <v>0.15</v>
      </c>
      <c r="D207" s="92">
        <v>0.15</v>
      </c>
      <c r="E207" s="92">
        <v>0.15</v>
      </c>
      <c r="F207" s="93">
        <v>0.144</v>
      </c>
    </row>
    <row r="208" ht="14.25" spans="1:6">
      <c r="A208" s="87" t="s">
        <v>285</v>
      </c>
      <c r="B208" s="91" t="s">
        <v>2861</v>
      </c>
      <c r="C208" s="92">
        <v>0.15</v>
      </c>
      <c r="D208" s="92">
        <v>0.15</v>
      </c>
      <c r="E208" s="92">
        <v>0.15</v>
      </c>
      <c r="F208" s="93">
        <v>0.15</v>
      </c>
    </row>
    <row r="209" ht="14.25" spans="1:6">
      <c r="A209" s="87" t="s">
        <v>285</v>
      </c>
      <c r="B209" s="91" t="s">
        <v>2873</v>
      </c>
      <c r="C209" s="92">
        <v>0.137</v>
      </c>
      <c r="D209" s="92">
        <v>0.137</v>
      </c>
      <c r="E209" s="92">
        <v>0.14</v>
      </c>
      <c r="F209" s="93">
        <v>0.117</v>
      </c>
    </row>
    <row r="210" ht="14.25" spans="1:6">
      <c r="A210" s="87" t="s">
        <v>285</v>
      </c>
      <c r="B210" s="91" t="s">
        <v>2885</v>
      </c>
      <c r="C210" s="92">
        <v>0.15</v>
      </c>
      <c r="D210" s="92">
        <v>0.15</v>
      </c>
      <c r="E210" s="92">
        <v>0.15</v>
      </c>
      <c r="F210" s="93">
        <v>0.138</v>
      </c>
    </row>
    <row r="211" ht="14.25" spans="1:6">
      <c r="A211" s="87" t="s">
        <v>285</v>
      </c>
      <c r="B211" s="91" t="s">
        <v>2896</v>
      </c>
      <c r="C211" s="92">
        <v>0.137</v>
      </c>
      <c r="D211" s="92">
        <v>0.135</v>
      </c>
      <c r="E211" s="92">
        <v>0.136</v>
      </c>
      <c r="F211" s="93">
        <v>0.1</v>
      </c>
    </row>
    <row r="212" ht="14.25" spans="1:6">
      <c r="A212" s="87" t="s">
        <v>285</v>
      </c>
      <c r="B212" s="91" t="s">
        <v>2907</v>
      </c>
      <c r="C212" s="92">
        <v>0.15</v>
      </c>
      <c r="D212" s="92">
        <v>0.15</v>
      </c>
      <c r="E212" s="92">
        <v>0.148</v>
      </c>
      <c r="F212" s="93">
        <v>0.136</v>
      </c>
    </row>
    <row r="213" ht="14.25" spans="1:6">
      <c r="A213" s="87" t="s">
        <v>285</v>
      </c>
      <c r="B213" s="91" t="s">
        <v>2918</v>
      </c>
      <c r="C213" s="92">
        <v>0.15</v>
      </c>
      <c r="D213" s="92">
        <v>0.15</v>
      </c>
      <c r="E213" s="92">
        <v>0.15</v>
      </c>
      <c r="F213" s="93">
        <v>0.138</v>
      </c>
    </row>
    <row r="214" ht="14.25" spans="1:6">
      <c r="A214" s="87" t="s">
        <v>285</v>
      </c>
      <c r="B214" s="91" t="s">
        <v>2928</v>
      </c>
      <c r="C214" s="92">
        <v>0.091</v>
      </c>
      <c r="D214" s="92">
        <v>0.09</v>
      </c>
      <c r="E214" s="92">
        <v>0.092</v>
      </c>
      <c r="F214" s="100"/>
    </row>
    <row r="215" ht="14.25" spans="1:6">
      <c r="A215" s="87" t="s">
        <v>285</v>
      </c>
      <c r="B215" s="91" t="s">
        <v>2938</v>
      </c>
      <c r="C215" s="92">
        <v>0.15</v>
      </c>
      <c r="D215" s="92">
        <v>0.15</v>
      </c>
      <c r="E215" s="92">
        <v>0.15</v>
      </c>
      <c r="F215" s="93">
        <v>0.15</v>
      </c>
    </row>
    <row r="216" ht="14.25" spans="1:6">
      <c r="A216" s="87" t="s">
        <v>285</v>
      </c>
      <c r="B216" s="91" t="s">
        <v>2948</v>
      </c>
      <c r="C216" s="92">
        <v>0.147</v>
      </c>
      <c r="D216" s="92">
        <v>0.147</v>
      </c>
      <c r="E216" s="92">
        <v>0.15</v>
      </c>
      <c r="F216" s="93">
        <v>0.14</v>
      </c>
    </row>
    <row r="217" ht="14.25" spans="1:6">
      <c r="A217" s="87" t="s">
        <v>285</v>
      </c>
      <c r="B217" s="91" t="s">
        <v>2958</v>
      </c>
      <c r="C217" s="92">
        <v>0.15</v>
      </c>
      <c r="D217" s="92">
        <v>0.15</v>
      </c>
      <c r="E217" s="92">
        <v>0.15</v>
      </c>
      <c r="F217" s="93">
        <v>0.15</v>
      </c>
    </row>
    <row r="218" ht="14.25" spans="1:6">
      <c r="A218" s="87" t="s">
        <v>285</v>
      </c>
      <c r="B218" s="91" t="s">
        <v>2967</v>
      </c>
      <c r="C218" s="92">
        <v>0.15</v>
      </c>
      <c r="D218" s="92">
        <v>0.15</v>
      </c>
      <c r="E218" s="92">
        <v>0.15</v>
      </c>
      <c r="F218" s="93">
        <v>0.15</v>
      </c>
    </row>
    <row r="219" ht="14.25" spans="1:6">
      <c r="A219" s="87" t="s">
        <v>285</v>
      </c>
      <c r="B219" s="91" t="s">
        <v>2977</v>
      </c>
      <c r="C219" s="92">
        <v>0.15</v>
      </c>
      <c r="D219" s="92">
        <v>0.15</v>
      </c>
      <c r="E219" s="92">
        <v>0.15</v>
      </c>
      <c r="F219" s="93">
        <v>0.148</v>
      </c>
    </row>
    <row r="220" ht="14.25" spans="1:6">
      <c r="A220" s="87" t="s">
        <v>285</v>
      </c>
      <c r="B220" s="91" t="s">
        <v>2986</v>
      </c>
      <c r="C220" s="92">
        <v>0.15</v>
      </c>
      <c r="D220" s="92">
        <v>0.15</v>
      </c>
      <c r="E220" s="92">
        <v>0.15</v>
      </c>
      <c r="F220" s="93">
        <v>0.15</v>
      </c>
    </row>
    <row r="221" ht="14.25" spans="1:6">
      <c r="A221" s="87" t="s">
        <v>285</v>
      </c>
      <c r="B221" s="91" t="s">
        <v>2996</v>
      </c>
      <c r="C221" s="92"/>
      <c r="D221" s="101"/>
      <c r="E221" s="101"/>
      <c r="F221" s="93">
        <v>0.148</v>
      </c>
    </row>
    <row r="222" ht="14.25" spans="1:6">
      <c r="A222" s="87" t="s">
        <v>285</v>
      </c>
      <c r="B222" s="91" t="s">
        <v>3006</v>
      </c>
      <c r="C222" s="92"/>
      <c r="D222" s="101"/>
      <c r="E222" s="101"/>
      <c r="F222" s="93">
        <v>0.1</v>
      </c>
    </row>
    <row r="223" ht="14.25" spans="1:6">
      <c r="A223" s="87" t="s">
        <v>285</v>
      </c>
      <c r="B223" s="91" t="s">
        <v>3016</v>
      </c>
      <c r="C223" s="92"/>
      <c r="D223" s="101"/>
      <c r="E223" s="101"/>
      <c r="F223" s="93">
        <v>0.15</v>
      </c>
    </row>
    <row r="224" ht="14.25" spans="1:6">
      <c r="A224" s="87" t="s">
        <v>285</v>
      </c>
      <c r="B224" s="91" t="s">
        <v>3026</v>
      </c>
      <c r="C224" s="92"/>
      <c r="D224" s="101"/>
      <c r="E224" s="101"/>
      <c r="F224" s="93">
        <v>0.15</v>
      </c>
    </row>
    <row r="225" ht="14.25" spans="1:6">
      <c r="A225" s="87" t="s">
        <v>285</v>
      </c>
      <c r="B225" s="91" t="s">
        <v>3035</v>
      </c>
      <c r="C225" s="92">
        <v>0.15</v>
      </c>
      <c r="D225" s="92">
        <v>0.15</v>
      </c>
      <c r="E225" s="92">
        <v>0.15</v>
      </c>
      <c r="F225" s="93">
        <v>0.15</v>
      </c>
    </row>
    <row r="226" ht="14.25" spans="1:6">
      <c r="A226" s="87" t="s">
        <v>285</v>
      </c>
      <c r="B226" s="91" t="s">
        <v>3043</v>
      </c>
      <c r="C226" s="92">
        <v>0.15</v>
      </c>
      <c r="D226" s="92">
        <v>0.15</v>
      </c>
      <c r="E226" s="92">
        <v>0.15</v>
      </c>
      <c r="F226" s="93">
        <v>0.148</v>
      </c>
    </row>
    <row r="227" ht="14.25" spans="1:6">
      <c r="A227" s="87" t="s">
        <v>285</v>
      </c>
      <c r="B227" s="91" t="s">
        <v>3051</v>
      </c>
      <c r="C227" s="92">
        <v>0.15</v>
      </c>
      <c r="D227" s="92">
        <v>0.15</v>
      </c>
      <c r="E227" s="92">
        <v>0.15</v>
      </c>
      <c r="F227" s="93">
        <v>0.15</v>
      </c>
    </row>
    <row r="228" ht="14.25" spans="1:6">
      <c r="A228" s="87" t="s">
        <v>285</v>
      </c>
      <c r="B228" s="91" t="s">
        <v>3058</v>
      </c>
      <c r="C228" s="92">
        <v>0.15</v>
      </c>
      <c r="D228" s="92">
        <v>0.15</v>
      </c>
      <c r="E228" s="92">
        <v>0.15</v>
      </c>
      <c r="F228" s="93">
        <v>0.15</v>
      </c>
    </row>
    <row r="229" ht="14.25" spans="1:6">
      <c r="A229" s="87" t="s">
        <v>285</v>
      </c>
      <c r="B229" s="91" t="s">
        <v>3065</v>
      </c>
      <c r="C229" s="92">
        <v>0.15</v>
      </c>
      <c r="D229" s="92">
        <v>0.15</v>
      </c>
      <c r="E229" s="92">
        <v>0.15</v>
      </c>
      <c r="F229" s="100"/>
    </row>
    <row r="230" ht="14.25" spans="1:6">
      <c r="A230" s="87" t="s">
        <v>285</v>
      </c>
      <c r="B230" s="91" t="s">
        <v>3072</v>
      </c>
      <c r="C230" s="92">
        <v>0.145</v>
      </c>
      <c r="D230" s="92">
        <v>0.145</v>
      </c>
      <c r="E230" s="92">
        <v>0.144</v>
      </c>
      <c r="F230" s="100"/>
    </row>
    <row r="231" ht="14.25" spans="1:6">
      <c r="A231" s="87" t="s">
        <v>285</v>
      </c>
      <c r="B231" s="91" t="s">
        <v>3079</v>
      </c>
      <c r="C231" s="92">
        <v>0.128</v>
      </c>
      <c r="D231" s="92">
        <v>0.125</v>
      </c>
      <c r="E231" s="92">
        <v>0.132</v>
      </c>
      <c r="F231" s="100"/>
    </row>
    <row r="232" ht="14.25" spans="1:6">
      <c r="A232" s="87" t="s">
        <v>285</v>
      </c>
      <c r="B232" s="91" t="s">
        <v>3086</v>
      </c>
      <c r="C232" s="92">
        <v>0.145</v>
      </c>
      <c r="D232" s="92">
        <v>0.144</v>
      </c>
      <c r="E232" s="92">
        <v>0.146</v>
      </c>
      <c r="F232" s="93">
        <v>0.138</v>
      </c>
    </row>
    <row r="233" ht="14.25" spans="1:6">
      <c r="A233" s="87" t="s">
        <v>285</v>
      </c>
      <c r="B233" s="91" t="s">
        <v>3091</v>
      </c>
      <c r="C233" s="92">
        <v>0.145</v>
      </c>
      <c r="D233" s="92">
        <v>0.143</v>
      </c>
      <c r="E233" s="92">
        <v>0.142</v>
      </c>
      <c r="F233" s="100"/>
    </row>
    <row r="234" ht="14.25" spans="1:6">
      <c r="A234" s="87" t="s">
        <v>285</v>
      </c>
      <c r="B234" s="91" t="s">
        <v>3169</v>
      </c>
      <c r="C234" s="92">
        <v>0.14</v>
      </c>
      <c r="D234" s="92">
        <v>0.14</v>
      </c>
      <c r="E234" s="92">
        <v>0.144</v>
      </c>
      <c r="F234" s="100"/>
    </row>
    <row r="235" ht="14.25" spans="1:6">
      <c r="A235" s="87" t="s">
        <v>285</v>
      </c>
      <c r="B235" s="91" t="s">
        <v>3101</v>
      </c>
      <c r="C235" s="92">
        <v>0.141</v>
      </c>
      <c r="D235" s="92">
        <v>0.142</v>
      </c>
      <c r="E235" s="92">
        <v>0.145</v>
      </c>
      <c r="F235" s="93">
        <v>0.15</v>
      </c>
    </row>
    <row r="236" ht="14.25" spans="1:6">
      <c r="A236" s="87" t="s">
        <v>285</v>
      </c>
      <c r="B236" s="91" t="s">
        <v>3106</v>
      </c>
      <c r="C236" s="101"/>
      <c r="D236" s="101"/>
      <c r="E236" s="101"/>
      <c r="F236" s="93">
        <v>0.143</v>
      </c>
    </row>
    <row r="237" ht="24.75" spans="1:6">
      <c r="A237" s="87" t="s">
        <v>285</v>
      </c>
      <c r="B237" s="91" t="s">
        <v>3111</v>
      </c>
      <c r="C237" s="101"/>
      <c r="D237" s="101"/>
      <c r="E237" s="101"/>
      <c r="F237" s="93">
        <v>0.05</v>
      </c>
    </row>
    <row r="238" ht="24.75" spans="1:6">
      <c r="A238" s="87" t="s">
        <v>285</v>
      </c>
      <c r="B238" s="91" t="s">
        <v>3116</v>
      </c>
      <c r="C238" s="101"/>
      <c r="D238" s="101"/>
      <c r="E238" s="101"/>
      <c r="F238" s="93">
        <v>0.05</v>
      </c>
    </row>
    <row r="239" ht="24.75" spans="1:6">
      <c r="A239" s="87" t="s">
        <v>285</v>
      </c>
      <c r="B239" s="91" t="s">
        <v>3121</v>
      </c>
      <c r="C239" s="101"/>
      <c r="D239" s="101"/>
      <c r="E239" s="101"/>
      <c r="F239" s="93">
        <v>0.05</v>
      </c>
    </row>
    <row r="240" ht="24.75" spans="1:6">
      <c r="A240" s="87" t="s">
        <v>285</v>
      </c>
      <c r="B240" s="91" t="s">
        <v>3125</v>
      </c>
      <c r="C240" s="101"/>
      <c r="D240" s="101"/>
      <c r="E240" s="101"/>
      <c r="F240" s="93">
        <v>0.05</v>
      </c>
    </row>
    <row r="241" ht="24.75" spans="1:6">
      <c r="A241" s="87" t="s">
        <v>285</v>
      </c>
      <c r="B241" s="91" t="s">
        <v>3129</v>
      </c>
      <c r="C241" s="101"/>
      <c r="D241" s="101"/>
      <c r="E241" s="101"/>
      <c r="F241" s="93">
        <v>0.05</v>
      </c>
    </row>
    <row r="242" ht="24.75" spans="1:6">
      <c r="A242" s="87" t="s">
        <v>285</v>
      </c>
      <c r="B242" s="91" t="s">
        <v>3133</v>
      </c>
      <c r="C242" s="101"/>
      <c r="D242" s="101"/>
      <c r="E242" s="101"/>
      <c r="F242" s="93">
        <v>0.05</v>
      </c>
    </row>
    <row r="243" ht="24.75" spans="1:6">
      <c r="A243" s="87" t="s">
        <v>285</v>
      </c>
      <c r="B243" s="91" t="s">
        <v>3137</v>
      </c>
      <c r="C243" s="101"/>
      <c r="D243" s="101"/>
      <c r="E243" s="101"/>
      <c r="F243" s="93">
        <v>0.05</v>
      </c>
    </row>
    <row r="244" ht="24.75" spans="1:6">
      <c r="A244" s="95" t="s">
        <v>285</v>
      </c>
      <c r="B244" s="102" t="s">
        <v>3141</v>
      </c>
      <c r="C244" s="98"/>
      <c r="D244" s="98"/>
      <c r="E244" s="98"/>
      <c r="F244" s="103">
        <v>0.05</v>
      </c>
    </row>
    <row r="245" ht="14.25" spans="1:6">
      <c r="A245" s="87" t="s">
        <v>288</v>
      </c>
      <c r="B245" s="88" t="s">
        <v>2835</v>
      </c>
      <c r="C245" s="89">
        <v>0.15</v>
      </c>
      <c r="D245" s="89">
        <v>0.15</v>
      </c>
      <c r="E245" s="89">
        <v>0.15</v>
      </c>
      <c r="F245" s="90">
        <v>0.143</v>
      </c>
    </row>
    <row r="246" ht="14.25" spans="1:6">
      <c r="A246" s="87" t="s">
        <v>288</v>
      </c>
      <c r="B246" s="91" t="s">
        <v>2848</v>
      </c>
      <c r="C246" s="92">
        <v>0.15</v>
      </c>
      <c r="D246" s="92">
        <v>0.15</v>
      </c>
      <c r="E246" s="92">
        <v>0.15</v>
      </c>
      <c r="F246" s="93">
        <v>0.114</v>
      </c>
    </row>
    <row r="247" ht="14.25" spans="1:6">
      <c r="A247" s="87" t="s">
        <v>288</v>
      </c>
      <c r="B247" s="91" t="s">
        <v>2862</v>
      </c>
      <c r="C247" s="92">
        <v>0.15</v>
      </c>
      <c r="D247" s="92">
        <v>0.15</v>
      </c>
      <c r="E247" s="92">
        <v>0.15</v>
      </c>
      <c r="F247" s="93">
        <v>0.15</v>
      </c>
    </row>
    <row r="248" ht="14.25" spans="1:6">
      <c r="A248" s="87" t="s">
        <v>288</v>
      </c>
      <c r="B248" s="91" t="s">
        <v>2874</v>
      </c>
      <c r="C248" s="92">
        <v>0.15</v>
      </c>
      <c r="D248" s="92">
        <v>0.15</v>
      </c>
      <c r="E248" s="92">
        <v>0.15</v>
      </c>
      <c r="F248" s="93">
        <v>0.14</v>
      </c>
    </row>
    <row r="249" ht="14.25" spans="1:6">
      <c r="A249" s="87" t="s">
        <v>288</v>
      </c>
      <c r="B249" s="91" t="s">
        <v>2886</v>
      </c>
      <c r="C249" s="92">
        <v>0.15</v>
      </c>
      <c r="D249" s="92">
        <v>0.149</v>
      </c>
      <c r="E249" s="92">
        <v>0.15</v>
      </c>
      <c r="F249" s="93">
        <v>0.1</v>
      </c>
    </row>
    <row r="250" ht="14.25" spans="1:6">
      <c r="A250" s="87" t="s">
        <v>288</v>
      </c>
      <c r="B250" s="91" t="s">
        <v>2897</v>
      </c>
      <c r="C250" s="92">
        <v>0.15</v>
      </c>
      <c r="D250" s="92">
        <v>0.15</v>
      </c>
      <c r="E250" s="92">
        <v>0.15</v>
      </c>
      <c r="F250" s="93">
        <v>0.144</v>
      </c>
    </row>
    <row r="251" ht="14.25" spans="1:6">
      <c r="A251" s="87" t="s">
        <v>288</v>
      </c>
      <c r="B251" s="91" t="s">
        <v>2908</v>
      </c>
      <c r="C251" s="92">
        <v>0.15</v>
      </c>
      <c r="D251" s="92">
        <v>0.15</v>
      </c>
      <c r="E251" s="92">
        <v>0.15</v>
      </c>
      <c r="F251" s="93">
        <v>0.143</v>
      </c>
    </row>
    <row r="252" ht="14.25" spans="1:6">
      <c r="A252" s="87" t="s">
        <v>288</v>
      </c>
      <c r="B252" s="91" t="s">
        <v>2919</v>
      </c>
      <c r="C252" s="92">
        <v>0.15</v>
      </c>
      <c r="D252" s="92">
        <v>0.15</v>
      </c>
      <c r="E252" s="92">
        <v>0.15</v>
      </c>
      <c r="F252" s="93">
        <v>0.1</v>
      </c>
    </row>
    <row r="253" ht="14.25" spans="1:6">
      <c r="A253" s="87" t="s">
        <v>288</v>
      </c>
      <c r="B253" s="91" t="s">
        <v>2929</v>
      </c>
      <c r="C253" s="92">
        <v>0.15</v>
      </c>
      <c r="D253" s="92">
        <v>0.15</v>
      </c>
      <c r="E253" s="92">
        <v>0.15</v>
      </c>
      <c r="F253" s="93">
        <v>0.1</v>
      </c>
    </row>
    <row r="254" ht="14.25" spans="1:6">
      <c r="A254" s="87" t="s">
        <v>288</v>
      </c>
      <c r="B254" s="91" t="s">
        <v>2939</v>
      </c>
      <c r="C254" s="101"/>
      <c r="D254" s="101"/>
      <c r="E254" s="101"/>
      <c r="F254" s="93">
        <v>0.15</v>
      </c>
    </row>
    <row r="255" ht="14.25" spans="1:6">
      <c r="A255" s="87" t="s">
        <v>288</v>
      </c>
      <c r="B255" s="91" t="s">
        <v>2949</v>
      </c>
      <c r="C255" s="101"/>
      <c r="D255" s="101"/>
      <c r="E255" s="101"/>
      <c r="F255" s="93">
        <v>0.143</v>
      </c>
    </row>
    <row r="256" ht="14.25" spans="1:6">
      <c r="A256" s="87" t="s">
        <v>288</v>
      </c>
      <c r="B256" s="91" t="s">
        <v>2959</v>
      </c>
      <c r="C256" s="92">
        <v>0.146</v>
      </c>
      <c r="D256" s="92">
        <v>0.147</v>
      </c>
      <c r="E256" s="92">
        <v>0.15</v>
      </c>
      <c r="F256" s="93">
        <v>0.132</v>
      </c>
    </row>
    <row r="257" ht="14.25" spans="1:6">
      <c r="A257" s="87" t="s">
        <v>288</v>
      </c>
      <c r="B257" s="91" t="s">
        <v>2968</v>
      </c>
      <c r="C257" s="92">
        <v>0.15</v>
      </c>
      <c r="D257" s="92">
        <v>0.15</v>
      </c>
      <c r="E257" s="92">
        <v>0.15</v>
      </c>
      <c r="F257" s="93">
        <v>0.139</v>
      </c>
    </row>
    <row r="258" ht="14.25" spans="1:6">
      <c r="A258" s="87" t="s">
        <v>288</v>
      </c>
      <c r="B258" s="91" t="s">
        <v>2978</v>
      </c>
      <c r="C258" s="92">
        <v>0.15</v>
      </c>
      <c r="D258" s="92">
        <v>0.15</v>
      </c>
      <c r="E258" s="92">
        <v>0.15</v>
      </c>
      <c r="F258" s="93">
        <v>0.13</v>
      </c>
    </row>
    <row r="259" ht="14.25" spans="1:6">
      <c r="A259" s="87" t="s">
        <v>288</v>
      </c>
      <c r="B259" s="91" t="s">
        <v>2987</v>
      </c>
      <c r="C259" s="92">
        <v>0.148</v>
      </c>
      <c r="D259" s="92">
        <v>0.149</v>
      </c>
      <c r="E259" s="92">
        <v>0.15</v>
      </c>
      <c r="F259" s="93">
        <v>0.137</v>
      </c>
    </row>
    <row r="260" ht="14.25" spans="1:6">
      <c r="A260" s="87" t="s">
        <v>288</v>
      </c>
      <c r="B260" s="91" t="s">
        <v>2997</v>
      </c>
      <c r="C260" s="92">
        <v>0.15</v>
      </c>
      <c r="D260" s="92">
        <v>0.15</v>
      </c>
      <c r="E260" s="92">
        <v>0.15</v>
      </c>
      <c r="F260" s="93">
        <v>0.142</v>
      </c>
    </row>
    <row r="261" ht="14.25" spans="1:6">
      <c r="A261" s="87" t="s">
        <v>288</v>
      </c>
      <c r="B261" s="91" t="s">
        <v>3007</v>
      </c>
      <c r="C261" s="92">
        <v>0.15</v>
      </c>
      <c r="D261" s="92">
        <v>0.15</v>
      </c>
      <c r="E261" s="92">
        <v>0.149</v>
      </c>
      <c r="F261" s="93">
        <v>0.148</v>
      </c>
    </row>
    <row r="262" ht="14.25" spans="1:6">
      <c r="A262" s="87" t="s">
        <v>288</v>
      </c>
      <c r="B262" s="91" t="s">
        <v>3017</v>
      </c>
      <c r="C262" s="92">
        <v>0.15</v>
      </c>
      <c r="D262" s="92">
        <v>0.15</v>
      </c>
      <c r="E262" s="92">
        <v>0.15</v>
      </c>
      <c r="F262" s="100"/>
    </row>
    <row r="263" ht="14.25" spans="1:6">
      <c r="A263" s="87" t="s">
        <v>288</v>
      </c>
      <c r="B263" s="91" t="s">
        <v>3027</v>
      </c>
      <c r="C263" s="92">
        <v>0.149</v>
      </c>
      <c r="D263" s="92">
        <v>0.149</v>
      </c>
      <c r="E263" s="92">
        <v>0.15</v>
      </c>
      <c r="F263" s="93">
        <v>0.13</v>
      </c>
    </row>
    <row r="264" ht="14.25" spans="1:6">
      <c r="A264" s="87" t="s">
        <v>288</v>
      </c>
      <c r="B264" s="91" t="s">
        <v>3036</v>
      </c>
      <c r="C264" s="92">
        <v>0.148</v>
      </c>
      <c r="D264" s="92">
        <v>0.147</v>
      </c>
      <c r="E264" s="92">
        <v>0.15</v>
      </c>
      <c r="F264" s="93">
        <v>0.078</v>
      </c>
    </row>
    <row r="265" ht="14.25" spans="1:6">
      <c r="A265" s="87" t="s">
        <v>288</v>
      </c>
      <c r="B265" s="91" t="s">
        <v>3044</v>
      </c>
      <c r="C265" s="92">
        <v>0.15</v>
      </c>
      <c r="D265" s="92">
        <v>0.15</v>
      </c>
      <c r="E265" s="92">
        <v>0.15</v>
      </c>
      <c r="F265" s="93">
        <v>0.074</v>
      </c>
    </row>
    <row r="266" ht="14.25" spans="1:6">
      <c r="A266" s="87" t="s">
        <v>288</v>
      </c>
      <c r="B266" s="91" t="s">
        <v>3052</v>
      </c>
      <c r="C266" s="92">
        <v>0.147</v>
      </c>
      <c r="D266" s="92">
        <v>0.147</v>
      </c>
      <c r="E266" s="92">
        <v>0.15</v>
      </c>
      <c r="F266" s="93">
        <v>0.143</v>
      </c>
    </row>
    <row r="267" ht="14.25" spans="1:6">
      <c r="A267" s="87" t="s">
        <v>288</v>
      </c>
      <c r="B267" s="91" t="s">
        <v>3059</v>
      </c>
      <c r="C267" s="92">
        <v>0.142</v>
      </c>
      <c r="D267" s="92">
        <v>0.143</v>
      </c>
      <c r="E267" s="92">
        <v>0.15</v>
      </c>
      <c r="F267" s="100"/>
    </row>
    <row r="268" ht="14.25" spans="1:6">
      <c r="A268" s="87" t="s">
        <v>288</v>
      </c>
      <c r="B268" s="91" t="s">
        <v>3066</v>
      </c>
      <c r="C268" s="92">
        <v>0.15</v>
      </c>
      <c r="D268" s="92">
        <v>0.15</v>
      </c>
      <c r="E268" s="92">
        <v>0.15</v>
      </c>
      <c r="F268" s="93">
        <v>0.13</v>
      </c>
    </row>
    <row r="269" ht="14.25" spans="1:6">
      <c r="A269" s="87" t="s">
        <v>288</v>
      </c>
      <c r="B269" s="91" t="s">
        <v>3073</v>
      </c>
      <c r="C269" s="92">
        <v>0.15</v>
      </c>
      <c r="D269" s="92">
        <v>0.15</v>
      </c>
      <c r="E269" s="92">
        <v>0.15</v>
      </c>
      <c r="F269" s="93">
        <v>0.143</v>
      </c>
    </row>
    <row r="270" ht="14.25" spans="1:6">
      <c r="A270" s="87" t="s">
        <v>288</v>
      </c>
      <c r="B270" s="91" t="s">
        <v>3080</v>
      </c>
      <c r="C270" s="92">
        <v>0.145</v>
      </c>
      <c r="D270" s="92">
        <v>0.145</v>
      </c>
      <c r="E270" s="92">
        <v>0.15</v>
      </c>
      <c r="F270" s="93">
        <v>0.147</v>
      </c>
    </row>
    <row r="271" ht="14.25" spans="1:6">
      <c r="A271" s="87" t="s">
        <v>288</v>
      </c>
      <c r="B271" s="91" t="s">
        <v>3087</v>
      </c>
      <c r="C271" s="92">
        <v>0.15</v>
      </c>
      <c r="D271" s="92">
        <v>0.15</v>
      </c>
      <c r="E271" s="92">
        <v>0.15</v>
      </c>
      <c r="F271" s="93">
        <v>0.138</v>
      </c>
    </row>
    <row r="272" ht="14.25" spans="1:6">
      <c r="A272" s="87" t="s">
        <v>288</v>
      </c>
      <c r="B272" s="91" t="s">
        <v>3092</v>
      </c>
      <c r="C272" s="101"/>
      <c r="D272" s="101"/>
      <c r="E272" s="101"/>
      <c r="F272" s="93">
        <v>0.14</v>
      </c>
    </row>
    <row r="273" ht="14.25" spans="1:6">
      <c r="A273" s="87" t="s">
        <v>288</v>
      </c>
      <c r="B273" s="91" t="s">
        <v>3097</v>
      </c>
      <c r="C273" s="92">
        <v>0.142</v>
      </c>
      <c r="D273" s="92">
        <v>0.143</v>
      </c>
      <c r="E273" s="92">
        <v>0.15</v>
      </c>
      <c r="F273" s="93">
        <v>0.1</v>
      </c>
    </row>
    <row r="274" ht="14.25" spans="1:6">
      <c r="A274" s="87" t="s">
        <v>288</v>
      </c>
      <c r="B274" s="91" t="s">
        <v>3102</v>
      </c>
      <c r="C274" s="92">
        <v>0.148</v>
      </c>
      <c r="D274" s="92">
        <v>0.148</v>
      </c>
      <c r="E274" s="92">
        <v>0.15</v>
      </c>
      <c r="F274" s="93">
        <v>0.067</v>
      </c>
    </row>
    <row r="275" ht="14.25" spans="1:6">
      <c r="A275" s="87" t="s">
        <v>288</v>
      </c>
      <c r="B275" s="91" t="s">
        <v>3107</v>
      </c>
      <c r="C275" s="92">
        <v>0.15</v>
      </c>
      <c r="D275" s="92">
        <v>0.15</v>
      </c>
      <c r="E275" s="92">
        <v>0.15</v>
      </c>
      <c r="F275" s="93">
        <v>0.15</v>
      </c>
    </row>
    <row r="276" ht="14.25" spans="1:6">
      <c r="A276" s="87" t="s">
        <v>288</v>
      </c>
      <c r="B276" s="91" t="s">
        <v>3112</v>
      </c>
      <c r="C276" s="92">
        <v>0.145</v>
      </c>
      <c r="D276" s="92">
        <v>0.143</v>
      </c>
      <c r="E276" s="92">
        <v>0.15</v>
      </c>
      <c r="F276" s="93">
        <v>0.059</v>
      </c>
    </row>
    <row r="277" ht="14.25" spans="1:6">
      <c r="A277" s="87" t="s">
        <v>288</v>
      </c>
      <c r="B277" s="91" t="s">
        <v>3117</v>
      </c>
      <c r="C277" s="92">
        <v>0.15</v>
      </c>
      <c r="D277" s="92">
        <v>0.15</v>
      </c>
      <c r="E277" s="92">
        <v>0.15</v>
      </c>
      <c r="F277" s="93">
        <v>0.121</v>
      </c>
    </row>
    <row r="278" ht="14.25" spans="1:6">
      <c r="A278" s="87" t="s">
        <v>288</v>
      </c>
      <c r="B278" s="91" t="s">
        <v>3122</v>
      </c>
      <c r="C278" s="92">
        <v>0.15</v>
      </c>
      <c r="D278" s="92">
        <v>0.15</v>
      </c>
      <c r="E278" s="92">
        <v>0.15</v>
      </c>
      <c r="F278" s="93">
        <v>0.138</v>
      </c>
    </row>
    <row r="279" ht="24.75" spans="1:6">
      <c r="A279" s="87" t="s">
        <v>288</v>
      </c>
      <c r="B279" s="91" t="s">
        <v>3126</v>
      </c>
      <c r="C279" s="101"/>
      <c r="D279" s="101"/>
      <c r="E279" s="101"/>
      <c r="F279" s="93">
        <v>0.05</v>
      </c>
    </row>
    <row r="280" ht="24.75" spans="1:6">
      <c r="A280" s="87" t="s">
        <v>288</v>
      </c>
      <c r="B280" s="91" t="s">
        <v>3130</v>
      </c>
      <c r="C280" s="101"/>
      <c r="D280" s="101"/>
      <c r="E280" s="101"/>
      <c r="F280" s="93">
        <v>0.05</v>
      </c>
    </row>
    <row r="281" ht="24.75" spans="1:6">
      <c r="A281" s="87" t="s">
        <v>288</v>
      </c>
      <c r="B281" s="91" t="s">
        <v>3134</v>
      </c>
      <c r="C281" s="101"/>
      <c r="D281" s="101"/>
      <c r="E281" s="101"/>
      <c r="F281" s="93">
        <v>0.05</v>
      </c>
    </row>
    <row r="282" ht="24.75" spans="1:6">
      <c r="A282" s="87" t="s">
        <v>288</v>
      </c>
      <c r="B282" s="91" t="s">
        <v>3138</v>
      </c>
      <c r="C282" s="101"/>
      <c r="D282" s="101"/>
      <c r="E282" s="101"/>
      <c r="F282" s="93">
        <v>0.05</v>
      </c>
    </row>
    <row r="283" ht="24.75" spans="1:6">
      <c r="A283" s="87" t="s">
        <v>288</v>
      </c>
      <c r="B283" s="91" t="s">
        <v>3142</v>
      </c>
      <c r="C283" s="101"/>
      <c r="D283" s="101"/>
      <c r="E283" s="101"/>
      <c r="F283" s="93">
        <v>0.05</v>
      </c>
    </row>
    <row r="284" ht="24.75" spans="1:6">
      <c r="A284" s="87" t="s">
        <v>288</v>
      </c>
      <c r="B284" s="91" t="s">
        <v>3145</v>
      </c>
      <c r="C284" s="101"/>
      <c r="D284" s="101"/>
      <c r="E284" s="101"/>
      <c r="F284" s="93">
        <v>0.05</v>
      </c>
    </row>
    <row r="285" ht="24.75" spans="1:6">
      <c r="A285" s="87" t="s">
        <v>288</v>
      </c>
      <c r="B285" s="91" t="s">
        <v>3148</v>
      </c>
      <c r="C285" s="101"/>
      <c r="D285" s="101"/>
      <c r="E285" s="101"/>
      <c r="F285" s="93">
        <v>0.05</v>
      </c>
    </row>
    <row r="286" ht="24.75" spans="1:6">
      <c r="A286" s="87" t="s">
        <v>288</v>
      </c>
      <c r="B286" s="91" t="s">
        <v>3151</v>
      </c>
      <c r="C286" s="101"/>
      <c r="D286" s="101"/>
      <c r="E286" s="101"/>
      <c r="F286" s="93">
        <v>0.05</v>
      </c>
    </row>
    <row r="287" ht="24.75" spans="1:6">
      <c r="A287" s="87" t="s">
        <v>288</v>
      </c>
      <c r="B287" s="91" t="s">
        <v>3154</v>
      </c>
      <c r="C287" s="101"/>
      <c r="D287" s="101"/>
      <c r="E287" s="101"/>
      <c r="F287" s="93">
        <v>0.05</v>
      </c>
    </row>
    <row r="288" ht="24.75" spans="1:6">
      <c r="A288" s="87" t="s">
        <v>288</v>
      </c>
      <c r="B288" s="91" t="s">
        <v>3157</v>
      </c>
      <c r="C288" s="101"/>
      <c r="D288" s="101"/>
      <c r="E288" s="101"/>
      <c r="F288" s="93">
        <v>0.05</v>
      </c>
    </row>
    <row r="289" ht="24.75" spans="1:6">
      <c r="A289" s="95" t="s">
        <v>288</v>
      </c>
      <c r="B289" s="102" t="s">
        <v>3160</v>
      </c>
      <c r="C289" s="98"/>
      <c r="D289" s="98"/>
      <c r="E289" s="98"/>
      <c r="F289" s="103">
        <v>0.05</v>
      </c>
    </row>
    <row r="290" ht="14.25" spans="1:6">
      <c r="A290" s="87" t="s">
        <v>291</v>
      </c>
      <c r="B290" s="88" t="s">
        <v>2836</v>
      </c>
      <c r="C290" s="89">
        <v>0.15</v>
      </c>
      <c r="D290" s="89">
        <v>0.15</v>
      </c>
      <c r="E290" s="89">
        <v>0.15</v>
      </c>
      <c r="F290" s="111"/>
    </row>
    <row r="291" ht="14.25" spans="1:6">
      <c r="A291" s="87" t="s">
        <v>291</v>
      </c>
      <c r="B291" s="91" t="s">
        <v>2849</v>
      </c>
      <c r="C291" s="92">
        <v>0.15</v>
      </c>
      <c r="D291" s="92">
        <v>0.15</v>
      </c>
      <c r="E291" s="92">
        <v>0.15</v>
      </c>
      <c r="F291" s="100"/>
    </row>
    <row r="292" ht="14.25" spans="1:6">
      <c r="A292" s="87" t="s">
        <v>291</v>
      </c>
      <c r="B292" s="91" t="s">
        <v>2863</v>
      </c>
      <c r="C292" s="92">
        <v>0.15</v>
      </c>
      <c r="D292" s="92">
        <v>0.15</v>
      </c>
      <c r="E292" s="92">
        <v>0.15</v>
      </c>
      <c r="F292" s="93">
        <v>0.147</v>
      </c>
    </row>
    <row r="293" ht="14.25" spans="1:6">
      <c r="A293" s="87" t="s">
        <v>291</v>
      </c>
      <c r="B293" s="91" t="s">
        <v>3167</v>
      </c>
      <c r="C293" s="101"/>
      <c r="D293" s="101"/>
      <c r="E293" s="101"/>
      <c r="F293" s="93">
        <v>0.1</v>
      </c>
    </row>
    <row r="294" ht="14.25" spans="1:6">
      <c r="A294" s="87" t="s">
        <v>291</v>
      </c>
      <c r="B294" s="91" t="s">
        <v>2875</v>
      </c>
      <c r="C294" s="92">
        <v>0.15</v>
      </c>
      <c r="D294" s="92">
        <v>0.15</v>
      </c>
      <c r="E294" s="92">
        <v>0.15</v>
      </c>
      <c r="F294" s="93">
        <v>0.15</v>
      </c>
    </row>
    <row r="295" ht="14.25" spans="1:6">
      <c r="A295" s="87" t="s">
        <v>291</v>
      </c>
      <c r="B295" s="91" t="s">
        <v>2887</v>
      </c>
      <c r="C295" s="92">
        <v>0.15</v>
      </c>
      <c r="D295" s="92">
        <v>0.15</v>
      </c>
      <c r="E295" s="92">
        <v>0.15</v>
      </c>
      <c r="F295" s="93">
        <v>0.15</v>
      </c>
    </row>
    <row r="296" ht="14.25" spans="1:6">
      <c r="A296" s="87" t="s">
        <v>291</v>
      </c>
      <c r="B296" s="91" t="s">
        <v>2898</v>
      </c>
      <c r="C296" s="92">
        <v>0.15</v>
      </c>
      <c r="D296" s="92">
        <v>0.15</v>
      </c>
      <c r="E296" s="92">
        <v>0.15</v>
      </c>
      <c r="F296" s="93">
        <v>0.15</v>
      </c>
    </row>
    <row r="297" ht="14.25" spans="1:6">
      <c r="A297" s="87" t="s">
        <v>291</v>
      </c>
      <c r="B297" s="91" t="s">
        <v>2909</v>
      </c>
      <c r="C297" s="92">
        <v>0.148</v>
      </c>
      <c r="D297" s="92">
        <v>0.149</v>
      </c>
      <c r="E297" s="92">
        <v>0.15</v>
      </c>
      <c r="F297" s="93">
        <v>0.137</v>
      </c>
    </row>
    <row r="298" ht="14.25" spans="1:6">
      <c r="A298" s="87" t="s">
        <v>291</v>
      </c>
      <c r="B298" s="91" t="s">
        <v>2920</v>
      </c>
      <c r="C298" s="92">
        <v>0.134</v>
      </c>
      <c r="D298" s="92">
        <v>0.134</v>
      </c>
      <c r="E298" s="92">
        <v>0.145</v>
      </c>
      <c r="F298" s="93">
        <v>0.148</v>
      </c>
    </row>
    <row r="299" ht="14.25" spans="1:6">
      <c r="A299" s="87" t="s">
        <v>291</v>
      </c>
      <c r="B299" s="91" t="s">
        <v>2930</v>
      </c>
      <c r="C299" s="92">
        <v>0.15</v>
      </c>
      <c r="D299" s="92">
        <v>0.15</v>
      </c>
      <c r="E299" s="92">
        <v>0.15</v>
      </c>
      <c r="F299" s="100"/>
    </row>
    <row r="300" ht="14.25" spans="1:6">
      <c r="A300" s="87" t="s">
        <v>291</v>
      </c>
      <c r="B300" s="91" t="s">
        <v>2940</v>
      </c>
      <c r="C300" s="92">
        <v>0.15</v>
      </c>
      <c r="D300" s="92">
        <v>0.15</v>
      </c>
      <c r="E300" s="92">
        <v>0.15</v>
      </c>
      <c r="F300" s="93">
        <v>0.15</v>
      </c>
    </row>
    <row r="301" ht="14.25" spans="1:6">
      <c r="A301" s="87" t="s">
        <v>291</v>
      </c>
      <c r="B301" s="91" t="s">
        <v>2950</v>
      </c>
      <c r="C301" s="92">
        <v>0.15</v>
      </c>
      <c r="D301" s="92">
        <v>0.15</v>
      </c>
      <c r="E301" s="92">
        <v>0.15</v>
      </c>
      <c r="F301" s="100"/>
    </row>
    <row r="302" ht="14.25" spans="1:6">
      <c r="A302" s="87" t="s">
        <v>291</v>
      </c>
      <c r="B302" s="91" t="s">
        <v>2960</v>
      </c>
      <c r="C302" s="92">
        <v>0.15</v>
      </c>
      <c r="D302" s="92">
        <v>0.15</v>
      </c>
      <c r="E302" s="92">
        <v>0.15</v>
      </c>
      <c r="F302" s="93">
        <v>0.15</v>
      </c>
    </row>
    <row r="303" ht="14.25" spans="1:6">
      <c r="A303" s="87" t="s">
        <v>291</v>
      </c>
      <c r="B303" s="91" t="s">
        <v>2969</v>
      </c>
      <c r="C303" s="92">
        <v>0.15</v>
      </c>
      <c r="D303" s="92">
        <v>0.15</v>
      </c>
      <c r="E303" s="92">
        <v>0.15</v>
      </c>
      <c r="F303" s="93">
        <v>0.15</v>
      </c>
    </row>
    <row r="304" ht="14.25" spans="1:6">
      <c r="A304" s="87" t="s">
        <v>291</v>
      </c>
      <c r="B304" s="91" t="s">
        <v>2979</v>
      </c>
      <c r="C304" s="92">
        <v>0.15</v>
      </c>
      <c r="D304" s="92">
        <v>0.15</v>
      </c>
      <c r="E304" s="92">
        <v>0.15</v>
      </c>
      <c r="F304" s="100"/>
    </row>
    <row r="305" ht="14.25" spans="1:6">
      <c r="A305" s="87" t="s">
        <v>291</v>
      </c>
      <c r="B305" s="91" t="s">
        <v>2988</v>
      </c>
      <c r="C305" s="92">
        <v>0.15</v>
      </c>
      <c r="D305" s="92">
        <v>0.15</v>
      </c>
      <c r="E305" s="92">
        <v>0.15</v>
      </c>
      <c r="F305" s="93">
        <v>0.14</v>
      </c>
    </row>
    <row r="306" ht="14.25" spans="1:6">
      <c r="A306" s="87" t="s">
        <v>291</v>
      </c>
      <c r="B306" s="91" t="s">
        <v>2998</v>
      </c>
      <c r="C306" s="92">
        <v>0.15</v>
      </c>
      <c r="D306" s="92">
        <v>0.15</v>
      </c>
      <c r="E306" s="92">
        <v>0.15</v>
      </c>
      <c r="F306" s="100"/>
    </row>
    <row r="307" ht="14.25" spans="1:6">
      <c r="A307" s="87" t="s">
        <v>291</v>
      </c>
      <c r="B307" s="91" t="s">
        <v>3008</v>
      </c>
      <c r="C307" s="92">
        <v>0.15</v>
      </c>
      <c r="D307" s="92">
        <v>0.15</v>
      </c>
      <c r="E307" s="92">
        <v>0.15</v>
      </c>
      <c r="F307" s="93">
        <v>0.143</v>
      </c>
    </row>
    <row r="308" ht="14.25" spans="1:6">
      <c r="A308" s="87" t="s">
        <v>291</v>
      </c>
      <c r="B308" s="91" t="s">
        <v>3018</v>
      </c>
      <c r="C308" s="92">
        <v>0.15</v>
      </c>
      <c r="D308" s="92">
        <v>0.15</v>
      </c>
      <c r="E308" s="92">
        <v>0.15</v>
      </c>
      <c r="F308" s="93">
        <v>0.15</v>
      </c>
    </row>
    <row r="309" ht="14.25" spans="1:6">
      <c r="A309" s="87" t="s">
        <v>291</v>
      </c>
      <c r="B309" s="91" t="s">
        <v>3028</v>
      </c>
      <c r="C309" s="92">
        <v>0.15</v>
      </c>
      <c r="D309" s="92">
        <v>0.15</v>
      </c>
      <c r="E309" s="92">
        <v>0.15</v>
      </c>
      <c r="F309" s="100"/>
    </row>
    <row r="310" ht="14.25" spans="1:6">
      <c r="A310" s="87" t="s">
        <v>291</v>
      </c>
      <c r="B310" s="91" t="s">
        <v>3037</v>
      </c>
      <c r="C310" s="92">
        <v>0.15</v>
      </c>
      <c r="D310" s="92">
        <v>0.15</v>
      </c>
      <c r="E310" s="92">
        <v>0.15</v>
      </c>
      <c r="F310" s="93">
        <v>0.137</v>
      </c>
    </row>
    <row r="311" ht="14.25" spans="1:6">
      <c r="A311" s="87" t="s">
        <v>291</v>
      </c>
      <c r="B311" s="91" t="s">
        <v>3045</v>
      </c>
      <c r="C311" s="92">
        <v>0.15</v>
      </c>
      <c r="D311" s="92">
        <v>0.15</v>
      </c>
      <c r="E311" s="92">
        <v>0.15</v>
      </c>
      <c r="F311" s="93">
        <v>0.15</v>
      </c>
    </row>
    <row r="312" ht="14.25" spans="1:6">
      <c r="A312" s="87" t="s">
        <v>291</v>
      </c>
      <c r="B312" s="91" t="s">
        <v>3053</v>
      </c>
      <c r="C312" s="92">
        <v>0.15</v>
      </c>
      <c r="D312" s="92">
        <v>0.15</v>
      </c>
      <c r="E312" s="92">
        <v>0.15</v>
      </c>
      <c r="F312" s="93">
        <v>0.1</v>
      </c>
    </row>
    <row r="313" ht="14.25" spans="1:6">
      <c r="A313" s="87" t="s">
        <v>291</v>
      </c>
      <c r="B313" s="91" t="s">
        <v>3060</v>
      </c>
      <c r="C313" s="92">
        <v>0.15</v>
      </c>
      <c r="D313" s="92">
        <v>0.15</v>
      </c>
      <c r="E313" s="92">
        <v>0.15</v>
      </c>
      <c r="F313" s="93">
        <v>0.15</v>
      </c>
    </row>
    <row r="314" ht="24.75" spans="1:6">
      <c r="A314" s="87" t="s">
        <v>291</v>
      </c>
      <c r="B314" s="91" t="s">
        <v>3067</v>
      </c>
      <c r="C314" s="101"/>
      <c r="D314" s="101"/>
      <c r="E314" s="101"/>
      <c r="F314" s="93">
        <v>0.05</v>
      </c>
    </row>
    <row r="315" ht="24.75" spans="1:6">
      <c r="A315" s="87" t="s">
        <v>291</v>
      </c>
      <c r="B315" s="91" t="s">
        <v>3074</v>
      </c>
      <c r="C315" s="101"/>
      <c r="D315" s="101"/>
      <c r="E315" s="101"/>
      <c r="F315" s="93">
        <v>0.05</v>
      </c>
    </row>
    <row r="316" ht="24.75" spans="1:6">
      <c r="A316" s="95" t="s">
        <v>291</v>
      </c>
      <c r="B316" s="102" t="s">
        <v>3081</v>
      </c>
      <c r="C316" s="98"/>
      <c r="D316" s="98"/>
      <c r="E316" s="98"/>
      <c r="F316" s="103">
        <v>0.05</v>
      </c>
    </row>
    <row r="317" ht="14.25" spans="1:6">
      <c r="A317" s="87" t="s">
        <v>294</v>
      </c>
      <c r="B317" s="88" t="s">
        <v>2837</v>
      </c>
      <c r="C317" s="89">
        <v>0.15</v>
      </c>
      <c r="D317" s="89">
        <v>0.15</v>
      </c>
      <c r="E317" s="89">
        <v>0.15</v>
      </c>
      <c r="F317" s="90">
        <v>0.15</v>
      </c>
    </row>
    <row r="318" ht="14.25" spans="1:6">
      <c r="A318" s="87" t="s">
        <v>294</v>
      </c>
      <c r="B318" s="91" t="s">
        <v>2850</v>
      </c>
      <c r="C318" s="92">
        <v>0.107</v>
      </c>
      <c r="D318" s="92">
        <v>0.11</v>
      </c>
      <c r="E318" s="92">
        <v>0.112</v>
      </c>
      <c r="F318" s="100"/>
    </row>
    <row r="319" ht="14.25" spans="1:6">
      <c r="A319" s="87" t="s">
        <v>294</v>
      </c>
      <c r="B319" s="91" t="s">
        <v>2864</v>
      </c>
      <c r="C319" s="92">
        <v>0.15</v>
      </c>
      <c r="D319" s="92">
        <v>0.15</v>
      </c>
      <c r="E319" s="92">
        <v>0.15</v>
      </c>
      <c r="F319" s="93">
        <v>0.15</v>
      </c>
    </row>
    <row r="320" ht="14.25" spans="1:6">
      <c r="A320" s="87" t="s">
        <v>294</v>
      </c>
      <c r="B320" s="91" t="s">
        <v>2876</v>
      </c>
      <c r="C320" s="92">
        <v>0.15</v>
      </c>
      <c r="D320" s="92">
        <v>0.15</v>
      </c>
      <c r="E320" s="92">
        <v>0.15</v>
      </c>
      <c r="F320" s="100"/>
    </row>
    <row r="321" ht="14.25" spans="1:6">
      <c r="A321" s="87" t="s">
        <v>294</v>
      </c>
      <c r="B321" s="91" t="s">
        <v>2888</v>
      </c>
      <c r="C321" s="92">
        <v>0.15</v>
      </c>
      <c r="D321" s="92">
        <v>0.15</v>
      </c>
      <c r="E321" s="92">
        <v>0.15</v>
      </c>
      <c r="F321" s="100"/>
    </row>
    <row r="322" ht="14.25" spans="1:6">
      <c r="A322" s="87" t="s">
        <v>294</v>
      </c>
      <c r="B322" s="91" t="s">
        <v>2899</v>
      </c>
      <c r="C322" s="92">
        <v>0.15</v>
      </c>
      <c r="D322" s="92">
        <v>0.15</v>
      </c>
      <c r="E322" s="92">
        <v>0.15</v>
      </c>
      <c r="F322" s="93">
        <v>0.15</v>
      </c>
    </row>
    <row r="323" ht="14.25" spans="1:6">
      <c r="A323" s="87" t="s">
        <v>294</v>
      </c>
      <c r="B323" s="91" t="s">
        <v>2910</v>
      </c>
      <c r="C323" s="92">
        <v>0.15</v>
      </c>
      <c r="D323" s="92">
        <v>0.15</v>
      </c>
      <c r="E323" s="92">
        <v>0.15</v>
      </c>
      <c r="F323" s="100"/>
    </row>
    <row r="324" ht="14.25" spans="1:6">
      <c r="A324" s="87" t="s">
        <v>294</v>
      </c>
      <c r="B324" s="91" t="s">
        <v>2921</v>
      </c>
      <c r="C324" s="92">
        <v>0.15</v>
      </c>
      <c r="D324" s="92">
        <v>0.15</v>
      </c>
      <c r="E324" s="92">
        <v>0.15</v>
      </c>
      <c r="F324" s="100"/>
    </row>
    <row r="325" ht="14.25" spans="1:6">
      <c r="A325" s="87" t="s">
        <v>294</v>
      </c>
      <c r="B325" s="91" t="s">
        <v>2931</v>
      </c>
      <c r="C325" s="92">
        <v>0.15</v>
      </c>
      <c r="D325" s="92">
        <v>0.15</v>
      </c>
      <c r="E325" s="92">
        <v>0.15</v>
      </c>
      <c r="F325" s="93">
        <v>0.147</v>
      </c>
    </row>
    <row r="326" ht="14.25" spans="1:6">
      <c r="A326" s="87" t="s">
        <v>294</v>
      </c>
      <c r="B326" s="91" t="s">
        <v>2941</v>
      </c>
      <c r="C326" s="92">
        <v>0.15</v>
      </c>
      <c r="D326" s="92">
        <v>0.15</v>
      </c>
      <c r="E326" s="92">
        <v>0.15</v>
      </c>
      <c r="F326" s="100"/>
    </row>
    <row r="327" ht="14.25" spans="1:6">
      <c r="A327" s="87" t="s">
        <v>294</v>
      </c>
      <c r="B327" s="91" t="s">
        <v>2951</v>
      </c>
      <c r="C327" s="92">
        <v>0.15</v>
      </c>
      <c r="D327" s="92">
        <v>0.15</v>
      </c>
      <c r="E327" s="92">
        <v>0.15</v>
      </c>
      <c r="F327" s="93">
        <v>0.15</v>
      </c>
    </row>
    <row r="328" ht="14.25" spans="1:6">
      <c r="A328" s="87" t="s">
        <v>294</v>
      </c>
      <c r="B328" s="91" t="s">
        <v>2961</v>
      </c>
      <c r="C328" s="92">
        <v>0.15</v>
      </c>
      <c r="D328" s="92">
        <v>0.15</v>
      </c>
      <c r="E328" s="92">
        <v>0.15</v>
      </c>
      <c r="F328" s="93">
        <v>0.141</v>
      </c>
    </row>
    <row r="329" ht="14.25" spans="1:6">
      <c r="A329" s="87" t="s">
        <v>294</v>
      </c>
      <c r="B329" s="91" t="s">
        <v>2970</v>
      </c>
      <c r="C329" s="92">
        <v>0.15</v>
      </c>
      <c r="D329" s="92">
        <v>0.15</v>
      </c>
      <c r="E329" s="92">
        <v>0.15</v>
      </c>
      <c r="F329" s="93">
        <v>0.15</v>
      </c>
    </row>
    <row r="330" ht="14.25" spans="1:6">
      <c r="A330" s="87" t="s">
        <v>294</v>
      </c>
      <c r="B330" s="91" t="s">
        <v>2980</v>
      </c>
      <c r="C330" s="92">
        <v>0.15</v>
      </c>
      <c r="D330" s="92">
        <v>0.15</v>
      </c>
      <c r="E330" s="92">
        <v>0.15</v>
      </c>
      <c r="F330" s="100"/>
    </row>
    <row r="331" ht="14.25" spans="1:6">
      <c r="A331" s="87" t="s">
        <v>294</v>
      </c>
      <c r="B331" s="91" t="s">
        <v>2989</v>
      </c>
      <c r="C331" s="92">
        <v>0.15</v>
      </c>
      <c r="D331" s="92">
        <v>0.15</v>
      </c>
      <c r="E331" s="92">
        <v>0.15</v>
      </c>
      <c r="F331" s="93">
        <v>0.15</v>
      </c>
    </row>
    <row r="332" ht="14.25" spans="1:6">
      <c r="A332" s="87" t="s">
        <v>294</v>
      </c>
      <c r="B332" s="91" t="s">
        <v>2999</v>
      </c>
      <c r="C332" s="92">
        <v>0.15</v>
      </c>
      <c r="D332" s="92">
        <v>0.15</v>
      </c>
      <c r="E332" s="92">
        <v>0.15</v>
      </c>
      <c r="F332" s="93">
        <v>0.15</v>
      </c>
    </row>
    <row r="333" ht="14.25" spans="1:6">
      <c r="A333" s="87" t="s">
        <v>294</v>
      </c>
      <c r="B333" s="91" t="s">
        <v>3009</v>
      </c>
      <c r="C333" s="92">
        <v>0.15</v>
      </c>
      <c r="D333" s="92">
        <v>0.15</v>
      </c>
      <c r="E333" s="92">
        <v>0.15</v>
      </c>
      <c r="F333" s="93">
        <v>0.141</v>
      </c>
    </row>
    <row r="334" ht="14.25" spans="1:6">
      <c r="A334" s="87" t="s">
        <v>294</v>
      </c>
      <c r="B334" s="91" t="s">
        <v>3019</v>
      </c>
      <c r="C334" s="92">
        <v>0.15</v>
      </c>
      <c r="D334" s="92">
        <v>0.15</v>
      </c>
      <c r="E334" s="92">
        <v>0.15</v>
      </c>
      <c r="F334" s="93">
        <v>0.15</v>
      </c>
    </row>
    <row r="335" ht="14.25" spans="1:6">
      <c r="A335" s="87" t="s">
        <v>294</v>
      </c>
      <c r="B335" s="91" t="s">
        <v>3029</v>
      </c>
      <c r="C335" s="92">
        <v>0.15</v>
      </c>
      <c r="D335" s="92">
        <v>0.15</v>
      </c>
      <c r="E335" s="92">
        <v>0.15</v>
      </c>
      <c r="F335" s="100"/>
    </row>
    <row r="336" ht="14.25" spans="1:6">
      <c r="A336" s="87" t="s">
        <v>294</v>
      </c>
      <c r="B336" s="91" t="s">
        <v>3038</v>
      </c>
      <c r="C336" s="92">
        <v>0.15</v>
      </c>
      <c r="D336" s="92">
        <v>0.15</v>
      </c>
      <c r="E336" s="92">
        <v>0.15</v>
      </c>
      <c r="F336" s="93">
        <v>0.118</v>
      </c>
    </row>
    <row r="337" ht="14.25" spans="1:6">
      <c r="A337" s="95" t="s">
        <v>294</v>
      </c>
      <c r="B337" s="102" t="s">
        <v>3046</v>
      </c>
      <c r="C337" s="98"/>
      <c r="D337" s="98"/>
      <c r="E337" s="98"/>
      <c r="F337" s="103">
        <v>0.143</v>
      </c>
    </row>
    <row r="338" ht="14.25" spans="1:6">
      <c r="A338" s="87" t="s">
        <v>297</v>
      </c>
      <c r="B338" s="88" t="s">
        <v>2838</v>
      </c>
      <c r="C338" s="89">
        <v>0.15</v>
      </c>
      <c r="D338" s="89">
        <v>0.15</v>
      </c>
      <c r="E338" s="89">
        <v>0.15</v>
      </c>
      <c r="F338" s="111"/>
    </row>
    <row r="339" ht="14.25" spans="1:6">
      <c r="A339" s="87" t="s">
        <v>297</v>
      </c>
      <c r="B339" s="91" t="s">
        <v>2851</v>
      </c>
      <c r="C339" s="92">
        <v>0.15</v>
      </c>
      <c r="D339" s="92">
        <v>0.15</v>
      </c>
      <c r="E339" s="92">
        <v>0.15</v>
      </c>
      <c r="F339" s="100"/>
    </row>
    <row r="340" ht="14.25" spans="1:6">
      <c r="A340" s="87" t="s">
        <v>297</v>
      </c>
      <c r="B340" s="91" t="s">
        <v>2865</v>
      </c>
      <c r="C340" s="92">
        <v>0.15</v>
      </c>
      <c r="D340" s="92">
        <v>0.15</v>
      </c>
      <c r="E340" s="92">
        <v>0.15</v>
      </c>
      <c r="F340" s="100"/>
    </row>
    <row r="341" ht="14.25" spans="1:6">
      <c r="A341" s="87" t="s">
        <v>297</v>
      </c>
      <c r="B341" s="91" t="s">
        <v>2877</v>
      </c>
      <c r="C341" s="92">
        <v>0.15</v>
      </c>
      <c r="D341" s="92">
        <v>0.15</v>
      </c>
      <c r="E341" s="92">
        <v>0.15</v>
      </c>
      <c r="F341" s="93">
        <v>0.15</v>
      </c>
    </row>
    <row r="342" ht="14.25" spans="1:6">
      <c r="A342" s="87" t="s">
        <v>297</v>
      </c>
      <c r="B342" s="91" t="s">
        <v>2889</v>
      </c>
      <c r="C342" s="92">
        <v>0.15</v>
      </c>
      <c r="D342" s="92">
        <v>0.15</v>
      </c>
      <c r="E342" s="92">
        <v>0.15</v>
      </c>
      <c r="F342" s="93">
        <v>0.15</v>
      </c>
    </row>
    <row r="343" ht="14.25" spans="1:6">
      <c r="A343" s="87" t="s">
        <v>297</v>
      </c>
      <c r="B343" s="91" t="s">
        <v>2900</v>
      </c>
      <c r="C343" s="92">
        <v>0.15</v>
      </c>
      <c r="D343" s="92">
        <v>0.15</v>
      </c>
      <c r="E343" s="92">
        <v>0.15</v>
      </c>
      <c r="F343" s="93">
        <v>0.15</v>
      </c>
    </row>
    <row r="344" ht="14.25" spans="1:6">
      <c r="A344" s="95" t="s">
        <v>297</v>
      </c>
      <c r="B344" s="102" t="s">
        <v>2911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3170</v>
      </c>
      <c r="C1" s="20">
        <f>项目基本情况!D3</f>
        <v>44175</v>
      </c>
      <c r="D1" s="19" t="s">
        <v>3171</v>
      </c>
      <c r="E1" s="21">
        <f>'数据-取费表'!B22</f>
        <v>2</v>
      </c>
      <c r="F1" s="19" t="s">
        <v>3172</v>
      </c>
      <c r="G1" s="22">
        <f ca="1">INDIRECT("d"&amp;$K$1)/100</f>
        <v>0.0475</v>
      </c>
      <c r="H1" s="19" t="s">
        <v>3173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3172</v>
      </c>
      <c r="E2" s="23"/>
      <c r="F2" s="23" t="s">
        <v>3174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3175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3176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3177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3178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3179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3180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3181</v>
      </c>
      <c r="C10" s="47"/>
      <c r="D10" s="47"/>
      <c r="E10" s="47"/>
      <c r="F10" s="47"/>
      <c r="G10" s="47"/>
      <c r="H10" s="47"/>
      <c r="I10" s="15"/>
      <c r="J10" s="15"/>
      <c r="K10" s="47"/>
      <c r="L10" s="48" t="s">
        <v>3182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3183</v>
      </c>
      <c r="C11" s="51" t="s">
        <v>3184</v>
      </c>
      <c r="D11" s="52" t="s">
        <v>3185</v>
      </c>
      <c r="E11" s="53"/>
      <c r="F11" s="52" t="s">
        <v>3186</v>
      </c>
      <c r="G11" s="54"/>
      <c r="H11" s="53"/>
      <c r="I11" s="52" t="s">
        <v>3187</v>
      </c>
      <c r="J11" s="53"/>
      <c r="K11" s="49"/>
      <c r="L11" s="50" t="s">
        <v>3183</v>
      </c>
      <c r="M11" s="51" t="s">
        <v>3184</v>
      </c>
      <c r="N11" s="50" t="s">
        <v>3188</v>
      </c>
      <c r="O11" s="52" t="s">
        <v>3189</v>
      </c>
      <c r="P11" s="54"/>
      <c r="Q11" s="54"/>
      <c r="R11" s="54"/>
      <c r="S11" s="54"/>
      <c r="T11" s="53"/>
      <c r="U11" s="52" t="s">
        <v>3190</v>
      </c>
      <c r="V11" s="54"/>
      <c r="W11" s="53"/>
      <c r="X11" s="50" t="s">
        <v>3191</v>
      </c>
      <c r="Y11" s="50" t="s">
        <v>3192</v>
      </c>
      <c r="Z11" s="50" t="s">
        <v>3193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3194</v>
      </c>
      <c r="E12" s="58" t="s">
        <v>3176</v>
      </c>
      <c r="F12" s="58" t="s">
        <v>3177</v>
      </c>
      <c r="G12" s="58" t="s">
        <v>3178</v>
      </c>
      <c r="H12" s="58" t="s">
        <v>3179</v>
      </c>
      <c r="I12" s="69" t="s">
        <v>3195</v>
      </c>
      <c r="J12" s="69" t="s">
        <v>3195</v>
      </c>
      <c r="K12" s="55"/>
      <c r="L12" s="56"/>
      <c r="M12" s="57"/>
      <c r="N12" s="56"/>
      <c r="O12" s="69" t="s">
        <v>3196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3197</v>
      </c>
      <c r="C13" s="61">
        <v>42301</v>
      </c>
      <c r="D13" s="62">
        <v>4.35</v>
      </c>
      <c r="E13" s="62">
        <v>4.35</v>
      </c>
      <c r="F13" s="62">
        <v>4.75</v>
      </c>
      <c r="G13" s="62">
        <v>4.75</v>
      </c>
      <c r="H13" s="62">
        <v>4.9</v>
      </c>
      <c r="I13" s="62">
        <v>2.75</v>
      </c>
      <c r="J13" s="62">
        <v>3.25</v>
      </c>
      <c r="K13" s="59"/>
      <c r="L13" s="60" t="s">
        <v>3197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3198</v>
      </c>
      <c r="Y42" s="63" t="s">
        <v>3198</v>
      </c>
      <c r="Z42" s="63" t="s">
        <v>3198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3198</v>
      </c>
      <c r="Y43" s="63" t="s">
        <v>3198</v>
      </c>
      <c r="Z43" s="63" t="s">
        <v>3198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3198</v>
      </c>
      <c r="Y44" s="63" t="s">
        <v>3198</v>
      </c>
      <c r="Z44" s="63" t="s">
        <v>3198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3198</v>
      </c>
      <c r="Y45" s="63" t="s">
        <v>3198</v>
      </c>
      <c r="Z45" s="63" t="s">
        <v>3198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3198</v>
      </c>
      <c r="Y46" s="63" t="s">
        <v>3198</v>
      </c>
      <c r="Z46" s="63" t="s">
        <v>3198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3198</v>
      </c>
      <c r="Y47" s="63" t="s">
        <v>3198</v>
      </c>
      <c r="Z47" s="63" t="s">
        <v>3198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3198</v>
      </c>
      <c r="Y48" s="63" t="s">
        <v>3198</v>
      </c>
      <c r="Z48" s="63" t="s">
        <v>3198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3198</v>
      </c>
      <c r="Y49" s="63" t="s">
        <v>3198</v>
      </c>
      <c r="Z49" s="63" t="s">
        <v>3198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3198</v>
      </c>
      <c r="Y50" s="63" t="s">
        <v>3198</v>
      </c>
      <c r="Z50" s="63" t="s">
        <v>3198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3198</v>
      </c>
      <c r="V51" s="63" t="s">
        <v>3198</v>
      </c>
      <c r="W51" s="63" t="s">
        <v>3198</v>
      </c>
      <c r="X51" s="63" t="s">
        <v>3198</v>
      </c>
      <c r="Y51" s="63" t="s">
        <v>3198</v>
      </c>
      <c r="Z51" s="63" t="s">
        <v>3198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3198</v>
      </c>
      <c r="J55" s="63" t="s">
        <v>3198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3199</v>
      </c>
      <c r="E1" s="2" t="s">
        <v>3200</v>
      </c>
      <c r="F1" s="3" t="s">
        <v>3201</v>
      </c>
    </row>
    <row r="2" ht="20.25" spans="1:1">
      <c r="A2" s="4" t="s">
        <v>3202</v>
      </c>
    </row>
    <row r="3" ht="16.5" spans="1:1">
      <c r="A3" s="5" t="s">
        <v>3203</v>
      </c>
    </row>
    <row r="4" ht="14.25" spans="1:13">
      <c r="A4" s="6" t="s">
        <v>501</v>
      </c>
      <c r="B4" s="7" t="s">
        <v>461</v>
      </c>
      <c r="C4" s="8"/>
      <c r="D4" s="9"/>
      <c r="E4" s="7" t="s">
        <v>462</v>
      </c>
      <c r="F4" s="8"/>
      <c r="G4" s="9"/>
      <c r="H4" s="7" t="s">
        <v>2473</v>
      </c>
      <c r="I4" s="8"/>
      <c r="J4" s="9"/>
      <c r="K4" s="7" t="s">
        <v>2431</v>
      </c>
      <c r="L4" s="8"/>
      <c r="M4" s="9"/>
    </row>
    <row r="5" ht="14.25" spans="1:13">
      <c r="A5" s="10" t="s">
        <v>210</v>
      </c>
      <c r="B5" s="6" t="s">
        <v>3204</v>
      </c>
      <c r="C5" s="6" t="s">
        <v>3205</v>
      </c>
      <c r="D5" s="6" t="s">
        <v>3206</v>
      </c>
      <c r="E5" s="6" t="s">
        <v>3204</v>
      </c>
      <c r="F5" s="6" t="s">
        <v>3205</v>
      </c>
      <c r="G5" s="6" t="s">
        <v>3206</v>
      </c>
      <c r="H5" s="6" t="s">
        <v>3204</v>
      </c>
      <c r="I5" s="6" t="s">
        <v>3205</v>
      </c>
      <c r="J5" s="6" t="s">
        <v>3206</v>
      </c>
      <c r="K5" s="6" t="s">
        <v>3204</v>
      </c>
      <c r="L5" s="6" t="s">
        <v>3205</v>
      </c>
      <c r="M5" s="6" t="s">
        <v>3206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9" spans="1:4">
      <c r="A9" s="3351"/>
      <c r="B9" s="3351"/>
      <c r="C9" s="3351"/>
      <c r="D9" s="3351"/>
    </row>
    <row r="10" ht="18.75" spans="1:4">
      <c r="A10" s="3342" t="s">
        <v>125</v>
      </c>
      <c r="B10" s="3351"/>
      <c r="C10" s="3351"/>
      <c r="D10" s="3351"/>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4"/>
      <c r="C12" s="3354"/>
      <c r="D12" s="3354"/>
    </row>
    <row r="13" ht="30" customHeight="1" spans="1:4">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ht="15.75" customHeight="1" spans="1:4">
      <c r="A14" s="3353" t="str">
        <f>IF(项目基本情况!B8="抵押","4.本次评估估价师所知悉的法定优先受偿款情况说明如下：","——")</f>
        <v>4.本次评估估价师所知悉的法定优先受偿款情况说明如下：</v>
      </c>
      <c r="B14" s="3354"/>
      <c r="C14" s="3354"/>
      <c r="D14" s="3354"/>
    </row>
    <row r="15" ht="42" customHeight="1" spans="1:4">
      <c r="A15" s="3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故，本次评估不存在估价师知悉的法定优先受偿款</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2504"/>
      <c r="C23" s="2504"/>
      <c r="D23" s="2504"/>
    </row>
    <row r="24" spans="1:4">
      <c r="A24" s="3358"/>
      <c r="B24" s="2504"/>
      <c r="C24" s="2504"/>
      <c r="D24" s="2504"/>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38" customWidth="1"/>
    <col min="3" max="10" width="12.5" style="3338" customWidth="1"/>
    <col min="11" max="16384" width="9" style="3338"/>
  </cols>
  <sheetData>
    <row r="1" ht="18.75" spans="1:10">
      <c r="A1" s="3339" t="s">
        <v>133</v>
      </c>
      <c r="B1" s="3340"/>
      <c r="C1" s="3340"/>
      <c r="D1" s="3340"/>
      <c r="E1" s="3340"/>
      <c r="F1" s="3340"/>
      <c r="G1" s="3340"/>
      <c r="H1" s="3340"/>
      <c r="I1" s="3340"/>
      <c r="J1" s="3340"/>
    </row>
    <row r="2" ht="18.75" spans="1:10">
      <c r="A2" s="3341"/>
      <c r="B2" s="3340"/>
      <c r="C2" s="3340"/>
      <c r="D2" s="3340"/>
      <c r="E2" s="3340"/>
      <c r="F2" s="3340"/>
      <c r="G2" s="3340"/>
      <c r="H2" s="3340"/>
      <c r="I2" s="3340"/>
      <c r="J2" s="3340"/>
    </row>
    <row r="3" spans="1:10">
      <c r="A3" s="3340"/>
      <c r="B3" s="3340"/>
      <c r="C3" s="3340"/>
      <c r="D3" s="3340"/>
      <c r="E3" s="3340"/>
      <c r="F3" s="3340"/>
      <c r="G3" s="3340"/>
      <c r="H3" s="3340"/>
      <c r="I3" s="3340"/>
      <c r="J3" s="3340"/>
    </row>
    <row r="4" spans="1:10">
      <c r="A4" s="3340"/>
      <c r="B4" s="3340"/>
      <c r="C4" s="3340"/>
      <c r="D4" s="3340"/>
      <c r="E4" s="3340"/>
      <c r="F4" s="3340"/>
      <c r="G4" s="3340"/>
      <c r="H4" s="3340"/>
      <c r="I4" s="3340"/>
      <c r="J4" s="3340"/>
    </row>
    <row r="5" spans="1:10">
      <c r="A5" s="3340"/>
      <c r="B5" s="3340"/>
      <c r="C5" s="3340"/>
      <c r="D5" s="3340"/>
      <c r="E5" s="3340"/>
      <c r="F5" s="3340"/>
      <c r="G5" s="3340"/>
      <c r="H5" s="3340"/>
      <c r="I5" s="3340"/>
      <c r="J5" s="3340"/>
    </row>
    <row r="6" spans="1:10">
      <c r="A6" s="3340"/>
      <c r="B6" s="3340"/>
      <c r="C6" s="3340"/>
      <c r="D6" s="3340"/>
      <c r="E6" s="3340"/>
      <c r="F6" s="3340"/>
      <c r="G6" s="3340"/>
      <c r="H6" s="3340"/>
      <c r="I6" s="3340"/>
      <c r="J6" s="3340"/>
    </row>
    <row r="7" spans="1:10">
      <c r="A7" s="3340"/>
      <c r="B7" s="3340"/>
      <c r="C7" s="3340"/>
      <c r="D7" s="3340"/>
      <c r="E7" s="3340"/>
      <c r="F7" s="3340"/>
      <c r="G7" s="3340"/>
      <c r="H7" s="3340"/>
      <c r="I7" s="3340"/>
      <c r="J7" s="3340"/>
    </row>
    <row r="8" spans="1:10">
      <c r="A8" s="3340"/>
      <c r="B8" s="3340"/>
      <c r="C8" s="3340"/>
      <c r="D8" s="3340"/>
      <c r="E8" s="3340"/>
      <c r="F8" s="3340"/>
      <c r="G8" s="3340"/>
      <c r="H8" s="3340"/>
      <c r="I8" s="3340"/>
      <c r="J8" s="3340"/>
    </row>
    <row r="9" spans="1:10">
      <c r="A9" s="3340"/>
      <c r="B9" s="3340"/>
      <c r="C9" s="3340"/>
      <c r="D9" s="3340"/>
      <c r="E9" s="3340"/>
      <c r="F9" s="3340"/>
      <c r="G9" s="3340"/>
      <c r="H9" s="3340"/>
      <c r="I9" s="3340"/>
      <c r="J9" s="3340"/>
    </row>
    <row r="10" spans="1:10">
      <c r="A10" s="3340"/>
      <c r="B10" s="3340"/>
      <c r="C10" s="3340"/>
      <c r="D10" s="3340"/>
      <c r="E10" s="3340"/>
      <c r="F10" s="3340"/>
      <c r="G10" s="3340"/>
      <c r="H10" s="3340"/>
      <c r="I10" s="3340"/>
      <c r="J10" s="3340"/>
    </row>
    <row r="11" spans="1:10">
      <c r="A11" s="3340"/>
      <c r="B11" s="3340"/>
      <c r="C11" s="3340"/>
      <c r="D11" s="3340"/>
      <c r="E11" s="3340"/>
      <c r="F11" s="3340"/>
      <c r="G11" s="3340"/>
      <c r="H11" s="3340"/>
      <c r="I11" s="3340"/>
      <c r="J11" s="3340"/>
    </row>
    <row r="12" spans="1:10">
      <c r="A12" s="3340"/>
      <c r="B12" s="3340"/>
      <c r="C12" s="3340"/>
      <c r="D12" s="3340"/>
      <c r="E12" s="3340"/>
      <c r="F12" s="3340"/>
      <c r="G12" s="3340"/>
      <c r="H12" s="3340"/>
      <c r="I12" s="3340"/>
      <c r="J12" s="3340"/>
    </row>
    <row r="13" spans="1:10">
      <c r="A13" s="3340"/>
      <c r="B13" s="3340"/>
      <c r="C13" s="3340"/>
      <c r="D13" s="3340"/>
      <c r="E13" s="3340"/>
      <c r="F13" s="3340"/>
      <c r="G13" s="3340"/>
      <c r="H13" s="3340"/>
      <c r="I13" s="3340"/>
      <c r="J13" s="3340"/>
    </row>
    <row r="14" spans="1:10">
      <c r="A14" s="3340"/>
      <c r="B14" s="3340"/>
      <c r="C14" s="3340"/>
      <c r="D14" s="3340"/>
      <c r="E14" s="3340"/>
      <c r="F14" s="3340"/>
      <c r="G14" s="3340"/>
      <c r="H14" s="3340"/>
      <c r="I14" s="3340"/>
      <c r="J14" s="3340"/>
    </row>
    <row r="15" spans="1:10">
      <c r="A15" s="3340"/>
      <c r="B15" s="3340"/>
      <c r="C15" s="3340"/>
      <c r="D15" s="3340"/>
      <c r="E15" s="3340"/>
      <c r="F15" s="3340"/>
      <c r="G15" s="3340"/>
      <c r="H15" s="3340"/>
      <c r="I15" s="3340"/>
      <c r="J15" s="3340"/>
    </row>
    <row r="16" spans="1:10">
      <c r="A16" s="3340"/>
      <c r="B16" s="3340"/>
      <c r="C16" s="3340"/>
      <c r="D16" s="3340"/>
      <c r="E16" s="3340"/>
      <c r="F16" s="3340"/>
      <c r="G16" s="3340"/>
      <c r="H16" s="3340"/>
      <c r="I16" s="3340"/>
      <c r="J16" s="3340"/>
    </row>
    <row r="17" spans="1:10">
      <c r="A17" s="3340"/>
      <c r="B17" s="3340"/>
      <c r="C17" s="3340"/>
      <c r="D17" s="3340"/>
      <c r="E17" s="3340"/>
      <c r="F17" s="3340"/>
      <c r="G17" s="3340"/>
      <c r="H17" s="3340"/>
      <c r="I17" s="3340"/>
      <c r="J17" s="3340"/>
    </row>
    <row r="18" spans="1:10">
      <c r="A18" s="3340"/>
      <c r="B18" s="3340"/>
      <c r="C18" s="3340"/>
      <c r="D18" s="3340"/>
      <c r="E18" s="3340"/>
      <c r="F18" s="3340"/>
      <c r="G18" s="3340"/>
      <c r="H18" s="3340"/>
      <c r="I18" s="3340"/>
      <c r="J18" s="3340"/>
    </row>
    <row r="19" spans="1:10">
      <c r="A19" s="3340"/>
      <c r="B19" s="3340"/>
      <c r="C19" s="3340"/>
      <c r="D19" s="3340"/>
      <c r="E19" s="3340"/>
      <c r="F19" s="3340"/>
      <c r="G19" s="3340"/>
      <c r="H19" s="3340"/>
      <c r="I19" s="3340"/>
      <c r="J19" s="3340"/>
    </row>
    <row r="20" spans="1:10">
      <c r="A20" s="3340"/>
      <c r="B20" s="3340"/>
      <c r="C20" s="3340"/>
      <c r="D20" s="3340"/>
      <c r="E20" s="3340"/>
      <c r="F20" s="3340"/>
      <c r="G20" s="3340"/>
      <c r="H20" s="3340"/>
      <c r="I20" s="3340"/>
      <c r="J20" s="3340"/>
    </row>
    <row r="21" spans="1:10">
      <c r="A21" s="3340"/>
      <c r="B21" s="3340"/>
      <c r="C21" s="3340"/>
      <c r="D21" s="3340"/>
      <c r="E21" s="3340"/>
      <c r="F21" s="3340"/>
      <c r="G21" s="3340"/>
      <c r="H21" s="3340"/>
      <c r="I21" s="3340"/>
      <c r="J21" s="3340"/>
    </row>
    <row r="22" spans="1:10">
      <c r="A22" s="3340"/>
      <c r="B22" s="3340"/>
      <c r="C22" s="3340"/>
      <c r="D22" s="3340"/>
      <c r="E22" s="3340"/>
      <c r="F22" s="3340"/>
      <c r="G22" s="3340"/>
      <c r="H22" s="3340"/>
      <c r="I22" s="3340"/>
      <c r="J22" s="3340"/>
    </row>
    <row r="23" spans="1:10">
      <c r="A23" s="3340"/>
      <c r="B23" s="3340"/>
      <c r="C23" s="3340"/>
      <c r="D23" s="3340"/>
      <c r="E23" s="3340"/>
      <c r="F23" s="3340"/>
      <c r="G23" s="3340"/>
      <c r="H23" s="3340"/>
      <c r="I23" s="3340"/>
      <c r="J23" s="3340"/>
    </row>
    <row r="24" spans="1:10">
      <c r="A24" s="3340"/>
      <c r="B24" s="3340"/>
      <c r="C24" s="3340"/>
      <c r="D24" s="3340"/>
      <c r="E24" s="3340"/>
      <c r="F24" s="3340"/>
      <c r="G24" s="3340"/>
      <c r="H24" s="3340"/>
      <c r="I24" s="3340"/>
      <c r="J24" s="3340"/>
    </row>
    <row r="25" spans="1:10">
      <c r="A25" s="3340"/>
      <c r="B25" s="3340"/>
      <c r="C25" s="3340"/>
      <c r="D25" s="3340"/>
      <c r="E25" s="3340"/>
      <c r="F25" s="3340"/>
      <c r="G25" s="3340"/>
      <c r="H25" s="3340"/>
      <c r="I25" s="3340"/>
      <c r="J25" s="3340"/>
    </row>
    <row r="26" spans="1:10">
      <c r="A26" s="3340"/>
      <c r="B26" s="3340"/>
      <c r="C26" s="3340"/>
      <c r="D26" s="3340"/>
      <c r="E26" s="3340"/>
      <c r="F26" s="3340"/>
      <c r="G26" s="3340"/>
      <c r="H26" s="3340"/>
      <c r="I26" s="3340"/>
      <c r="J26" s="3340"/>
    </row>
    <row r="27" spans="1:10">
      <c r="A27" s="3340"/>
      <c r="B27" s="3340"/>
      <c r="C27" s="3340"/>
      <c r="D27" s="3340"/>
      <c r="E27" s="3340"/>
      <c r="F27" s="3340"/>
      <c r="G27" s="3340"/>
      <c r="H27" s="3340"/>
      <c r="I27" s="3340"/>
      <c r="J27" s="3340"/>
    </row>
    <row r="28" spans="1:10">
      <c r="A28" s="3340"/>
      <c r="B28" s="3340"/>
      <c r="C28" s="3340"/>
      <c r="D28" s="3340"/>
      <c r="E28" s="3340"/>
      <c r="F28" s="3340"/>
      <c r="G28" s="3340"/>
      <c r="H28" s="3340"/>
      <c r="I28" s="3340"/>
      <c r="J28" s="3340"/>
    </row>
    <row r="29" spans="1:10">
      <c r="A29" s="3340"/>
      <c r="B29" s="3340"/>
      <c r="C29" s="3340"/>
      <c r="D29" s="3340"/>
      <c r="E29" s="3340"/>
      <c r="F29" s="3340"/>
      <c r="G29" s="3340"/>
      <c r="H29" s="3340"/>
      <c r="I29" s="3340"/>
      <c r="J29" s="3340"/>
    </row>
    <row r="30" spans="1:10">
      <c r="A30" s="3340"/>
      <c r="B30" s="3340"/>
      <c r="C30" s="3340"/>
      <c r="D30" s="3340"/>
      <c r="E30" s="3340"/>
      <c r="F30" s="3340"/>
      <c r="G30" s="3340"/>
      <c r="H30" s="3340"/>
      <c r="I30" s="3340"/>
      <c r="J30" s="3340"/>
    </row>
    <row r="31" spans="1:10">
      <c r="A31" s="3340"/>
      <c r="B31" s="3340"/>
      <c r="C31" s="3340"/>
      <c r="D31" s="3340"/>
      <c r="E31" s="3340"/>
      <c r="F31" s="3340"/>
      <c r="G31" s="3340"/>
      <c r="H31" s="3340"/>
      <c r="I31" s="3340"/>
      <c r="J31" s="33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3262"/>
  </cols>
  <sheetData>
    <row r="1" s="3313" customFormat="1" ht="18.75" spans="1:1">
      <c r="A1" s="3315" t="s">
        <v>134</v>
      </c>
    </row>
    <row r="3" spans="1:7">
      <c r="A3" s="3316" t="s">
        <v>135</v>
      </c>
      <c r="B3" s="3262" t="s">
        <v>136</v>
      </c>
      <c r="G3" s="3317"/>
    </row>
    <row r="4" spans="7:7">
      <c r="G4" s="3317"/>
    </row>
    <row r="5" spans="1:7">
      <c r="A5" s="3318" t="s">
        <v>137</v>
      </c>
      <c r="B5" s="3262" t="s">
        <v>138</v>
      </c>
      <c r="G5" s="3317"/>
    </row>
    <row r="6" spans="7:7">
      <c r="G6" s="3317"/>
    </row>
    <row r="7" spans="1:7">
      <c r="A7" s="3319" t="s">
        <v>139</v>
      </c>
      <c r="B7" s="3262" t="s">
        <v>140</v>
      </c>
      <c r="G7" s="3317"/>
    </row>
    <row r="8" spans="7:7">
      <c r="G8" s="3317"/>
    </row>
    <row r="9" spans="1:2">
      <c r="A9" s="3320" t="s">
        <v>141</v>
      </c>
      <c r="B9" s="3262"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81" customWidth="1"/>
    <col min="2" max="2" width="38.625" style="3281" customWidth="1"/>
    <col min="3" max="3" width="26" style="3281" customWidth="1"/>
    <col min="4" max="4" width="35" style="3281" hidden="1" customWidth="1"/>
    <col min="5" max="5" width="30.125" style="3281" customWidth="1"/>
    <col min="6" max="6" width="35.5" style="3281" customWidth="1"/>
    <col min="7" max="7" width="31" style="3281" customWidth="1"/>
    <col min="8" max="8" width="37.5" style="3281" hidden="1" customWidth="1"/>
    <col min="9" max="16384" width="22.625" style="3281"/>
  </cols>
  <sheetData>
    <row r="1" customHeight="1" spans="1:8">
      <c r="A1" s="3282"/>
      <c r="B1" s="3282"/>
      <c r="C1" s="3282"/>
      <c r="D1" s="3282"/>
      <c r="E1" s="3282"/>
      <c r="F1" s="3282"/>
      <c r="G1" s="3282"/>
      <c r="H1" s="3282"/>
    </row>
    <row r="2" customHeight="1" spans="1:8">
      <c r="A2" s="3283" t="s">
        <v>175</v>
      </c>
      <c r="B2" s="3284">
        <f ca="1">TODAY()</f>
        <v>44195</v>
      </c>
      <c r="C2" s="3285" t="s">
        <v>176</v>
      </c>
      <c r="D2" s="3285"/>
      <c r="E2" s="3285"/>
      <c r="F2" s="3282"/>
      <c r="G2" s="3282"/>
      <c r="H2" s="3282"/>
    </row>
    <row r="3" customHeight="1" spans="1:8">
      <c r="A3" s="3286" t="s">
        <v>177</v>
      </c>
      <c r="B3" s="3287" t="s">
        <v>178</v>
      </c>
      <c r="C3" s="3287" t="s">
        <v>179</v>
      </c>
      <c r="D3" s="3288" t="s">
        <v>180</v>
      </c>
      <c r="E3" s="3289" t="s">
        <v>181</v>
      </c>
      <c r="F3" s="3290" t="s">
        <v>182</v>
      </c>
      <c r="G3" s="3287" t="s">
        <v>179</v>
      </c>
      <c r="H3" s="3288" t="s">
        <v>183</v>
      </c>
    </row>
    <row r="4" customHeight="1" spans="1:8">
      <c r="A4" s="3290" t="s">
        <v>184</v>
      </c>
      <c r="B4" s="3290">
        <f ca="1">IF(C4&lt;B2,"已过期",1119970066)</f>
        <v>1119970066</v>
      </c>
      <c r="C4" s="3291">
        <v>44876</v>
      </c>
      <c r="D4" s="3292" t="str">
        <f ca="1">A4&amp;"（注册号："&amp;B4&amp;"）"</f>
        <v>梁津（注册号：1119970066）</v>
      </c>
      <c r="E4" s="3293" t="s">
        <v>184</v>
      </c>
      <c r="F4" s="3290">
        <f ca="1">IF(G4&lt;B2,"已过期",96010014)</f>
        <v>96010014</v>
      </c>
      <c r="G4" s="3294">
        <v>47118</v>
      </c>
      <c r="H4" s="3295" t="str">
        <f ca="1">E4&amp;"（注册号："&amp;F4&amp;"）"</f>
        <v>梁津（注册号：96010014）</v>
      </c>
    </row>
    <row r="5" customHeight="1" spans="1:8">
      <c r="A5" s="3290" t="s">
        <v>185</v>
      </c>
      <c r="B5" s="3290">
        <f ca="1">IF(C5&lt;B2,"已过期",1119970111)</f>
        <v>1119970111</v>
      </c>
      <c r="C5" s="3291">
        <v>44876</v>
      </c>
      <c r="D5" s="3292" t="str">
        <f ca="1" t="shared" ref="D5:D16" si="0">A5&amp;"（注册号："&amp;B5&amp;"）"</f>
        <v>叶凌（注册号：1119970111）</v>
      </c>
      <c r="E5" s="3293" t="s">
        <v>185</v>
      </c>
      <c r="F5" s="3290">
        <f ca="1">IF(G5&lt;B2,"已过期",94010078)</f>
        <v>94010078</v>
      </c>
      <c r="G5" s="3294">
        <v>46387</v>
      </c>
      <c r="H5" s="3295" t="str">
        <f ca="1" t="shared" ref="H5:H16" si="1">E5&amp;"（注册号："&amp;F5&amp;"）"</f>
        <v>叶凌（注册号：94010078）</v>
      </c>
    </row>
    <row r="6" customHeight="1" spans="1:8">
      <c r="A6" s="3290" t="s">
        <v>186</v>
      </c>
      <c r="B6" s="3290">
        <f ca="1">IF(C6&lt;B2,"已过期",1120050019)</f>
        <v>1120050019</v>
      </c>
      <c r="C6" s="3291">
        <v>44395</v>
      </c>
      <c r="D6" s="3292" t="str">
        <f ca="1" t="shared" si="0"/>
        <v>王鹏（注册号：1120050019）</v>
      </c>
      <c r="E6" s="3293" t="s">
        <v>186</v>
      </c>
      <c r="F6" s="3290">
        <f ca="1">IF(G6&lt;B2,"已过期",2002110030)</f>
        <v>2002110030</v>
      </c>
      <c r="G6" s="3294">
        <v>46387</v>
      </c>
      <c r="H6" s="3295" t="str">
        <f ca="1" t="shared" si="1"/>
        <v>王鹏（注册号：2002110030）</v>
      </c>
    </row>
    <row r="7" customHeight="1" spans="1:8">
      <c r="A7" s="3290" t="s">
        <v>187</v>
      </c>
      <c r="B7" s="3290">
        <f ca="1">IF(C7&lt;B2,"已过期",1120000080)</f>
        <v>1120000080</v>
      </c>
      <c r="C7" s="3291">
        <v>44876</v>
      </c>
      <c r="D7" s="3292" t="str">
        <f ca="1" t="shared" si="0"/>
        <v>欧红伟（注册号：1120000080）</v>
      </c>
      <c r="E7" s="3293" t="s">
        <v>187</v>
      </c>
      <c r="F7" s="3290">
        <f ca="1">IF(G7&lt;B2,"已过期",2000110082)</f>
        <v>2000110082</v>
      </c>
      <c r="G7" s="3294">
        <v>46387</v>
      </c>
      <c r="H7" s="3295" t="str">
        <f ca="1" t="shared" si="1"/>
        <v>欧红伟（注册号：2000110082）</v>
      </c>
    </row>
    <row r="8" customHeight="1" spans="1:8">
      <c r="A8" s="3290" t="s">
        <v>188</v>
      </c>
      <c r="B8" s="3290">
        <f ca="1">IF(C8&lt;B2,"已过期",1419970001)</f>
        <v>1419970001</v>
      </c>
      <c r="C8" s="3291">
        <v>44899</v>
      </c>
      <c r="D8" s="3292" t="str">
        <f ca="1" t="shared" si="0"/>
        <v>吴薇（注册号：1419970001）</v>
      </c>
      <c r="E8" s="3293" t="s">
        <v>188</v>
      </c>
      <c r="F8" s="3290">
        <f ca="1">IF(G8&lt;B2,"已过期",2002110125)</f>
        <v>2002110125</v>
      </c>
      <c r="G8" s="3294">
        <v>47118</v>
      </c>
      <c r="H8" s="3295" t="str">
        <f ca="1" t="shared" si="1"/>
        <v>吴薇（注册号：2002110125）</v>
      </c>
    </row>
    <row r="9" customHeight="1" spans="1:8">
      <c r="A9" s="3290" t="s">
        <v>189</v>
      </c>
      <c r="B9" s="3290">
        <f ca="1">IF(C9&lt;B2,"已过期",1120060040)</f>
        <v>1120060040</v>
      </c>
      <c r="C9" s="3296">
        <v>44554</v>
      </c>
      <c r="D9" s="3292" t="str">
        <f ca="1" t="shared" si="0"/>
        <v>陈颖（注册号：1120060040）</v>
      </c>
      <c r="E9" s="3293" t="s">
        <v>189</v>
      </c>
      <c r="F9" s="3290">
        <f ca="1">IF(G9&lt;B2,"已过期",2004110096)</f>
        <v>2004110096</v>
      </c>
      <c r="G9" s="3294">
        <v>47118</v>
      </c>
      <c r="H9" s="3295" t="str">
        <f ca="1" t="shared" si="1"/>
        <v>陈颖（注册号：2004110096）</v>
      </c>
    </row>
    <row r="10" customHeight="1" spans="1:8">
      <c r="A10" s="3290" t="s">
        <v>190</v>
      </c>
      <c r="B10" s="3290">
        <f ca="1">IF(C10&lt;B2,"已过期",1120100036)</f>
        <v>1120100036</v>
      </c>
      <c r="C10" s="3296">
        <v>44675</v>
      </c>
      <c r="D10" s="3292" t="str">
        <f ca="1" t="shared" si="0"/>
        <v>崔锴（注册号：1120100036）</v>
      </c>
      <c r="E10" s="3293" t="s">
        <v>190</v>
      </c>
      <c r="F10" s="3290">
        <f ca="1">IF(G10&lt;B2,"已过期",2010110070)</f>
        <v>2010110070</v>
      </c>
      <c r="G10" s="3294">
        <v>47907</v>
      </c>
      <c r="H10" s="3295" t="str">
        <f ca="1" t="shared" si="1"/>
        <v>崔锴（注册号：2010110070）</v>
      </c>
    </row>
    <row r="11" customHeight="1" spans="1:8">
      <c r="A11" s="3290" t="s">
        <v>191</v>
      </c>
      <c r="B11" s="3290">
        <f ca="1">IF(C11&lt;B2,"已过期",1120070131)</f>
        <v>1120070131</v>
      </c>
      <c r="C11" s="3291">
        <v>44849</v>
      </c>
      <c r="D11" s="3292" t="str">
        <f ca="1" t="shared" si="0"/>
        <v>郑燚（注册号：1120070131）</v>
      </c>
      <c r="E11" s="3293" t="s">
        <v>191</v>
      </c>
      <c r="F11" s="3290">
        <f ca="1">IF(G11&lt;B2,"已过期",2014110011)</f>
        <v>2014110011</v>
      </c>
      <c r="G11" s="3294">
        <v>49302</v>
      </c>
      <c r="H11" s="3295" t="str">
        <f ca="1" t="shared" si="1"/>
        <v>郑燚（注册号：2014110011）</v>
      </c>
    </row>
    <row r="12" customHeight="1" spans="1:8">
      <c r="A12" s="3290" t="s">
        <v>192</v>
      </c>
      <c r="B12" s="3290">
        <f ca="1">IF(C12&lt;B2,"已过期",1120040230)</f>
        <v>1120040230</v>
      </c>
      <c r="C12" s="3296">
        <v>44864</v>
      </c>
      <c r="D12" s="3292" t="str">
        <f ca="1" t="shared" si="0"/>
        <v>苏海（注册号：1120040230）</v>
      </c>
      <c r="E12" s="3293" t="s">
        <v>192</v>
      </c>
      <c r="F12" s="3290">
        <f ca="1">IF(G12&lt;B2,"已过期",98030020)</f>
        <v>98030020</v>
      </c>
      <c r="G12" s="3294">
        <v>47118</v>
      </c>
      <c r="H12" s="3295" t="str">
        <f ca="1" t="shared" si="1"/>
        <v>苏海（注册号：98030020）</v>
      </c>
    </row>
    <row r="13" customHeight="1" spans="1:8">
      <c r="A13" s="3290" t="s">
        <v>193</v>
      </c>
      <c r="B13" s="3290">
        <f ca="1">IF(C13&lt;B2,"已过期",1120020033)</f>
        <v>1120020033</v>
      </c>
      <c r="C13" s="3291">
        <v>44339</v>
      </c>
      <c r="D13" s="3292" t="str">
        <f ca="1" t="shared" si="0"/>
        <v>刘敬东（注册号：1120020033）</v>
      </c>
      <c r="E13" s="3293" t="s">
        <v>193</v>
      </c>
      <c r="F13" s="3290">
        <f ca="1">IF(G13&lt;B2,"已过期",2000110137)</f>
        <v>2000110137</v>
      </c>
      <c r="G13" s="3294">
        <v>46387</v>
      </c>
      <c r="H13" s="3295" t="str">
        <f ca="1" t="shared" si="1"/>
        <v>刘敬东（注册号：2000110137）</v>
      </c>
    </row>
    <row r="14" customHeight="1" spans="1:8">
      <c r="A14" s="3290" t="s">
        <v>194</v>
      </c>
      <c r="B14" s="3290">
        <f ca="1">IF(C14&lt;B2,"已过期",1119980106)</f>
        <v>1119980106</v>
      </c>
      <c r="C14" s="3296">
        <v>44969</v>
      </c>
      <c r="D14" s="3292" t="str">
        <f ca="1" t="shared" si="0"/>
        <v>刘俊财（注册号：1119980106）</v>
      </c>
      <c r="E14" s="3293" t="s">
        <v>194</v>
      </c>
      <c r="F14" s="3290">
        <f ca="1">IF(G14&lt;B2,"已过期",96010063)</f>
        <v>96010063</v>
      </c>
      <c r="G14" s="3294">
        <v>47483</v>
      </c>
      <c r="H14" s="3295" t="str">
        <f ca="1" t="shared" si="1"/>
        <v>刘俊财（注册号：96010063）</v>
      </c>
    </row>
    <row r="15" customHeight="1" spans="1:8">
      <c r="A15" s="3290"/>
      <c r="B15" s="3290"/>
      <c r="C15" s="3296"/>
      <c r="D15" s="3292" t="str">
        <f ca="1" t="shared" si="0"/>
        <v>（注册号：）</v>
      </c>
      <c r="E15" s="3293" t="s">
        <v>195</v>
      </c>
      <c r="F15" s="3290">
        <f ca="1">IF(G15&lt;B2,"已过期",2011110090)</f>
        <v>2011110090</v>
      </c>
      <c r="G15" s="3294">
        <v>48302</v>
      </c>
      <c r="H15" s="3295" t="str">
        <f ca="1" t="shared" si="1"/>
        <v>赵雯（注册号：2011110090）</v>
      </c>
    </row>
    <row r="16" s="3279" customFormat="1" customHeight="1" spans="1:8">
      <c r="A16" s="3290"/>
      <c r="B16" s="3290"/>
      <c r="C16" s="3290"/>
      <c r="D16" s="3292" t="str">
        <f ca="1" t="shared" si="0"/>
        <v>（注册号：）</v>
      </c>
      <c r="E16" s="3293"/>
      <c r="F16" s="3290"/>
      <c r="G16" s="3290"/>
      <c r="H16" s="3297" t="str">
        <f ca="1" t="shared" si="1"/>
        <v>（注册号：）</v>
      </c>
    </row>
    <row r="17" customHeight="1" spans="1:8">
      <c r="A17" s="3298" t="s">
        <v>196</v>
      </c>
      <c r="B17" s="3298"/>
      <c r="C17" s="3298"/>
      <c r="D17" s="3298"/>
      <c r="E17" s="3298"/>
      <c r="F17" s="3298"/>
      <c r="G17" s="3298"/>
      <c r="H17" s="3298"/>
    </row>
    <row r="18" customHeight="1" spans="1:7">
      <c r="A18" s="3287" t="s">
        <v>197</v>
      </c>
      <c r="B18" s="3287"/>
      <c r="C18" s="3287"/>
      <c r="D18" s="3288"/>
      <c r="E18" s="3299" t="s">
        <v>198</v>
      </c>
      <c r="F18" s="3287"/>
      <c r="G18" s="3287"/>
    </row>
    <row r="19" s="3280" customFormat="1" customHeight="1" spans="1:7">
      <c r="A19" s="3300" t="s">
        <v>199</v>
      </c>
      <c r="B19" s="3287" t="s">
        <v>200</v>
      </c>
      <c r="C19" s="3287" t="s">
        <v>179</v>
      </c>
      <c r="D19" s="3288"/>
      <c r="E19" s="3293" t="s">
        <v>199</v>
      </c>
      <c r="F19" s="3287" t="s">
        <v>200</v>
      </c>
      <c r="G19" s="3287" t="s">
        <v>179</v>
      </c>
    </row>
    <row r="20" s="3280" customFormat="1" customHeight="1" spans="1:7">
      <c r="A20" s="3301" t="s">
        <v>201</v>
      </c>
      <c r="B20" s="3301" t="s">
        <v>202</v>
      </c>
      <c r="C20" s="3294">
        <v>44820</v>
      </c>
      <c r="D20" s="3302"/>
      <c r="E20" s="3303" t="s">
        <v>203</v>
      </c>
      <c r="F20" s="3301" t="s">
        <v>204</v>
      </c>
      <c r="G20" s="3304">
        <v>44377</v>
      </c>
    </row>
    <row r="21" s="3280" customFormat="1" customHeight="1" spans="1:7">
      <c r="A21" s="3301"/>
      <c r="B21" s="3301"/>
      <c r="C21" s="3305"/>
      <c r="D21" s="3306"/>
      <c r="E21" s="3303" t="s">
        <v>205</v>
      </c>
      <c r="F21" s="3307" t="s">
        <v>206</v>
      </c>
      <c r="G21" s="3308">
        <v>44012</v>
      </c>
    </row>
    <row r="22" customHeight="1" spans="3:7">
      <c r="C22" s="3309"/>
      <c r="D22" s="3309"/>
      <c r="E22" s="3310"/>
      <c r="F22" s="3311"/>
      <c r="G22" s="331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Sheet1</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2020-12-30T08:04:13Z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