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8\2018-1-0062绿城中交门头沟项目-5成贷8亿\2018-1-0062-F01DYGJ1\"/>
    </mc:Choice>
  </mc:AlternateContent>
  <bookViews>
    <workbookView xWindow="480" yWindow="210" windowWidth="12120" windowHeight="7620" tabRatio="895" firstSheet="15"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商业" sheetId="33" r:id="rId22"/>
    <sheet name="典型户型修正" sheetId="31" r:id="rId23"/>
    <sheet name="收益法 (元)" sheetId="67" state="hidden" r:id="rId24"/>
    <sheet name="收益法（汇总）" sheetId="70" r:id="rId25"/>
    <sheet name="酒店收入计算" sheetId="66"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收益法-已出租" sheetId="15" r:id="rId39"/>
    <sheet name="收益法-未出租" sheetId="82" r:id="rId40"/>
    <sheet name="比较法-租金" sheetId="79"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案例" sheetId="77" r:id="rId47"/>
    <sheet name="租赁情况" sheetId="81" r:id="rId48"/>
    <sheet name="Sheet1" sheetId="80" r:id="rId49"/>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1" hidden="1">'比较法-商业'!$A$1:$L$49</definedName>
    <definedName name="_xlnm._FilterDatabase" localSheetId="26" hidden="1">'比较法-住宅'!$A$1:$L$49</definedName>
    <definedName name="_xlnm._FilterDatabase" localSheetId="40" hidden="1">'比较法-租金'!$A$1:$L$49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 (元)'!$A$1:$AK$69</definedName>
    <definedName name="_xlnm.Print_Area" localSheetId="39">'收益法-未出租'!$A$1:$AK$69</definedName>
    <definedName name="_xlnm.Print_Area" localSheetId="38">'收益法-已出租'!$A$1:$AK$69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 localSheetId="40">'比较法-租金'!$B$116:$M$116</definedName>
    <definedName name="商业层高">'比较法-商业'!$B$116:$M$116</definedName>
    <definedName name="商业成新度" localSheetId="40">'比较法-租金'!$B$109:$M$109</definedName>
    <definedName name="商业成新度">'比较法-商业'!$B$109:$M$109</definedName>
    <definedName name="商业繁华度">定义!$L$1:$L$6</definedName>
    <definedName name="商业公共部分装修" localSheetId="40">'比较法-租金'!$B$107:$M$107</definedName>
    <definedName name="商业公共部分装修">'比较法-商业'!$B$107:$M$107</definedName>
    <definedName name="商业基础设施水平" localSheetId="40">'比较法-租金'!$B$112:$M$112</definedName>
    <definedName name="商业基础设施水平">'比较法-商业'!$B$112:$M$112</definedName>
    <definedName name="商业建筑结构" localSheetId="40">'比较法-租金'!$B$105:$M$105</definedName>
    <definedName name="商业建筑结构">'比较法-商业'!$B$105:$M$105</definedName>
    <definedName name="商业交易情况" localSheetId="40">'比较法-租金'!$A$61:$M$61</definedName>
    <definedName name="商业交易情况">'比较法-商业'!$A$61:$M$61</definedName>
    <definedName name="商业街名称">修正!$C$59:$C$119</definedName>
    <definedName name="商业进深比" localSheetId="40">'比较法-租金'!$B$120:$M$120</definedName>
    <definedName name="商业进深比">'比较法-商业'!$B$120:$M$120</definedName>
    <definedName name="商业类型" localSheetId="40">'比较法-租金'!$B$100:$M$100</definedName>
    <definedName name="商业类型">'比较法-商业'!$B$100:$M$100</definedName>
    <definedName name="商业临街状况" localSheetId="40">'比较法-租金'!$B$86:$M$86</definedName>
    <definedName name="商业临街状况">'比较法-商业'!$B$86:$M$86</definedName>
    <definedName name="商业楼层" localSheetId="40">'比较法-租金'!$B$92:$M$92</definedName>
    <definedName name="商业楼层">'比较法-商业'!$B$92:$M$92</definedName>
    <definedName name="商业内部装修" localSheetId="40">'比较法-租金'!$B$122:$M$122</definedName>
    <definedName name="商业内部装修">'比较法-商业'!$B$122:$M$122</definedName>
    <definedName name="商业人流量" localSheetId="40">'比较法-租金'!$B$90:$M$90</definedName>
    <definedName name="商业人流量">'比较法-商业'!$B$90:$M$90</definedName>
    <definedName name="商业业态" localSheetId="40">'比较法-租金'!$B$114:$M$114</definedName>
    <definedName name="商业业态">'比较法-商业'!$B$114:$M$114</definedName>
    <definedName name="商业用途" localSheetId="40">'比较法-租金'!$B$63:$M$63</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F4" i="81" l="1"/>
  <c r="F5" i="81"/>
  <c r="F6" i="81"/>
  <c r="F7" i="81"/>
  <c r="F8" i="81"/>
  <c r="F9" i="81"/>
  <c r="F3" i="81"/>
  <c r="K43" i="79" l="1"/>
  <c r="K42" i="79"/>
  <c r="K41" i="79"/>
  <c r="K39" i="79"/>
  <c r="K38" i="79"/>
  <c r="K37" i="79"/>
  <c r="K36" i="79"/>
  <c r="K35" i="79"/>
  <c r="K34" i="79"/>
  <c r="K32" i="79"/>
  <c r="K27" i="79"/>
  <c r="K25" i="79"/>
  <c r="K23" i="79"/>
  <c r="K21" i="79"/>
  <c r="K19" i="79"/>
  <c r="K17" i="79"/>
  <c r="K15" i="79"/>
  <c r="K10" i="79"/>
  <c r="F52" i="15" l="1"/>
  <c r="Q72" i="82"/>
  <c r="Q59" i="82"/>
  <c r="K59" i="82"/>
  <c r="P61" i="82" s="1"/>
  <c r="F59" i="82"/>
  <c r="Q58" i="82"/>
  <c r="Q51" i="82"/>
  <c r="J50" i="82"/>
  <c r="M47" i="82"/>
  <c r="D46" i="82"/>
  <c r="F33" i="82"/>
  <c r="F61" i="82" s="1"/>
  <c r="F31" i="82"/>
  <c r="F23" i="82"/>
  <c r="D24" i="82" s="1"/>
  <c r="D22" i="82"/>
  <c r="F21" i="82"/>
  <c r="F20" i="82"/>
  <c r="M19" i="82"/>
  <c r="F18" i="82"/>
  <c r="M17" i="82"/>
  <c r="F17" i="82"/>
  <c r="F15" i="82"/>
  <c r="B22" i="81"/>
  <c r="B23" i="81" s="1"/>
  <c r="B19" i="81"/>
  <c r="B20" i="81" s="1"/>
  <c r="AD6" i="1"/>
  <c r="AB6" i="1"/>
  <c r="AA6" i="1"/>
  <c r="F70" i="15" s="1"/>
  <c r="D23" i="82" l="1"/>
  <c r="P74" i="82"/>
  <c r="C10" i="81"/>
  <c r="D10" i="81"/>
  <c r="D11" i="81" s="1"/>
  <c r="U6" i="1" s="1"/>
  <c r="AM7" i="1" l="1"/>
  <c r="AL7" i="1"/>
  <c r="AK7" i="1"/>
  <c r="Q7" i="1"/>
  <c r="L7" i="1"/>
  <c r="J7" i="1"/>
  <c r="I7" i="1"/>
  <c r="H7" i="1"/>
  <c r="B28" i="31" l="1"/>
  <c r="B29" i="31"/>
  <c r="B30" i="31"/>
  <c r="B31" i="31"/>
  <c r="B32" i="31"/>
  <c r="B33" i="31"/>
  <c r="B34" i="31"/>
  <c r="B35" i="31"/>
  <c r="B36" i="31"/>
  <c r="B37" i="31"/>
  <c r="B38" i="31"/>
  <c r="B39" i="31"/>
  <c r="B40" i="31"/>
  <c r="B41" i="31"/>
  <c r="B42" i="31"/>
  <c r="B43" i="31"/>
  <c r="B44" i="31"/>
  <c r="B45" i="31"/>
  <c r="B27" i="31"/>
  <c r="B26" i="31"/>
  <c r="B25" i="31"/>
  <c r="B24" i="31"/>
  <c r="C33" i="79" l="1"/>
  <c r="C33" i="33"/>
  <c r="B13" i="81"/>
  <c r="T9" i="31" l="1"/>
  <c r="T7" i="31"/>
  <c r="T5" i="31"/>
  <c r="D4" i="31"/>
  <c r="F4" i="31"/>
  <c r="H4" i="31"/>
  <c r="I4" i="31" s="1"/>
  <c r="J4" i="31" s="1"/>
  <c r="D3" i="31"/>
  <c r="E3" i="31"/>
  <c r="F3" i="31"/>
  <c r="G3" i="31"/>
  <c r="H3" i="31"/>
  <c r="C4" i="31"/>
  <c r="C3" i="31"/>
  <c r="G62" i="79"/>
  <c r="I47" i="79" s="1"/>
  <c r="F62" i="79"/>
  <c r="G47" i="79" s="1"/>
  <c r="E62" i="79"/>
  <c r="E47" i="79" s="1"/>
  <c r="B130" i="79"/>
  <c r="B128" i="79"/>
  <c r="H45" i="79" s="1"/>
  <c r="AB45" i="79" s="1"/>
  <c r="B126" i="79"/>
  <c r="D125" i="79"/>
  <c r="E125" i="79" s="1"/>
  <c r="F125" i="79" s="1"/>
  <c r="G125" i="79" s="1"/>
  <c r="D123" i="79"/>
  <c r="E123" i="79" s="1"/>
  <c r="D121" i="79"/>
  <c r="E121" i="79" s="1"/>
  <c r="F121" i="79" s="1"/>
  <c r="G121" i="79" s="1"/>
  <c r="H121" i="79" s="1"/>
  <c r="I121" i="79" s="1"/>
  <c r="J121" i="79" s="1"/>
  <c r="K121" i="79" s="1"/>
  <c r="L121" i="79" s="1"/>
  <c r="M121" i="79" s="1"/>
  <c r="D117" i="79"/>
  <c r="E117" i="79" s="1"/>
  <c r="F117" i="79" s="1"/>
  <c r="G117" i="79" s="1"/>
  <c r="D115" i="79"/>
  <c r="E115" i="79" s="1"/>
  <c r="F115" i="79" s="1"/>
  <c r="G115" i="79" s="1"/>
  <c r="H115" i="79" s="1"/>
  <c r="I115" i="79" s="1"/>
  <c r="J115" i="79" s="1"/>
  <c r="K115" i="79" s="1"/>
  <c r="L115" i="79" s="1"/>
  <c r="M115" i="79" s="1"/>
  <c r="D113" i="79"/>
  <c r="E113" i="79" s="1"/>
  <c r="F113" i="79" s="1"/>
  <c r="G113" i="79" s="1"/>
  <c r="H113" i="79" s="1"/>
  <c r="I113" i="79" s="1"/>
  <c r="J113" i="79" s="1"/>
  <c r="K113" i="79" s="1"/>
  <c r="L113" i="79" s="1"/>
  <c r="M113" i="79" s="1"/>
  <c r="D111" i="79"/>
  <c r="E111" i="79" s="1"/>
  <c r="F111" i="79" s="1"/>
  <c r="G111" i="79" s="1"/>
  <c r="H111" i="79" s="1"/>
  <c r="I111" i="79" s="1"/>
  <c r="J111" i="79" s="1"/>
  <c r="K111" i="79" s="1"/>
  <c r="L111" i="79" s="1"/>
  <c r="M111" i="79" s="1"/>
  <c r="G109" i="79"/>
  <c r="F109" i="79"/>
  <c r="E109" i="79"/>
  <c r="D109" i="79"/>
  <c r="C109" i="79"/>
  <c r="D108" i="79"/>
  <c r="E108" i="79" s="1"/>
  <c r="F108" i="79" s="1"/>
  <c r="G108" i="79" s="1"/>
  <c r="H108" i="79" s="1"/>
  <c r="I108" i="79" s="1"/>
  <c r="J108" i="79" s="1"/>
  <c r="K108" i="79" s="1"/>
  <c r="L108" i="79" s="1"/>
  <c r="M108" i="79" s="1"/>
  <c r="D106" i="79"/>
  <c r="E106" i="79" s="1"/>
  <c r="F106" i="79" s="1"/>
  <c r="G106" i="79" s="1"/>
  <c r="H106" i="79" s="1"/>
  <c r="I106" i="79" s="1"/>
  <c r="J106" i="79" s="1"/>
  <c r="K106" i="79" s="1"/>
  <c r="L106" i="79" s="1"/>
  <c r="M106" i="79" s="1"/>
  <c r="E104" i="79"/>
  <c r="F104" i="79" s="1"/>
  <c r="G104" i="79" s="1"/>
  <c r="H104" i="79" s="1"/>
  <c r="D104" i="79"/>
  <c r="M102" i="79"/>
  <c r="L102" i="79"/>
  <c r="K102" i="79"/>
  <c r="J102" i="79"/>
  <c r="I102" i="79"/>
  <c r="H102" i="79"/>
  <c r="G102" i="79"/>
  <c r="F102" i="79"/>
  <c r="E102" i="79"/>
  <c r="D102" i="79"/>
  <c r="C102" i="79"/>
  <c r="D101" i="79"/>
  <c r="E101" i="79" s="1"/>
  <c r="F101" i="79" s="1"/>
  <c r="G101" i="79" s="1"/>
  <c r="H101" i="79" s="1"/>
  <c r="I101" i="79" s="1"/>
  <c r="J101" i="79" s="1"/>
  <c r="K101" i="79" s="1"/>
  <c r="L101" i="79" s="1"/>
  <c r="M101" i="79" s="1"/>
  <c r="B98" i="79"/>
  <c r="J31" i="79" s="1"/>
  <c r="AC31" i="79" s="1"/>
  <c r="B96" i="79"/>
  <c r="B94" i="79"/>
  <c r="J29" i="79" s="1"/>
  <c r="AC29" i="79" s="1"/>
  <c r="B92" i="79"/>
  <c r="D91" i="79"/>
  <c r="E91" i="79" s="1"/>
  <c r="F91" i="79" s="1"/>
  <c r="G91" i="79" s="1"/>
  <c r="H91" i="79" s="1"/>
  <c r="I91" i="79" s="1"/>
  <c r="J91" i="79" s="1"/>
  <c r="K91" i="79" s="1"/>
  <c r="L91" i="79" s="1"/>
  <c r="M91" i="79" s="1"/>
  <c r="B90" i="79"/>
  <c r="B88" i="79"/>
  <c r="J26" i="79" s="1"/>
  <c r="AC26" i="79" s="1"/>
  <c r="D87" i="79"/>
  <c r="E87" i="79" s="1"/>
  <c r="F87" i="79" s="1"/>
  <c r="G87" i="79" s="1"/>
  <c r="H87" i="79" s="1"/>
  <c r="I87" i="79" s="1"/>
  <c r="J87" i="79" s="1"/>
  <c r="K87" i="79" s="1"/>
  <c r="L87" i="79" s="1"/>
  <c r="M87" i="79" s="1"/>
  <c r="D85" i="79"/>
  <c r="E85" i="79" s="1"/>
  <c r="F85" i="79" s="1"/>
  <c r="G85" i="79" s="1"/>
  <c r="D83" i="79"/>
  <c r="E83" i="79" s="1"/>
  <c r="F83" i="79" s="1"/>
  <c r="G83" i="79" s="1"/>
  <c r="D81" i="79"/>
  <c r="E81" i="79" s="1"/>
  <c r="F81" i="79" s="1"/>
  <c r="G81" i="79" s="1"/>
  <c r="D79" i="79"/>
  <c r="E79" i="79" s="1"/>
  <c r="F79" i="79" s="1"/>
  <c r="G79" i="79" s="1"/>
  <c r="D77" i="79"/>
  <c r="E77" i="79" s="1"/>
  <c r="F77" i="79" s="1"/>
  <c r="G77" i="79" s="1"/>
  <c r="B74" i="79"/>
  <c r="B72" i="79"/>
  <c r="H13" i="79" s="1"/>
  <c r="AB13" i="79" s="1"/>
  <c r="B70" i="79"/>
  <c r="E69" i="79"/>
  <c r="F69" i="79" s="1"/>
  <c r="G69" i="79" s="1"/>
  <c r="H69" i="79" s="1"/>
  <c r="I69" i="79" s="1"/>
  <c r="J69" i="79" s="1"/>
  <c r="K69" i="79" s="1"/>
  <c r="L69" i="79" s="1"/>
  <c r="M69" i="79" s="1"/>
  <c r="D69" i="79"/>
  <c r="M67" i="79"/>
  <c r="L67" i="79"/>
  <c r="K67" i="79"/>
  <c r="J67" i="79"/>
  <c r="I67" i="79"/>
  <c r="H67" i="79"/>
  <c r="G67" i="79"/>
  <c r="F67" i="79"/>
  <c r="E67" i="79"/>
  <c r="D67" i="79"/>
  <c r="C67" i="79"/>
  <c r="G66" i="79"/>
  <c r="H66" i="79" s="1"/>
  <c r="I66" i="79" s="1"/>
  <c r="C63" i="79"/>
  <c r="H9" i="79" s="1"/>
  <c r="AB9" i="79" s="1"/>
  <c r="E59" i="79"/>
  <c r="F59" i="79" s="1"/>
  <c r="G59" i="79" s="1"/>
  <c r="H59" i="79" s="1"/>
  <c r="I59" i="79" s="1"/>
  <c r="P49" i="79"/>
  <c r="P48" i="79"/>
  <c r="P47" i="79"/>
  <c r="Q46" i="79"/>
  <c r="Z46" i="79" s="1"/>
  <c r="J46" i="79"/>
  <c r="AC46" i="79" s="1"/>
  <c r="H46" i="79"/>
  <c r="AB46" i="79" s="1"/>
  <c r="F46" i="79"/>
  <c r="AA46" i="79" s="1"/>
  <c r="Q45" i="79"/>
  <c r="Z45" i="79" s="1"/>
  <c r="J45" i="79"/>
  <c r="AC45" i="79" s="1"/>
  <c r="F45" i="79"/>
  <c r="AA45" i="79" s="1"/>
  <c r="Q44" i="79"/>
  <c r="Z44" i="79" s="1"/>
  <c r="J44" i="79"/>
  <c r="AC44" i="79" s="1"/>
  <c r="H44" i="79"/>
  <c r="AB44" i="79" s="1"/>
  <c r="F44" i="79"/>
  <c r="AA44" i="79" s="1"/>
  <c r="Q43" i="79"/>
  <c r="Z43" i="79" s="1"/>
  <c r="J43" i="79"/>
  <c r="AC43" i="79" s="1"/>
  <c r="F43" i="79"/>
  <c r="AA43" i="79" s="1"/>
  <c r="Q42" i="79"/>
  <c r="Z42" i="79" s="1"/>
  <c r="Q41" i="79"/>
  <c r="Z41" i="79" s="1"/>
  <c r="H41" i="79"/>
  <c r="AB41" i="79" s="1"/>
  <c r="Q40" i="79"/>
  <c r="Z40" i="79" s="1"/>
  <c r="J40" i="79"/>
  <c r="AC40" i="79" s="1"/>
  <c r="H40" i="79"/>
  <c r="AB40" i="79" s="1"/>
  <c r="F40" i="79"/>
  <c r="AA40" i="79" s="1"/>
  <c r="Q39" i="79"/>
  <c r="Z39" i="79" s="1"/>
  <c r="J39" i="79"/>
  <c r="AC39" i="79" s="1"/>
  <c r="H39" i="79"/>
  <c r="AB39" i="79" s="1"/>
  <c r="F39" i="79"/>
  <c r="AA39" i="79" s="1"/>
  <c r="Q38" i="79"/>
  <c r="Z38" i="79" s="1"/>
  <c r="H38" i="79"/>
  <c r="AB38" i="79" s="1"/>
  <c r="Q37" i="79"/>
  <c r="Z37" i="79" s="1"/>
  <c r="J37" i="79"/>
  <c r="AC37" i="79" s="1"/>
  <c r="H37" i="79"/>
  <c r="AB37" i="79" s="1"/>
  <c r="F37" i="79"/>
  <c r="AA37" i="79" s="1"/>
  <c r="Q36" i="79"/>
  <c r="Z36" i="79" s="1"/>
  <c r="I36" i="79"/>
  <c r="G36" i="79"/>
  <c r="E36" i="79"/>
  <c r="Q35" i="79"/>
  <c r="Z35" i="79" s="1"/>
  <c r="J35" i="79"/>
  <c r="AC35" i="79" s="1"/>
  <c r="F35" i="79"/>
  <c r="AA35" i="79" s="1"/>
  <c r="Q34" i="79"/>
  <c r="Z34" i="79" s="1"/>
  <c r="J34" i="79"/>
  <c r="AC34" i="79" s="1"/>
  <c r="H34" i="79"/>
  <c r="AB34" i="79" s="1"/>
  <c r="F34" i="79"/>
  <c r="AA34" i="79" s="1"/>
  <c r="Q33" i="79"/>
  <c r="Z33" i="79" s="1"/>
  <c r="Q32" i="79"/>
  <c r="Z32" i="79" s="1"/>
  <c r="J32" i="79"/>
  <c r="AC32" i="79" s="1"/>
  <c r="H32" i="79"/>
  <c r="AB32" i="79" s="1"/>
  <c r="F32" i="79"/>
  <c r="AA32" i="79" s="1"/>
  <c r="Q31" i="79"/>
  <c r="Z31" i="79" s="1"/>
  <c r="H31" i="79"/>
  <c r="AB31" i="79" s="1"/>
  <c r="Q30" i="79"/>
  <c r="Z30" i="79" s="1"/>
  <c r="J30" i="79"/>
  <c r="AC30" i="79" s="1"/>
  <c r="H30" i="79"/>
  <c r="AB30" i="79" s="1"/>
  <c r="F30" i="79"/>
  <c r="AA30" i="79" s="1"/>
  <c r="Q29" i="79"/>
  <c r="Z29" i="79" s="1"/>
  <c r="H29" i="79"/>
  <c r="AB29" i="79" s="1"/>
  <c r="Q28" i="79"/>
  <c r="Z28" i="79" s="1"/>
  <c r="J28" i="79"/>
  <c r="AC28" i="79" s="1"/>
  <c r="H28" i="79"/>
  <c r="AB28" i="79" s="1"/>
  <c r="F28" i="79"/>
  <c r="Q27" i="79"/>
  <c r="Z27" i="79" s="1"/>
  <c r="H27" i="79"/>
  <c r="U27" i="79" s="1"/>
  <c r="Q26" i="79"/>
  <c r="Z26" i="79" s="1"/>
  <c r="H26" i="79"/>
  <c r="AB26" i="79" s="1"/>
  <c r="Q25" i="79"/>
  <c r="Z25" i="79" s="1"/>
  <c r="J25" i="79"/>
  <c r="AC25" i="79" s="1"/>
  <c r="H25" i="79"/>
  <c r="AB25" i="79" s="1"/>
  <c r="F25" i="79"/>
  <c r="AA25" i="79" s="1"/>
  <c r="Q23" i="79"/>
  <c r="Z23" i="79" s="1"/>
  <c r="H23" i="79"/>
  <c r="AB23" i="79" s="1"/>
  <c r="C23" i="79"/>
  <c r="Q21" i="79"/>
  <c r="Z21" i="79" s="1"/>
  <c r="J21" i="79"/>
  <c r="AC21" i="79" s="1"/>
  <c r="H21" i="79"/>
  <c r="AB21" i="79" s="1"/>
  <c r="F21" i="79"/>
  <c r="AA21" i="79" s="1"/>
  <c r="C21" i="79"/>
  <c r="Q19" i="79"/>
  <c r="Z19" i="79" s="1"/>
  <c r="H19" i="79"/>
  <c r="AB19" i="79" s="1"/>
  <c r="C19" i="79"/>
  <c r="Q17" i="79"/>
  <c r="Z17" i="79" s="1"/>
  <c r="J17" i="79"/>
  <c r="AC17" i="79" s="1"/>
  <c r="H17" i="79"/>
  <c r="AB17" i="79" s="1"/>
  <c r="F17" i="79"/>
  <c r="AA17" i="79" s="1"/>
  <c r="C17" i="79"/>
  <c r="Q15" i="79"/>
  <c r="Z15" i="79" s="1"/>
  <c r="H15" i="79"/>
  <c r="AB15" i="79" s="1"/>
  <c r="C15" i="79"/>
  <c r="Q14" i="79"/>
  <c r="Z14" i="79" s="1"/>
  <c r="J14" i="79"/>
  <c r="AC14" i="79" s="1"/>
  <c r="H14" i="79"/>
  <c r="AB14" i="79" s="1"/>
  <c r="F14" i="79"/>
  <c r="AA14" i="79" s="1"/>
  <c r="Q13" i="79"/>
  <c r="Z13" i="79" s="1"/>
  <c r="J13" i="79"/>
  <c r="AC13" i="79" s="1"/>
  <c r="F13" i="79"/>
  <c r="AA13" i="79" s="1"/>
  <c r="Q12" i="79"/>
  <c r="Z12" i="79" s="1"/>
  <c r="J12" i="79"/>
  <c r="AC12" i="79" s="1"/>
  <c r="H12" i="79"/>
  <c r="AB12" i="79" s="1"/>
  <c r="F12" i="79"/>
  <c r="AA12" i="79" s="1"/>
  <c r="Q11" i="79"/>
  <c r="Z11" i="79" s="1"/>
  <c r="J11" i="79"/>
  <c r="AC11" i="79" s="1"/>
  <c r="H11" i="79"/>
  <c r="AB11" i="79" s="1"/>
  <c r="F11" i="79"/>
  <c r="AA11" i="79" s="1"/>
  <c r="Q10" i="79"/>
  <c r="Z10" i="79" s="1"/>
  <c r="J10" i="79"/>
  <c r="AC10" i="79" s="1"/>
  <c r="F10" i="79"/>
  <c r="AA10" i="79" s="1"/>
  <c r="Q9" i="79"/>
  <c r="Z9" i="79" s="1"/>
  <c r="J9" i="79"/>
  <c r="AC9" i="79" s="1"/>
  <c r="F9" i="79"/>
  <c r="AA9" i="79" s="1"/>
  <c r="J8" i="79"/>
  <c r="W8" i="79" s="1"/>
  <c r="H8" i="79"/>
  <c r="AB8" i="79" s="1"/>
  <c r="F8" i="79"/>
  <c r="S8" i="79" s="1"/>
  <c r="E59" i="33"/>
  <c r="F59" i="33" s="1"/>
  <c r="G59" i="33" s="1"/>
  <c r="H59" i="33" s="1"/>
  <c r="I59" i="33" s="1"/>
  <c r="D104" i="33"/>
  <c r="E104" i="33" s="1"/>
  <c r="F104" i="33" s="1"/>
  <c r="G104" i="33" s="1"/>
  <c r="H104" i="33" s="1"/>
  <c r="G36" i="33"/>
  <c r="D2" i="79"/>
  <c r="H10" i="79" l="1"/>
  <c r="AB10" i="79" s="1"/>
  <c r="F15" i="79"/>
  <c r="AA15" i="79" s="1"/>
  <c r="J15" i="79"/>
  <c r="AC15" i="79" s="1"/>
  <c r="F19" i="79"/>
  <c r="AA19" i="79" s="1"/>
  <c r="J19" i="79"/>
  <c r="AC19" i="79" s="1"/>
  <c r="F23" i="79"/>
  <c r="AA23" i="79" s="1"/>
  <c r="J23" i="79"/>
  <c r="AC23" i="79" s="1"/>
  <c r="F26" i="79"/>
  <c r="AA26" i="79" s="1"/>
  <c r="F27" i="79"/>
  <c r="AA27" i="79" s="1"/>
  <c r="J27" i="79"/>
  <c r="AC27" i="79" s="1"/>
  <c r="F29" i="79"/>
  <c r="AA29" i="79" s="1"/>
  <c r="F31" i="79"/>
  <c r="AA31" i="79" s="1"/>
  <c r="H35" i="79"/>
  <c r="AB35" i="79" s="1"/>
  <c r="F38" i="79"/>
  <c r="AA38" i="79" s="1"/>
  <c r="J38" i="79"/>
  <c r="AC38" i="79" s="1"/>
  <c r="F41" i="79"/>
  <c r="AA41" i="79" s="1"/>
  <c r="J41" i="79"/>
  <c r="AC41" i="79" s="1"/>
  <c r="H43" i="79"/>
  <c r="AB43" i="79" s="1"/>
  <c r="G4" i="31"/>
  <c r="E4" i="31"/>
  <c r="F123" i="79"/>
  <c r="H42" i="79" s="1"/>
  <c r="AB42" i="79" s="1"/>
  <c r="G54" i="79"/>
  <c r="H54" i="79" s="1"/>
  <c r="E54" i="79"/>
  <c r="F54" i="79" s="1"/>
  <c r="I54" i="79"/>
  <c r="J54" i="79" s="1"/>
  <c r="U8" i="79"/>
  <c r="AA8" i="79"/>
  <c r="AC8" i="79"/>
  <c r="S9" i="79"/>
  <c r="W9" i="79"/>
  <c r="S11" i="79"/>
  <c r="W11" i="79"/>
  <c r="U12" i="79"/>
  <c r="S13" i="79"/>
  <c r="W13" i="79"/>
  <c r="U14" i="79"/>
  <c r="U15" i="79"/>
  <c r="U17" i="79"/>
  <c r="U19" i="79"/>
  <c r="U21" i="79"/>
  <c r="U23" i="79"/>
  <c r="S25" i="79"/>
  <c r="W25" i="79"/>
  <c r="U26" i="79"/>
  <c r="W27" i="79"/>
  <c r="AB27" i="79"/>
  <c r="U9" i="79"/>
  <c r="S10" i="79"/>
  <c r="W10" i="79"/>
  <c r="U11" i="79"/>
  <c r="S12" i="79"/>
  <c r="W12" i="79"/>
  <c r="U13" i="79"/>
  <c r="S14" i="79"/>
  <c r="W14" i="79"/>
  <c r="S15" i="79"/>
  <c r="S17" i="79"/>
  <c r="W17" i="79"/>
  <c r="S19" i="79"/>
  <c r="S21" i="79"/>
  <c r="W21" i="79"/>
  <c r="S23" i="79"/>
  <c r="U25" i="79"/>
  <c r="S26" i="79"/>
  <c r="W26" i="79"/>
  <c r="AA28" i="79"/>
  <c r="S28" i="79"/>
  <c r="U28" i="79"/>
  <c r="W29" i="79"/>
  <c r="U30" i="79"/>
  <c r="S31" i="79"/>
  <c r="W31" i="79"/>
  <c r="U32" i="79"/>
  <c r="S34" i="79"/>
  <c r="W34" i="79"/>
  <c r="U37" i="79"/>
  <c r="S38" i="79"/>
  <c r="W38" i="79"/>
  <c r="U39" i="79"/>
  <c r="S40" i="79"/>
  <c r="W40" i="79"/>
  <c r="U41" i="79"/>
  <c r="U43" i="79"/>
  <c r="S44" i="79"/>
  <c r="W44" i="79"/>
  <c r="U45" i="79"/>
  <c r="S46" i="79"/>
  <c r="W46" i="79"/>
  <c r="T47" i="79"/>
  <c r="W28" i="79"/>
  <c r="U29" i="79"/>
  <c r="S30" i="79"/>
  <c r="W30" i="79"/>
  <c r="U31" i="79"/>
  <c r="S32" i="79"/>
  <c r="W32" i="79"/>
  <c r="U34" i="79"/>
  <c r="S35" i="79"/>
  <c r="W35" i="79"/>
  <c r="S37" i="79"/>
  <c r="W37" i="79"/>
  <c r="U38" i="79"/>
  <c r="S39" i="79"/>
  <c r="W39" i="79"/>
  <c r="U40" i="79"/>
  <c r="S41" i="79"/>
  <c r="S43" i="79"/>
  <c r="W43" i="79"/>
  <c r="U44" i="79"/>
  <c r="S45" i="79"/>
  <c r="W45" i="79"/>
  <c r="U46" i="79"/>
  <c r="R47" i="79"/>
  <c r="V47" i="79"/>
  <c r="G62" i="33"/>
  <c r="I47" i="33" s="1"/>
  <c r="F62" i="33"/>
  <c r="G47" i="33" s="1"/>
  <c r="E62" i="33"/>
  <c r="E47" i="33" s="1"/>
  <c r="I36" i="33"/>
  <c r="E36" i="33"/>
  <c r="Y6" i="1"/>
  <c r="N6" i="1"/>
  <c r="U10" i="79" l="1"/>
  <c r="N7" i="1"/>
  <c r="Y7" i="1" s="1"/>
  <c r="C36" i="79"/>
  <c r="C36" i="33"/>
  <c r="W41" i="79"/>
  <c r="U35" i="79"/>
  <c r="S29" i="79"/>
  <c r="W23" i="79"/>
  <c r="W19" i="79"/>
  <c r="W15" i="79"/>
  <c r="S27" i="79"/>
  <c r="U42" i="79"/>
  <c r="G123" i="79"/>
  <c r="H123" i="79" s="1"/>
  <c r="I123" i="79" s="1"/>
  <c r="J123" i="79" s="1"/>
  <c r="K123" i="79" s="1"/>
  <c r="L123" i="79" s="1"/>
  <c r="M123" i="79" s="1"/>
  <c r="F42" i="79"/>
  <c r="J42" i="79"/>
  <c r="H33" i="79"/>
  <c r="J33" i="79"/>
  <c r="F33" i="79"/>
  <c r="F36" i="79" l="1"/>
  <c r="H36" i="79"/>
  <c r="J36" i="79"/>
  <c r="AC42" i="79"/>
  <c r="W42" i="79"/>
  <c r="AA42" i="79"/>
  <c r="S42" i="79"/>
  <c r="AC33" i="79"/>
  <c r="W33" i="79"/>
  <c r="AA33" i="79"/>
  <c r="S33" i="79"/>
  <c r="U33" i="79"/>
  <c r="AB33" i="79"/>
  <c r="U36" i="79" l="1"/>
  <c r="AB36" i="79"/>
  <c r="W36" i="79"/>
  <c r="AC36" i="79"/>
  <c r="S36" i="79"/>
  <c r="AA36" i="79"/>
  <c r="B7" i="4" l="1"/>
  <c r="C11" i="4" s="1"/>
  <c r="L3" i="71" l="1"/>
  <c r="K3" i="71"/>
  <c r="I3" i="71"/>
  <c r="J3" i="71" l="1"/>
  <c r="AD5" i="71" l="1"/>
  <c r="AG5" i="71"/>
  <c r="AH5" i="71"/>
  <c r="AE5" i="71"/>
  <c r="AF5" i="71" s="1"/>
  <c r="N5" i="71"/>
  <c r="Q5" i="71"/>
  <c r="P5" i="71"/>
  <c r="O5" i="71"/>
  <c r="Q6" i="71" l="1"/>
  <c r="P6" i="71"/>
  <c r="O6" i="71"/>
  <c r="N6"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D5" i="43" l="1"/>
  <c r="A15" i="51" l="1"/>
  <c r="B11" i="76"/>
  <c r="E7" i="76"/>
  <c r="B7" i="76"/>
  <c r="E11" i="76"/>
  <c r="E12" i="76"/>
  <c r="B10" i="76"/>
  <c r="E10" i="76"/>
  <c r="E8" i="76"/>
  <c r="B9" i="76"/>
  <c r="B12" i="76"/>
  <c r="E13" i="76"/>
  <c r="B8" i="76"/>
  <c r="E9" i="76"/>
  <c r="B13"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s="1"/>
  <c r="AG21" i="71"/>
  <c r="AH21" i="71"/>
  <c r="S2" i="31" l="1"/>
  <c r="M2" i="31"/>
  <c r="N2" i="31"/>
  <c r="O2" i="31"/>
  <c r="P2" i="31"/>
  <c r="Q2" i="31"/>
  <c r="R2" i="31"/>
  <c r="C1" i="73" l="1"/>
  <c r="L1" i="73" s="1"/>
  <c r="F7" i="73"/>
  <c r="J1" i="73" l="1"/>
  <c r="B74" i="72"/>
  <c r="F3" i="73"/>
  <c r="F4" i="73"/>
  <c r="D5" i="73"/>
  <c r="F5" i="73"/>
  <c r="D6" i="73"/>
  <c r="D3" i="73"/>
  <c r="F6" i="73"/>
  <c r="I1" i="73" l="1"/>
  <c r="B39" i="1" s="1"/>
  <c r="D7" i="73"/>
  <c r="D4" i="73"/>
  <c r="M11" i="82" l="1"/>
  <c r="F11" i="82"/>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2" l="1"/>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F27" i="71"/>
  <c r="F28" i="71" s="1"/>
  <c r="F29" i="71" s="1"/>
  <c r="V29" i="71" s="1"/>
  <c r="Q26" i="71"/>
  <c r="P26" i="71"/>
  <c r="E27" i="71" s="1"/>
  <c r="E28" i="71" s="1"/>
  <c r="E29" i="71" s="1"/>
  <c r="U29" i="71" s="1"/>
  <c r="O26" i="71"/>
  <c r="C27" i="71" s="1"/>
  <c r="N26" i="71"/>
  <c r="B27" i="71" s="1"/>
  <c r="B28" i="71" s="1"/>
  <c r="B29" i="71" s="1"/>
  <c r="S29" i="71" s="1"/>
  <c r="D26" i="71"/>
  <c r="Q25" i="71"/>
  <c r="P25" i="71"/>
  <c r="O25" i="71"/>
  <c r="N25" i="71"/>
  <c r="Q24" i="71"/>
  <c r="P24" i="71"/>
  <c r="O24" i="71"/>
  <c r="N24" i="71"/>
  <c r="Q23" i="71"/>
  <c r="P23" i="71"/>
  <c r="O23" i="71"/>
  <c r="N23" i="71"/>
  <c r="F23" i="71"/>
  <c r="F24" i="71" s="1"/>
  <c r="F25" i="71" s="1"/>
  <c r="V25" i="71" s="1"/>
  <c r="Q22" i="71"/>
  <c r="P22" i="71"/>
  <c r="E23" i="71" s="1"/>
  <c r="E24" i="71" s="1"/>
  <c r="E25" i="71" s="1"/>
  <c r="U25" i="71" s="1"/>
  <c r="O22" i="71"/>
  <c r="C23" i="71" s="1"/>
  <c r="N22" i="71"/>
  <c r="B23" i="71" s="1"/>
  <c r="B24" i="71" s="1"/>
  <c r="B25" i="71" s="1"/>
  <c r="S25" i="71" s="1"/>
  <c r="D22" i="71"/>
  <c r="Q21" i="71"/>
  <c r="P21" i="71"/>
  <c r="O21" i="71"/>
  <c r="N21" i="71"/>
  <c r="AB20" i="71"/>
  <c r="Q20" i="71"/>
  <c r="P20" i="71"/>
  <c r="AA20" i="71" s="1"/>
  <c r="O20" i="71"/>
  <c r="Y20" i="71" s="1"/>
  <c r="Z20" i="71" s="1"/>
  <c r="N20" i="71"/>
  <c r="X20" i="71" s="1"/>
  <c r="Q19" i="71"/>
  <c r="AB19" i="71" s="1"/>
  <c r="P19" i="71"/>
  <c r="O19" i="71"/>
  <c r="Y19" i="71" s="1"/>
  <c r="Z19" i="71" s="1"/>
  <c r="N19" i="71"/>
  <c r="Q18" i="71"/>
  <c r="F19" i="71" s="1"/>
  <c r="F20" i="71" s="1"/>
  <c r="F21" i="71" s="1"/>
  <c r="V21" i="71" s="1"/>
  <c r="P18" i="71"/>
  <c r="O18" i="71"/>
  <c r="N18" i="71"/>
  <c r="D18" i="71"/>
  <c r="Q17" i="71"/>
  <c r="AB17" i="71" s="1"/>
  <c r="P17" i="71"/>
  <c r="O17" i="71"/>
  <c r="Y17" i="71" s="1"/>
  <c r="Z17" i="71" s="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X5" i="71" l="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C20"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D15" i="71" l="1"/>
  <c r="T9" i="7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0" i="1"/>
  <c r="AO11" i="1"/>
  <c r="AO12" i="1"/>
  <c r="AO9" i="1"/>
  <c r="AO13"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G68" i="35" s="1"/>
  <c r="H18" i="35"/>
  <c r="S1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F99" i="43"/>
  <c r="F108" i="43" s="1"/>
  <c r="G99" i="43"/>
  <c r="G108" i="43" s="1"/>
  <c r="H99" i="43"/>
  <c r="H108" i="43" s="1"/>
  <c r="I99" i="43"/>
  <c r="J99" i="43"/>
  <c r="J108" i="43" s="1"/>
  <c r="K99" i="43"/>
  <c r="K108" i="43" s="1"/>
  <c r="L99" i="43"/>
  <c r="L108" i="43" s="1"/>
  <c r="M99" i="43"/>
  <c r="C99" i="43"/>
  <c r="C108" i="43" s="1"/>
  <c r="N100" i="43"/>
  <c r="D100" i="43"/>
  <c r="L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M10" i="1" s="1"/>
  <c r="O10"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L97" i="3" s="1"/>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s="1"/>
  <c r="AX62" i="3"/>
  <c r="AW62" i="3"/>
  <c r="AV62" i="3"/>
  <c r="AC62" i="3"/>
  <c r="H62" i="3"/>
  <c r="BT61" i="3"/>
  <c r="BS61" i="3"/>
  <c r="BR61" i="3"/>
  <c r="BQ61" i="3"/>
  <c r="BP61" i="3"/>
  <c r="BO61" i="3"/>
  <c r="BN61" i="3"/>
  <c r="BM61" i="3"/>
  <c r="BL61" i="3" s="1"/>
  <c r="BK61" i="3"/>
  <c r="BJ61" i="3"/>
  <c r="BI61" i="3"/>
  <c r="BH61" i="3"/>
  <c r="BG61" i="3"/>
  <c r="BF61" i="3"/>
  <c r="BE61" i="3"/>
  <c r="BD61" i="3"/>
  <c r="BC61" i="3"/>
  <c r="BB61" i="3"/>
  <c r="AX61" i="3"/>
  <c r="AW61" i="3"/>
  <c r="AV61" i="3"/>
  <c r="AC61" i="3"/>
  <c r="H61" i="3"/>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BA31" i="3" s="1"/>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L29" i="3" s="1"/>
  <c r="BK29" i="3"/>
  <c r="BJ29" i="3"/>
  <c r="BI29" i="3"/>
  <c r="BH29" i="3"/>
  <c r="BG29" i="3"/>
  <c r="BF29" i="3"/>
  <c r="BE29" i="3"/>
  <c r="BD29" i="3"/>
  <c r="BC29" i="3"/>
  <c r="BB29" i="3"/>
  <c r="AX29" i="3"/>
  <c r="AW29" i="3"/>
  <c r="AV29" i="3"/>
  <c r="AC29" i="3"/>
  <c r="H29" i="3"/>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s="1"/>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L18" i="3" s="1"/>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Z122" i="3" s="1"/>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s="1"/>
  <c r="AZ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s="1"/>
  <c r="AX242" i="3"/>
  <c r="AW242" i="3"/>
  <c r="AV242" i="3"/>
  <c r="AC242" i="3"/>
  <c r="H242" i="3"/>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L219" i="3" s="1"/>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s="1"/>
  <c r="AX211" i="3"/>
  <c r="AW211" i="3"/>
  <c r="AV211" i="3"/>
  <c r="AC211" i="3"/>
  <c r="H211" i="3"/>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s="1"/>
  <c r="AX208" i="3"/>
  <c r="AW208" i="3"/>
  <c r="AV208" i="3"/>
  <c r="AC208" i="3"/>
  <c r="H208" i="3"/>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s="1"/>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Z491" i="3" s="1"/>
  <c r="AX491" i="3"/>
  <c r="AW491" i="3"/>
  <c r="AV491" i="3"/>
  <c r="AC491" i="3"/>
  <c r="H491" i="3"/>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s="1"/>
  <c r="AX468" i="3"/>
  <c r="AW468" i="3"/>
  <c r="AV468" i="3"/>
  <c r="AC468" i="3"/>
  <c r="H468" i="3"/>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s="1"/>
  <c r="AX453" i="3"/>
  <c r="AW453" i="3"/>
  <c r="AV453" i="3"/>
  <c r="AC453" i="3"/>
  <c r="H453" i="3"/>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H425" i="3"/>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H421" i="3"/>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s="1"/>
  <c r="AX408" i="3"/>
  <c r="AW408" i="3"/>
  <c r="AV408" i="3"/>
  <c r="AC408" i="3"/>
  <c r="H408" i="3"/>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47" i="31"/>
  <c r="S47" i="31" s="1"/>
  <c r="R48" i="31"/>
  <c r="R49" i="31"/>
  <c r="S49" i="31" s="1"/>
  <c r="R50" i="31"/>
  <c r="R51" i="31"/>
  <c r="S51" i="31" s="1"/>
  <c r="R52" i="31"/>
  <c r="R53" i="31"/>
  <c r="S53" i="31" s="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S79" i="31" s="1"/>
  <c r="R80" i="31"/>
  <c r="R81" i="31"/>
  <c r="S81" i="31" s="1"/>
  <c r="R82" i="31"/>
  <c r="R83" i="31"/>
  <c r="S83" i="31" s="1"/>
  <c r="R84" i="31"/>
  <c r="R85" i="31"/>
  <c r="S85" i="31" s="1"/>
  <c r="R86" i="31"/>
  <c r="R87" i="31"/>
  <c r="S87" i="31" s="1"/>
  <c r="R88" i="31"/>
  <c r="R89" i="31"/>
  <c r="S89" i="31" s="1"/>
  <c r="R90" i="31"/>
  <c r="R91" i="31"/>
  <c r="S91" i="31" s="1"/>
  <c r="R92" i="31"/>
  <c r="R93" i="31"/>
  <c r="S93" i="31" s="1"/>
  <c r="R94" i="31"/>
  <c r="R95" i="31"/>
  <c r="S95" i="31" s="1"/>
  <c r="R96" i="31"/>
  <c r="R97" i="31"/>
  <c r="S97" i="31" s="1"/>
  <c r="R98" i="31"/>
  <c r="R99" i="31"/>
  <c r="R100" i="31"/>
  <c r="R101" i="31"/>
  <c r="R102" i="31"/>
  <c r="R103" i="31"/>
  <c r="R104" i="31"/>
  <c r="R105" i="31"/>
  <c r="R106" i="31"/>
  <c r="R107" i="31"/>
  <c r="R108" i="31"/>
  <c r="R109" i="31"/>
  <c r="R110" i="31"/>
  <c r="R111" i="31"/>
  <c r="R112" i="31"/>
  <c r="R113" i="31"/>
  <c r="S113" i="31" s="1"/>
  <c r="R114" i="31"/>
  <c r="R115" i="31"/>
  <c r="S115" i="31" s="1"/>
  <c r="R116" i="31"/>
  <c r="R117" i="31"/>
  <c r="S117" i="31" s="1"/>
  <c r="R118" i="31"/>
  <c r="R119" i="31"/>
  <c r="S119" i="31" s="1"/>
  <c r="R120" i="31"/>
  <c r="R121" i="31"/>
  <c r="S121" i="31" s="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S223" i="31" s="1"/>
  <c r="R224" i="31"/>
  <c r="R225" i="31"/>
  <c r="S225" i="31" s="1"/>
  <c r="R226" i="31"/>
  <c r="R227" i="31"/>
  <c r="S227" i="31" s="1"/>
  <c r="R228" i="31"/>
  <c r="R229" i="31"/>
  <c r="S229" i="31" s="1"/>
  <c r="R230" i="31"/>
  <c r="R231" i="31"/>
  <c r="S231" i="31" s="1"/>
  <c r="R232" i="31"/>
  <c r="R233" i="31"/>
  <c r="S233" i="31" s="1"/>
  <c r="R234" i="31"/>
  <c r="S234" i="31" s="1"/>
  <c r="R235" i="31"/>
  <c r="S235" i="31" s="1"/>
  <c r="R236" i="31"/>
  <c r="R237" i="31"/>
  <c r="S237" i="31" s="1"/>
  <c r="R238" i="31"/>
  <c r="S238" i="31" s="1"/>
  <c r="R239" i="31"/>
  <c r="S239" i="31" s="1"/>
  <c r="R240" i="31"/>
  <c r="R241" i="31"/>
  <c r="S241" i="31" s="1"/>
  <c r="R242" i="31"/>
  <c r="S242" i="31" s="1"/>
  <c r="R243" i="31"/>
  <c r="S243" i="31" s="1"/>
  <c r="R244" i="31"/>
  <c r="R245" i="31"/>
  <c r="S245" i="31" s="1"/>
  <c r="R246" i="31"/>
  <c r="S246" i="31" s="1"/>
  <c r="R247" i="31"/>
  <c r="S247" i="31" s="1"/>
  <c r="R248" i="31"/>
  <c r="R249" i="31"/>
  <c r="S249" i="31" s="1"/>
  <c r="R250" i="31"/>
  <c r="S250" i="31" s="1"/>
  <c r="R251" i="31"/>
  <c r="S251" i="31" s="1"/>
  <c r="R252" i="31"/>
  <c r="R253" i="31"/>
  <c r="S253" i="31" s="1"/>
  <c r="R254" i="31"/>
  <c r="S254" i="31" s="1"/>
  <c r="R255" i="31"/>
  <c r="S255" i="31" s="1"/>
  <c r="R256" i="31"/>
  <c r="R257" i="31"/>
  <c r="S257" i="31" s="1"/>
  <c r="R258" i="31"/>
  <c r="S258" i="31" s="1"/>
  <c r="R259" i="31"/>
  <c r="S259" i="31" s="1"/>
  <c r="R260" i="31"/>
  <c r="R261" i="31"/>
  <c r="S261" i="31" s="1"/>
  <c r="R262" i="31"/>
  <c r="S262" i="31" s="1"/>
  <c r="R263" i="31"/>
  <c r="S263" i="31" s="1"/>
  <c r="R264" i="31"/>
  <c r="R265" i="31"/>
  <c r="S265" i="31" s="1"/>
  <c r="R266" i="31"/>
  <c r="S266" i="31" s="1"/>
  <c r="R267" i="31"/>
  <c r="S267" i="31" s="1"/>
  <c r="R268" i="31"/>
  <c r="R269" i="31"/>
  <c r="S269" i="31" s="1"/>
  <c r="R270" i="31"/>
  <c r="S270" i="31" s="1"/>
  <c r="R271" i="31"/>
  <c r="S271" i="31" s="1"/>
  <c r="R272" i="31"/>
  <c r="R273" i="31"/>
  <c r="S273" i="31" s="1"/>
  <c r="R274" i="31"/>
  <c r="S274" i="31" s="1"/>
  <c r="R275" i="31"/>
  <c r="S275" i="31" s="1"/>
  <c r="R276" i="31"/>
  <c r="R277" i="31"/>
  <c r="S277" i="31" s="1"/>
  <c r="R278" i="31"/>
  <c r="S278" i="31" s="1"/>
  <c r="R279" i="31"/>
  <c r="S279" i="31" s="1"/>
  <c r="R280" i="31"/>
  <c r="R281" i="31"/>
  <c r="S281" i="31" s="1"/>
  <c r="R282" i="31"/>
  <c r="S282" i="31" s="1"/>
  <c r="R283" i="31"/>
  <c r="S283" i="31" s="1"/>
  <c r="R284" i="31"/>
  <c r="R285" i="31"/>
  <c r="S285" i="31" s="1"/>
  <c r="R286" i="31"/>
  <c r="S286" i="31" s="1"/>
  <c r="R287" i="31"/>
  <c r="S287" i="31" s="1"/>
  <c r="R288" i="31"/>
  <c r="R289" i="31"/>
  <c r="S289" i="31" s="1"/>
  <c r="R290" i="31"/>
  <c r="S290" i="31" s="1"/>
  <c r="R291" i="31"/>
  <c r="S291" i="31" s="1"/>
  <c r="R292" i="31"/>
  <c r="R293" i="31"/>
  <c r="S293" i="31" s="1"/>
  <c r="R294" i="31"/>
  <c r="S294" i="31" s="1"/>
  <c r="R295" i="31"/>
  <c r="S295" i="31" s="1"/>
  <c r="R296" i="31"/>
  <c r="R297" i="31"/>
  <c r="S297" i="31" s="1"/>
  <c r="R298" i="31"/>
  <c r="S298" i="31" s="1"/>
  <c r="R299" i="31"/>
  <c r="S299" i="31" s="1"/>
  <c r="R300" i="31"/>
  <c r="R301" i="31"/>
  <c r="S301" i="31" s="1"/>
  <c r="R302" i="31"/>
  <c r="S302" i="31" s="1"/>
  <c r="R303" i="31"/>
  <c r="S303" i="31" s="1"/>
  <c r="R304" i="31"/>
  <c r="R305" i="31"/>
  <c r="S305" i="31" s="1"/>
  <c r="R306" i="31"/>
  <c r="S306" i="31" s="1"/>
  <c r="R307" i="31"/>
  <c r="S307" i="31" s="1"/>
  <c r="R308" i="31"/>
  <c r="R309" i="31"/>
  <c r="S309" i="31" s="1"/>
  <c r="R310" i="31"/>
  <c r="S310" i="31" s="1"/>
  <c r="R311" i="31"/>
  <c r="S311" i="31" s="1"/>
  <c r="R312" i="31"/>
  <c r="R313" i="31"/>
  <c r="S313" i="31" s="1"/>
  <c r="R314" i="31"/>
  <c r="S314" i="31" s="1"/>
  <c r="R315" i="31"/>
  <c r="S315" i="31" s="1"/>
  <c r="R316" i="31"/>
  <c r="R317" i="31"/>
  <c r="S317" i="31" s="1"/>
  <c r="R318" i="31"/>
  <c r="S318" i="31" s="1"/>
  <c r="R319" i="31"/>
  <c r="S319" i="31" s="1"/>
  <c r="R320" i="31"/>
  <c r="R321" i="31"/>
  <c r="S321" i="31" s="1"/>
  <c r="R322" i="31"/>
  <c r="R323" i="31"/>
  <c r="S323" i="31" s="1"/>
  <c r="R324" i="31"/>
  <c r="S324" i="31" s="1"/>
  <c r="R325" i="31"/>
  <c r="S325" i="31" s="1"/>
  <c r="R326" i="31"/>
  <c r="R327" i="31"/>
  <c r="S327" i="31" s="1"/>
  <c r="R328" i="31"/>
  <c r="S328" i="31" s="1"/>
  <c r="R329" i="31"/>
  <c r="S329" i="31" s="1"/>
  <c r="R330" i="31"/>
  <c r="R331" i="31"/>
  <c r="S331" i="31" s="1"/>
  <c r="R332" i="31"/>
  <c r="S332" i="31" s="1"/>
  <c r="R333" i="31"/>
  <c r="S333" i="31" s="1"/>
  <c r="R334" i="31"/>
  <c r="R335" i="31"/>
  <c r="S335" i="31" s="1"/>
  <c r="R336" i="31"/>
  <c r="S336" i="31" s="1"/>
  <c r="R337" i="31"/>
  <c r="S337" i="31" s="1"/>
  <c r="R338" i="31"/>
  <c r="R339" i="31"/>
  <c r="S339" i="31" s="1"/>
  <c r="R340" i="31"/>
  <c r="S340" i="31" s="1"/>
  <c r="R341" i="31"/>
  <c r="S341" i="31" s="1"/>
  <c r="R342" i="31"/>
  <c r="R343" i="31"/>
  <c r="S343" i="31" s="1"/>
  <c r="R344" i="31"/>
  <c r="S344" i="31" s="1"/>
  <c r="R345" i="31"/>
  <c r="S345" i="31" s="1"/>
  <c r="R346" i="31"/>
  <c r="R347" i="31"/>
  <c r="S347" i="31" s="1"/>
  <c r="R348" i="31"/>
  <c r="S348" i="31" s="1"/>
  <c r="R349" i="31"/>
  <c r="S349" i="31" s="1"/>
  <c r="R350" i="31"/>
  <c r="R351" i="31"/>
  <c r="S351" i="31" s="1"/>
  <c r="R352" i="31"/>
  <c r="S352" i="31" s="1"/>
  <c r="R353" i="31"/>
  <c r="S353" i="31" s="1"/>
  <c r="R354" i="31"/>
  <c r="R355" i="31"/>
  <c r="S355" i="31" s="1"/>
  <c r="R356" i="31"/>
  <c r="S356" i="31" s="1"/>
  <c r="R357" i="31"/>
  <c r="S357" i="31" s="1"/>
  <c r="R358" i="31"/>
  <c r="R359" i="31"/>
  <c r="S359" i="31" s="1"/>
  <c r="R360" i="31"/>
  <c r="S360" i="31" s="1"/>
  <c r="R361" i="31"/>
  <c r="S361" i="31" s="1"/>
  <c r="R362" i="31"/>
  <c r="R363" i="31"/>
  <c r="S363" i="31" s="1"/>
  <c r="R364" i="31"/>
  <c r="S364" i="31" s="1"/>
  <c r="R365" i="31"/>
  <c r="S365" i="31" s="1"/>
  <c r="R366" i="31"/>
  <c r="R367" i="31"/>
  <c r="S367" i="31" s="1"/>
  <c r="R368" i="31"/>
  <c r="S368" i="31" s="1"/>
  <c r="R369" i="31"/>
  <c r="S369" i="31" s="1"/>
  <c r="R370" i="31"/>
  <c r="R371" i="31"/>
  <c r="S371" i="31" s="1"/>
  <c r="R372" i="31"/>
  <c r="S372" i="31" s="1"/>
  <c r="R373" i="31"/>
  <c r="S373" i="31" s="1"/>
  <c r="R374" i="31"/>
  <c r="R375" i="31"/>
  <c r="S375" i="31" s="1"/>
  <c r="R376" i="31"/>
  <c r="S376" i="31" s="1"/>
  <c r="R377" i="31"/>
  <c r="S377" i="31" s="1"/>
  <c r="R378" i="31"/>
  <c r="R379" i="31"/>
  <c r="S379" i="31" s="1"/>
  <c r="R380" i="31"/>
  <c r="S380" i="31" s="1"/>
  <c r="R381" i="31"/>
  <c r="S381" i="31" s="1"/>
  <c r="R382" i="31"/>
  <c r="R383" i="31"/>
  <c r="S383" i="31" s="1"/>
  <c r="R384" i="31"/>
  <c r="S384" i="31" s="1"/>
  <c r="R385" i="31"/>
  <c r="S385" i="31" s="1"/>
  <c r="R386" i="31"/>
  <c r="R387" i="31"/>
  <c r="S387" i="31" s="1"/>
  <c r="R388" i="31"/>
  <c r="S388" i="31" s="1"/>
  <c r="R389" i="31"/>
  <c r="S389" i="31" s="1"/>
  <c r="R390" i="31"/>
  <c r="R391" i="31"/>
  <c r="S391" i="31" s="1"/>
  <c r="R392" i="31"/>
  <c r="S392" i="31" s="1"/>
  <c r="R393" i="31"/>
  <c r="S393" i="31" s="1"/>
  <c r="R394" i="31"/>
  <c r="R395" i="31"/>
  <c r="S395" i="31" s="1"/>
  <c r="R396" i="31"/>
  <c r="S396" i="31" s="1"/>
  <c r="R397" i="31"/>
  <c r="S397" i="31" s="1"/>
  <c r="R398" i="31"/>
  <c r="R399" i="31"/>
  <c r="S399" i="31" s="1"/>
  <c r="R400" i="31"/>
  <c r="S400" i="31" s="1"/>
  <c r="R401" i="31"/>
  <c r="S401" i="31" s="1"/>
  <c r="R402" i="31"/>
  <c r="R403" i="31"/>
  <c r="S403" i="31" s="1"/>
  <c r="R404" i="31"/>
  <c r="S404" i="31" s="1"/>
  <c r="R405" i="31"/>
  <c r="S405" i="31" s="1"/>
  <c r="R406" i="31"/>
  <c r="R407" i="31"/>
  <c r="S407" i="31" s="1"/>
  <c r="R408" i="31"/>
  <c r="S408" i="31" s="1"/>
  <c r="R409" i="31"/>
  <c r="S409" i="31" s="1"/>
  <c r="R410" i="31"/>
  <c r="R411" i="31"/>
  <c r="S411" i="31" s="1"/>
  <c r="R412" i="31"/>
  <c r="S412" i="31" s="1"/>
  <c r="R413" i="31"/>
  <c r="S413" i="31" s="1"/>
  <c r="R414" i="31"/>
  <c r="R415" i="31"/>
  <c r="S415" i="31" s="1"/>
  <c r="R416" i="31"/>
  <c r="S416" i="31" s="1"/>
  <c r="R417" i="31"/>
  <c r="S417" i="31" s="1"/>
  <c r="R418" i="31"/>
  <c r="R419" i="31"/>
  <c r="S419" i="31" s="1"/>
  <c r="R420" i="31"/>
  <c r="S420" i="31" s="1"/>
  <c r="R421" i="31"/>
  <c r="S421" i="31" s="1"/>
  <c r="R422" i="31"/>
  <c r="R423" i="31"/>
  <c r="S423" i="31" s="1"/>
  <c r="R424" i="31"/>
  <c r="S424" i="31" s="1"/>
  <c r="R425" i="31"/>
  <c r="R426" i="31"/>
  <c r="R427" i="31"/>
  <c r="R428" i="31"/>
  <c r="R429" i="31"/>
  <c r="R430" i="31"/>
  <c r="S430" i="31" s="1"/>
  <c r="R431" i="31"/>
  <c r="R432" i="31"/>
  <c r="S432" i="31" s="1"/>
  <c r="R433" i="31"/>
  <c r="R434" i="31"/>
  <c r="S434" i="31" s="1"/>
  <c r="R435" i="31"/>
  <c r="R436" i="31"/>
  <c r="S436" i="31" s="1"/>
  <c r="R437" i="31"/>
  <c r="R438" i="31"/>
  <c r="S438" i="31" s="1"/>
  <c r="R439" i="31"/>
  <c r="R440" i="31"/>
  <c r="S440" i="31" s="1"/>
  <c r="R441" i="31"/>
  <c r="R442" i="31"/>
  <c r="S442" i="31" s="1"/>
  <c r="R443" i="31"/>
  <c r="R444" i="31"/>
  <c r="S444" i="31" s="1"/>
  <c r="R445" i="31"/>
  <c r="S445" i="31" s="1"/>
  <c r="R446" i="31"/>
  <c r="R447" i="31"/>
  <c r="S447" i="31" s="1"/>
  <c r="R448" i="31"/>
  <c r="R449" i="31"/>
  <c r="S449" i="31" s="1"/>
  <c r="R450" i="31"/>
  <c r="R451" i="31"/>
  <c r="R452" i="31"/>
  <c r="R453" i="31"/>
  <c r="R454" i="31"/>
  <c r="R455" i="31"/>
  <c r="R456" i="31"/>
  <c r="R457" i="31"/>
  <c r="R458" i="31"/>
  <c r="R459" i="31"/>
  <c r="R460" i="31"/>
  <c r="R461" i="31"/>
  <c r="R462" i="31"/>
  <c r="R463" i="31"/>
  <c r="R464" i="31"/>
  <c r="R465" i="31"/>
  <c r="R466" i="31"/>
  <c r="R467" i="31"/>
  <c r="R468" i="31"/>
  <c r="R469" i="31"/>
  <c r="S469" i="31" s="1"/>
  <c r="R470" i="31"/>
  <c r="S470" i="31" s="1"/>
  <c r="R471" i="31"/>
  <c r="S471" i="31" s="1"/>
  <c r="R472" i="31"/>
  <c r="R473" i="31"/>
  <c r="S473" i="31" s="1"/>
  <c r="R474" i="31"/>
  <c r="S474" i="31" s="1"/>
  <c r="R475" i="31"/>
  <c r="S475" i="31" s="1"/>
  <c r="R476" i="31"/>
  <c r="R477" i="31"/>
  <c r="S477" i="31" s="1"/>
  <c r="R478" i="31"/>
  <c r="S478" i="31" s="1"/>
  <c r="R479" i="31"/>
  <c r="S479" i="31" s="1"/>
  <c r="R480" i="31"/>
  <c r="R481" i="31"/>
  <c r="S481" i="31" s="1"/>
  <c r="R482" i="31"/>
  <c r="S482" i="31" s="1"/>
  <c r="R483" i="31"/>
  <c r="S483" i="31" s="1"/>
  <c r="R484" i="31"/>
  <c r="R485" i="31"/>
  <c r="S485" i="31" s="1"/>
  <c r="R486" i="31"/>
  <c r="S486" i="31" s="1"/>
  <c r="R487" i="31"/>
  <c r="S487" i="31" s="1"/>
  <c r="R488" i="31"/>
  <c r="R489" i="31"/>
  <c r="S489" i="31" s="1"/>
  <c r="R490" i="31"/>
  <c r="S490" i="31" s="1"/>
  <c r="R491" i="31"/>
  <c r="S491" i="31" s="1"/>
  <c r="R492" i="31"/>
  <c r="R493" i="31"/>
  <c r="S493" i="31" s="1"/>
  <c r="R494" i="31"/>
  <c r="S494" i="31" s="1"/>
  <c r="R495" i="31"/>
  <c r="S495" i="31" s="1"/>
  <c r="R496" i="31"/>
  <c r="R497" i="31"/>
  <c r="S497" i="31" s="1"/>
  <c r="R498" i="31"/>
  <c r="R499" i="31"/>
  <c r="R500" i="31"/>
  <c r="S500" i="31" s="1"/>
  <c r="R501" i="31"/>
  <c r="S501" i="31" s="1"/>
  <c r="R502" i="31"/>
  <c r="R503" i="31"/>
  <c r="R504" i="31"/>
  <c r="S504" i="31" s="1"/>
  <c r="R505" i="31"/>
  <c r="S505" i="31" s="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AF6" i="1" s="1"/>
  <c r="H15" i="4"/>
  <c r="G15" i="4"/>
  <c r="E15" i="4"/>
  <c r="F6" i="1" s="1"/>
  <c r="D15" i="4"/>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1" i="6"/>
  <c r="K8" i="1" s="1"/>
  <c r="M8" i="1" s="1"/>
  <c r="F23" i="15"/>
  <c r="D24" i="15" s="1"/>
  <c r="O8" i="1"/>
  <c r="P8"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18" i="31"/>
  <c r="S414" i="31"/>
  <c r="S410" i="31"/>
  <c r="S406" i="31"/>
  <c r="S402" i="31"/>
  <c r="S398" i="31"/>
  <c r="S394" i="31"/>
  <c r="S390" i="31"/>
  <c r="S386" i="31"/>
  <c r="S382" i="31"/>
  <c r="S378" i="31"/>
  <c r="S374" i="31"/>
  <c r="S370" i="31"/>
  <c r="S366" i="31"/>
  <c r="S362" i="31"/>
  <c r="S358" i="31"/>
  <c r="S354" i="31"/>
  <c r="S350" i="31"/>
  <c r="S346" i="31"/>
  <c r="S342" i="31"/>
  <c r="S338" i="31"/>
  <c r="S334" i="31"/>
  <c r="S330" i="31"/>
  <c r="S326" i="31"/>
  <c r="S322" i="31"/>
  <c r="S320" i="31"/>
  <c r="S316" i="31"/>
  <c r="S312" i="31"/>
  <c r="S308" i="31"/>
  <c r="S304" i="31"/>
  <c r="S300" i="31"/>
  <c r="S296" i="31"/>
  <c r="S292" i="31"/>
  <c r="S288" i="31"/>
  <c r="S284" i="31"/>
  <c r="S280" i="31"/>
  <c r="S276" i="31"/>
  <c r="S272" i="31"/>
  <c r="S268" i="31"/>
  <c r="S264" i="31"/>
  <c r="S260" i="31"/>
  <c r="S256" i="31"/>
  <c r="S252" i="31"/>
  <c r="S248" i="31"/>
  <c r="S244" i="31"/>
  <c r="S240" i="31"/>
  <c r="S236" i="31"/>
  <c r="S232" i="31"/>
  <c r="S230" i="31"/>
  <c r="S228" i="31"/>
  <c r="S226" i="31"/>
  <c r="S224"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6" i="31"/>
  <c r="S492" i="31"/>
  <c r="S488" i="31"/>
  <c r="S484" i="31"/>
  <c r="S480" i="31"/>
  <c r="S476" i="31"/>
  <c r="S472" i="31"/>
  <c r="S468" i="31"/>
  <c r="S443" i="31"/>
  <c r="S441" i="31"/>
  <c r="S439" i="31"/>
  <c r="S437" i="31"/>
  <c r="S435" i="31"/>
  <c r="S433" i="31"/>
  <c r="S431" i="31"/>
  <c r="S122" i="31"/>
  <c r="S120" i="31"/>
  <c r="S118" i="31"/>
  <c r="S116" i="31"/>
  <c r="S114" i="31"/>
  <c r="S112" i="31"/>
  <c r="S506" i="31"/>
  <c r="S502" i="31"/>
  <c r="S498" i="31"/>
  <c r="S467" i="31"/>
  <c r="S466" i="31"/>
  <c r="S465" i="31"/>
  <c r="S464" i="31"/>
  <c r="S463" i="31"/>
  <c r="S462" i="31"/>
  <c r="S461" i="31"/>
  <c r="S460" i="31"/>
  <c r="S459" i="31"/>
  <c r="S458" i="31"/>
  <c r="S457" i="31"/>
  <c r="S456" i="31"/>
  <c r="S455" i="31"/>
  <c r="S454" i="31"/>
  <c r="S453" i="31"/>
  <c r="S452" i="31"/>
  <c r="S451" i="31"/>
  <c r="S450" i="31"/>
  <c r="S54" i="31"/>
  <c r="S52" i="31"/>
  <c r="S50" i="31"/>
  <c r="S48" i="31"/>
  <c r="S77" i="31"/>
  <c r="S76" i="31"/>
  <c r="S75" i="31"/>
  <c r="S74" i="31"/>
  <c r="S73" i="31"/>
  <c r="S72" i="31"/>
  <c r="S71" i="31"/>
  <c r="S70" i="31"/>
  <c r="S69" i="31"/>
  <c r="S68" i="31"/>
  <c r="S67" i="31"/>
  <c r="S66" i="31"/>
  <c r="S65" i="31"/>
  <c r="S64" i="31"/>
  <c r="S63" i="31"/>
  <c r="S62" i="31"/>
  <c r="S61" i="31"/>
  <c r="S60" i="31"/>
  <c r="S59" i="31"/>
  <c r="S58" i="31"/>
  <c r="S57" i="31"/>
  <c r="S56" i="31"/>
  <c r="S55" i="31"/>
  <c r="S96" i="31"/>
  <c r="S94" i="31"/>
  <c r="S92" i="31"/>
  <c r="S90" i="31"/>
  <c r="S88" i="31"/>
  <c r="S86" i="31"/>
  <c r="S84" i="31"/>
  <c r="S82" i="31"/>
  <c r="S80" i="31"/>
  <c r="S78" i="31"/>
  <c r="S98" i="31"/>
  <c r="S99" i="31"/>
  <c r="S100" i="31"/>
  <c r="S101" i="31"/>
  <c r="S102" i="31"/>
  <c r="S103" i="31"/>
  <c r="S104" i="31"/>
  <c r="S105" i="31"/>
  <c r="S106" i="31"/>
  <c r="S107" i="31"/>
  <c r="S108" i="31"/>
  <c r="S109" i="31"/>
  <c r="S110" i="31"/>
  <c r="S111" i="31"/>
  <c r="S446" i="31"/>
  <c r="S448"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J35" i="39" s="1"/>
  <c r="AC35" i="39" s="1"/>
  <c r="B112" i="39"/>
  <c r="J30" i="36"/>
  <c r="AC30" i="36" s="1"/>
  <c r="H30" i="36"/>
  <c r="F30" i="36"/>
  <c r="AA30" i="36" s="1"/>
  <c r="C26" i="35"/>
  <c r="C79" i="35" s="1"/>
  <c r="J31" i="35"/>
  <c r="H31" i="35"/>
  <c r="F31" i="35"/>
  <c r="D87" i="35"/>
  <c r="E87" i="35" s="1"/>
  <c r="F87" i="35" s="1"/>
  <c r="G87" i="35" s="1"/>
  <c r="H87" i="35" s="1"/>
  <c r="I87" i="35" s="1"/>
  <c r="J87" i="35" s="1"/>
  <c r="K87" i="35" s="1"/>
  <c r="L87" i="35" s="1"/>
  <c r="M87" i="35" s="1"/>
  <c r="H34" i="37"/>
  <c r="D101" i="37"/>
  <c r="F34" i="37"/>
  <c r="S34" i="37" s="1"/>
  <c r="D99" i="37"/>
  <c r="E99" i="37"/>
  <c r="F99" i="37" s="1"/>
  <c r="G99" i="37" s="1"/>
  <c r="H99" i="37" s="1"/>
  <c r="I99" i="37" s="1"/>
  <c r="J99" i="37" s="1"/>
  <c r="K99" i="37" s="1"/>
  <c r="L99" i="37" s="1"/>
  <c r="M99" i="37" s="1"/>
  <c r="H42" i="34"/>
  <c r="J42" i="34"/>
  <c r="W42" i="34" s="1"/>
  <c r="F42" i="34"/>
  <c r="J38" i="34"/>
  <c r="W38" i="34" s="1"/>
  <c r="D114" i="34"/>
  <c r="F38" i="34"/>
  <c r="D112" i="34"/>
  <c r="E112" i="34" s="1"/>
  <c r="F112" i="34" s="1"/>
  <c r="G112" i="34" s="1"/>
  <c r="H112" i="34" s="1"/>
  <c r="I112" i="34" s="1"/>
  <c r="J112" i="34" s="1"/>
  <c r="K112" i="34" s="1"/>
  <c r="L112" i="34" s="1"/>
  <c r="M112" i="34" s="1"/>
  <c r="F40" i="33"/>
  <c r="S40"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H40" i="40"/>
  <c r="AB40" i="40" s="1"/>
  <c r="Q39" i="40"/>
  <c r="Z39" i="40" s="1"/>
  <c r="Q38" i="40"/>
  <c r="Z38" i="40" s="1"/>
  <c r="H38" i="40"/>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S9" i="40" s="1"/>
  <c r="J8" i="40"/>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U45" i="39" s="1"/>
  <c r="B129" i="39"/>
  <c r="H44" i="39" s="1"/>
  <c r="AB44" i="39" s="1"/>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B110" i="37"/>
  <c r="B108" i="37"/>
  <c r="C23" i="37"/>
  <c r="C19" i="37"/>
  <c r="C17" i="37"/>
  <c r="C15" i="37"/>
  <c r="B112" i="37"/>
  <c r="D107" i="37"/>
  <c r="E107" i="37" s="1"/>
  <c r="D105" i="37"/>
  <c r="E105" i="37" s="1"/>
  <c r="D103" i="37"/>
  <c r="E103" i="37" s="1"/>
  <c r="F103" i="37" s="1"/>
  <c r="G103" i="37" s="1"/>
  <c r="H103" i="37" s="1"/>
  <c r="I103" i="37" s="1"/>
  <c r="J103" i="37" s="1"/>
  <c r="K103" i="37" s="1"/>
  <c r="L103" i="37" s="1"/>
  <c r="M103" i="37" s="1"/>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AB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F30" i="37"/>
  <c r="AA30" i="37" s="1"/>
  <c r="Q29" i="37"/>
  <c r="Z29" i="37" s="1"/>
  <c r="H29" i="37"/>
  <c r="AB29" i="37" s="1"/>
  <c r="Q28" i="37"/>
  <c r="Z28" i="37" s="1"/>
  <c r="Q27" i="37"/>
  <c r="Z27" i="37" s="1"/>
  <c r="Q26" i="37"/>
  <c r="Z26" i="37" s="1"/>
  <c r="F26" i="37"/>
  <c r="AA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D70" i="36"/>
  <c r="H22" i="36"/>
  <c r="AB22" i="36" s="1"/>
  <c r="D68" i="36"/>
  <c r="E68" i="36" s="1"/>
  <c r="F68" i="36" s="1"/>
  <c r="G68" i="36" s="1"/>
  <c r="D64" i="36"/>
  <c r="E64" i="36" s="1"/>
  <c r="F64" i="36" s="1"/>
  <c r="G64" i="36" s="1"/>
  <c r="J16" i="36"/>
  <c r="W16" i="36" s="1"/>
  <c r="D62" i="36"/>
  <c r="E62" i="36" s="1"/>
  <c r="F62" i="36" s="1"/>
  <c r="G62" i="36" s="1"/>
  <c r="B59" i="36"/>
  <c r="B57" i="36"/>
  <c r="J12" i="36" s="1"/>
  <c r="W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Q27" i="36"/>
  <c r="Z27" i="36" s="1"/>
  <c r="Q26" i="36"/>
  <c r="Z26" i="36" s="1"/>
  <c r="H26" i="36"/>
  <c r="AB26" i="36" s="1"/>
  <c r="Q25" i="36"/>
  <c r="Z25" i="36" s="1"/>
  <c r="Q24" i="36"/>
  <c r="Z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H27" i="35"/>
  <c r="U27" i="35" s="1"/>
  <c r="F27" i="35"/>
  <c r="AA27" i="35" s="1"/>
  <c r="J22" i="35"/>
  <c r="AC22" i="35" s="1"/>
  <c r="B101" i="35"/>
  <c r="H36" i="35" s="1"/>
  <c r="AB36" i="35" s="1"/>
  <c r="B99" i="35"/>
  <c r="B97" i="35"/>
  <c r="B77" i="35"/>
  <c r="B75" i="35"/>
  <c r="J24" i="35" s="1"/>
  <c r="AC24" i="35" s="1"/>
  <c r="B73" i="35"/>
  <c r="H23" i="35" s="1"/>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Q33" i="35"/>
  <c r="Z33" i="35" s="1"/>
  <c r="Q32" i="35"/>
  <c r="Z32" i="35" s="1"/>
  <c r="H32" i="35"/>
  <c r="AB32" i="35" s="1"/>
  <c r="F32" i="35"/>
  <c r="AA32" i="35" s="1"/>
  <c r="Q31" i="35"/>
  <c r="Z31" i="35" s="1"/>
  <c r="AB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J8" i="34"/>
  <c r="AC8" i="34" s="1"/>
  <c r="H8" i="34"/>
  <c r="U8" i="34" s="1"/>
  <c r="F8" i="34"/>
  <c r="D121" i="33"/>
  <c r="E121" i="33" s="1"/>
  <c r="F109" i="33"/>
  <c r="E109" i="33"/>
  <c r="D109" i="33"/>
  <c r="C109" i="33"/>
  <c r="D91" i="33"/>
  <c r="E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c r="Q29" i="33"/>
  <c r="Z29" i="33"/>
  <c r="Q28" i="33"/>
  <c r="Z28" i="33"/>
  <c r="Q27" i="33"/>
  <c r="Z27" i="33"/>
  <c r="Q26" i="33"/>
  <c r="Z26" i="33"/>
  <c r="Q25" i="33"/>
  <c r="Z25" i="33"/>
  <c r="Q23" i="33"/>
  <c r="Z23" i="33"/>
  <c r="Q19" i="33"/>
  <c r="Z19" i="33" s="1"/>
  <c r="Q17" i="33"/>
  <c r="Z17" i="33" s="1"/>
  <c r="Q15" i="33"/>
  <c r="Z15" i="33" s="1"/>
  <c r="Q14" i="33"/>
  <c r="Z14" i="33" s="1"/>
  <c r="Q13" i="33"/>
  <c r="Z13" i="33" s="1"/>
  <c r="Q12" i="33"/>
  <c r="Z12" i="33" s="1"/>
  <c r="H12" i="33"/>
  <c r="U12" i="33" s="1"/>
  <c r="Q11" i="33"/>
  <c r="Z11" i="33" s="1"/>
  <c r="Q10" i="33"/>
  <c r="Z10" i="33" s="1"/>
  <c r="Q9" i="33"/>
  <c r="Z9" i="33" s="1"/>
  <c r="J9" i="33"/>
  <c r="AC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AB41" i="21"/>
  <c r="S41" i="21"/>
  <c r="AA41" i="21"/>
  <c r="F45" i="39"/>
  <c r="S45" i="39" s="1"/>
  <c r="J45" i="39"/>
  <c r="W45" i="39" s="1"/>
  <c r="F36" i="39"/>
  <c r="S36" i="39" s="1"/>
  <c r="H36" i="39"/>
  <c r="AB36" i="39" s="1"/>
  <c r="F35" i="39"/>
  <c r="AA35" i="39" s="1"/>
  <c r="J36" i="39"/>
  <c r="AC36" i="39" s="1"/>
  <c r="U9" i="39"/>
  <c r="W40" i="39"/>
  <c r="W25" i="37"/>
  <c r="W31" i="37"/>
  <c r="F39" i="37"/>
  <c r="S39" i="37" s="1"/>
  <c r="F29" i="36"/>
  <c r="AA29" i="36" s="1"/>
  <c r="W8" i="36"/>
  <c r="F16" i="36"/>
  <c r="AA16" i="36" s="1"/>
  <c r="S30" i="36"/>
  <c r="AC31" i="36"/>
  <c r="U31" i="36"/>
  <c r="J33" i="36"/>
  <c r="W33" i="36" s="1"/>
  <c r="H22" i="35"/>
  <c r="AB22" i="35" s="1"/>
  <c r="W28" i="35"/>
  <c r="U31" i="35"/>
  <c r="W22" i="35"/>
  <c r="F36" i="34"/>
  <c r="J35" i="34"/>
  <c r="S34" i="34"/>
  <c r="H39" i="33"/>
  <c r="AB39" i="33" s="1"/>
  <c r="U33" i="33"/>
  <c r="W33" i="33"/>
  <c r="S27" i="35"/>
  <c r="F11" i="40"/>
  <c r="AA11" i="40" s="1"/>
  <c r="H11" i="40"/>
  <c r="AB11" i="40" s="1"/>
  <c r="AA9" i="40"/>
  <c r="AC9" i="40"/>
  <c r="S34" i="40"/>
  <c r="U40" i="40"/>
  <c r="F42" i="39"/>
  <c r="AA42" i="39" s="1"/>
  <c r="F41" i="39"/>
  <c r="S41" i="39" s="1"/>
  <c r="H40" i="39"/>
  <c r="AB40" i="39" s="1"/>
  <c r="H39" i="39"/>
  <c r="U39" i="39" s="1"/>
  <c r="S38" i="39"/>
  <c r="S34" i="39"/>
  <c r="H34" i="39"/>
  <c r="U34" i="39" s="1"/>
  <c r="E109" i="39"/>
  <c r="F109" i="39" s="1"/>
  <c r="G109" i="39" s="1"/>
  <c r="H109" i="39" s="1"/>
  <c r="I109" i="39" s="1"/>
  <c r="J109" i="39" s="1"/>
  <c r="K109" i="39" s="1"/>
  <c r="L109" i="39" s="1"/>
  <c r="M109" i="39" s="1"/>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J31" i="39"/>
  <c r="F101" i="39"/>
  <c r="H27" i="39"/>
  <c r="U27" i="39" s="1"/>
  <c r="J19" i="39"/>
  <c r="AC19" i="39" s="1"/>
  <c r="J17" i="39"/>
  <c r="J27" i="39"/>
  <c r="AC27" i="39" s="1"/>
  <c r="F27" i="39"/>
  <c r="F11" i="21"/>
  <c r="S11" i="21" s="1"/>
  <c r="S40" i="21"/>
  <c r="S34" i="21"/>
  <c r="C25" i="39"/>
  <c r="C27" i="39"/>
  <c r="H11" i="39"/>
  <c r="H11" i="21"/>
  <c r="U11" i="21" s="1"/>
  <c r="J11" i="21"/>
  <c r="W11" i="21" s="1"/>
  <c r="H37" i="40"/>
  <c r="U37" i="40" s="1"/>
  <c r="H36" i="40"/>
  <c r="AB36" i="40" s="1"/>
  <c r="F35" i="40"/>
  <c r="AA35" i="40" s="1"/>
  <c r="H23" i="40"/>
  <c r="AB23" i="40" s="1"/>
  <c r="H17" i="40"/>
  <c r="U17" i="40" s="1"/>
  <c r="J15" i="40"/>
  <c r="W15" i="40" s="1"/>
  <c r="J11" i="40"/>
  <c r="S44" i="39"/>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S12" i="36" s="1"/>
  <c r="F24" i="36"/>
  <c r="AA24" i="36" s="1"/>
  <c r="F34" i="36"/>
  <c r="S34" i="36" s="1"/>
  <c r="S10" i="36"/>
  <c r="AB8" i="36"/>
  <c r="S8" i="36"/>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J33" i="37"/>
  <c r="AC33" i="37" s="1"/>
  <c r="U42" i="34"/>
  <c r="H40" i="34"/>
  <c r="U40" i="34" s="1"/>
  <c r="E114" i="34"/>
  <c r="H36" i="34"/>
  <c r="U36" i="34" s="1"/>
  <c r="F37" i="34"/>
  <c r="AA37" i="34" s="1"/>
  <c r="S35" i="34"/>
  <c r="F27" i="34"/>
  <c r="AA27" i="34" s="1"/>
  <c r="F25" i="34"/>
  <c r="S25" i="34" s="1"/>
  <c r="H23" i="34"/>
  <c r="U23" i="34" s="1"/>
  <c r="J23" i="34"/>
  <c r="F19" i="34"/>
  <c r="H17" i="34"/>
  <c r="U17" i="34" s="1"/>
  <c r="F15" i="34"/>
  <c r="S15" i="34" s="1"/>
  <c r="J15" i="34"/>
  <c r="H15" i="34"/>
  <c r="AB15" i="34" s="1"/>
  <c r="W8" i="34"/>
  <c r="F41" i="33"/>
  <c r="AA41" i="33" s="1"/>
  <c r="E113" i="33"/>
  <c r="F113" i="33" s="1"/>
  <c r="G113" i="33" s="1"/>
  <c r="H113" i="33" s="1"/>
  <c r="I113" i="33" s="1"/>
  <c r="J113" i="33" s="1"/>
  <c r="K113" i="33" s="1"/>
  <c r="L113" i="33" s="1"/>
  <c r="M113" i="33" s="1"/>
  <c r="J19" i="33"/>
  <c r="AC19" i="33" s="1"/>
  <c r="F11" i="33"/>
  <c r="AA11" i="33" s="1"/>
  <c r="U40" i="33"/>
  <c r="W40" i="33"/>
  <c r="U8" i="33"/>
  <c r="S8" i="33"/>
  <c r="F37" i="40"/>
  <c r="AA37" i="40" s="1"/>
  <c r="F36" i="40"/>
  <c r="AA36" i="40" s="1"/>
  <c r="H28" i="40"/>
  <c r="U28" i="40" s="1"/>
  <c r="F23" i="40"/>
  <c r="AA23" i="40" s="1"/>
  <c r="F17" i="40"/>
  <c r="AA17" i="40" s="1"/>
  <c r="J17" i="40"/>
  <c r="W17" i="40" s="1"/>
  <c r="F15" i="40"/>
  <c r="S15" i="40" s="1"/>
  <c r="H15" i="40"/>
  <c r="AB15" i="40" s="1"/>
  <c r="AA12" i="36"/>
  <c r="AB30" i="36"/>
  <c r="AC34" i="36"/>
  <c r="U30" i="35"/>
  <c r="U33" i="35"/>
  <c r="F29" i="35"/>
  <c r="S29" i="35" s="1"/>
  <c r="H29" i="35"/>
  <c r="AB29" i="35" s="1"/>
  <c r="H33" i="37"/>
  <c r="AB33" i="37" s="1"/>
  <c r="F33" i="37"/>
  <c r="AA33" i="37" s="1"/>
  <c r="W33"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H37" i="33"/>
  <c r="AB37" i="33" s="1"/>
  <c r="H11" i="33"/>
  <c r="AB11" i="33" s="1"/>
  <c r="F28" i="40"/>
  <c r="AA28" i="40" s="1"/>
  <c r="AA29" i="35"/>
  <c r="AA42" i="34"/>
  <c r="S42" i="34"/>
  <c r="AC38" i="34"/>
  <c r="J37" i="34"/>
  <c r="AC37" i="34" s="1"/>
  <c r="J11" i="33"/>
  <c r="W11" i="33" s="1"/>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F105" i="37"/>
  <c r="G105" i="37" s="1"/>
  <c r="H36" i="37"/>
  <c r="AB36" i="37" s="1"/>
  <c r="F107" i="37"/>
  <c r="G107" i="37" s="1"/>
  <c r="H107" i="37" s="1"/>
  <c r="I107" i="37" s="1"/>
  <c r="J107" i="37" s="1"/>
  <c r="K107" i="37" s="1"/>
  <c r="L107" i="37" s="1"/>
  <c r="M107" i="37" s="1"/>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13" i="35"/>
  <c r="U31" i="34"/>
  <c r="U46" i="33"/>
  <c r="AA14" i="33"/>
  <c r="J36" i="37"/>
  <c r="AC36" i="37" s="1"/>
  <c r="AB11" i="36"/>
  <c r="J10" i="36"/>
  <c r="AC10" i="36" s="1"/>
  <c r="AB30" i="21"/>
  <c r="AA14" i="37"/>
  <c r="W31" i="34"/>
  <c r="W13" i="36"/>
  <c r="W11" i="36"/>
  <c r="W11" i="35"/>
  <c r="AB46" i="34"/>
  <c r="AC30" i="34"/>
  <c r="AA14" i="34"/>
  <c r="S45" i="33"/>
  <c r="AB45" i="33"/>
  <c r="AB31" i="33"/>
  <c r="U31" i="33"/>
  <c r="W29" i="33"/>
  <c r="U13" i="33"/>
  <c r="S44" i="34"/>
  <c r="BA586" i="3"/>
  <c r="BA585" i="3"/>
  <c r="F17" i="21"/>
  <c r="AA17" i="21" s="1"/>
  <c r="H17" i="21"/>
  <c r="AB17" i="21" s="1"/>
  <c r="F15" i="21"/>
  <c r="S15" i="21" s="1"/>
  <c r="AB11" i="21"/>
  <c r="J41" i="39"/>
  <c r="W41" i="39" s="1"/>
  <c r="AC45"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AZ580" i="3" s="1"/>
  <c r="BA578" i="3"/>
  <c r="AZ578" i="3" s="1"/>
  <c r="BA576" i="3"/>
  <c r="AZ576" i="3" s="1"/>
  <c r="BA574" i="3"/>
  <c r="BA572" i="3"/>
  <c r="AZ572" i="3" s="1"/>
  <c r="BA570" i="3"/>
  <c r="AZ570" i="3" s="1"/>
  <c r="BA568" i="3"/>
  <c r="AZ568" i="3" s="1"/>
  <c r="BA566" i="3"/>
  <c r="BA564" i="3"/>
  <c r="AZ564" i="3" s="1"/>
  <c r="BA562" i="3"/>
  <c r="AZ562" i="3" s="1"/>
  <c r="BA560" i="3"/>
  <c r="AZ560" i="3" s="1"/>
  <c r="BA558" i="3"/>
  <c r="BA556" i="3"/>
  <c r="AZ556" i="3" s="1"/>
  <c r="BA554" i="3"/>
  <c r="BA552" i="3"/>
  <c r="AZ552" i="3" s="1"/>
  <c r="BA548" i="3"/>
  <c r="BA546" i="3"/>
  <c r="BA544" i="3"/>
  <c r="BA542" i="3"/>
  <c r="AZ542" i="3" s="1"/>
  <c r="BA540" i="3"/>
  <c r="AZ540" i="3" s="1"/>
  <c r="BA538" i="3"/>
  <c r="AZ538" i="3" s="1"/>
  <c r="BA536" i="3"/>
  <c r="BA534" i="3"/>
  <c r="AZ534" i="3" s="1"/>
  <c r="BA532" i="3"/>
  <c r="BA530" i="3"/>
  <c r="BA528" i="3"/>
  <c r="AZ528" i="3"/>
  <c r="BA526" i="3"/>
  <c r="AZ526" i="3"/>
  <c r="BA524" i="3"/>
  <c r="BA522" i="3"/>
  <c r="BA520" i="3"/>
  <c r="BA518" i="3"/>
  <c r="AZ518" i="3" s="1"/>
  <c r="BA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s="1"/>
  <c r="BQ579" i="3"/>
  <c r="BL579" i="3" s="1"/>
  <c r="AZ579" i="3" s="1"/>
  <c r="BQ577" i="3"/>
  <c r="BL577" i="3" s="1"/>
  <c r="BQ575" i="3"/>
  <c r="BL575" i="3" s="1"/>
  <c r="AZ575" i="3" s="1"/>
  <c r="BQ573" i="3"/>
  <c r="BL573" i="3" s="1"/>
  <c r="AZ573" i="3" s="1"/>
  <c r="BQ571" i="3"/>
  <c r="BL571" i="3"/>
  <c r="AZ571" i="3" s="1"/>
  <c r="BQ569" i="3"/>
  <c r="BL569" i="3" s="1"/>
  <c r="BQ567" i="3"/>
  <c r="BL567" i="3" s="1"/>
  <c r="AZ567" i="3" s="1"/>
  <c r="BQ565" i="3"/>
  <c r="BL565" i="3" s="1"/>
  <c r="BQ563" i="3"/>
  <c r="BL563" i="3" s="1"/>
  <c r="AZ563" i="3" s="1"/>
  <c r="BQ561" i="3"/>
  <c r="BL561" i="3" s="1"/>
  <c r="AZ561" i="3" s="1"/>
  <c r="BQ559" i="3"/>
  <c r="BL559" i="3" s="1"/>
  <c r="AZ559" i="3" s="1"/>
  <c r="G559" i="3"/>
  <c r="G555" i="3"/>
  <c r="G553" i="3"/>
  <c r="G549" i="3"/>
  <c r="G547" i="3"/>
  <c r="G545" i="3"/>
  <c r="G543" i="3"/>
  <c r="G541" i="3"/>
  <c r="G539" i="3"/>
  <c r="G537" i="3"/>
  <c r="BQ555" i="3"/>
  <c r="BL555" i="3" s="1"/>
  <c r="BQ553" i="3"/>
  <c r="BL553" i="3" s="1"/>
  <c r="AZ553" i="3" s="1"/>
  <c r="BQ551" i="3"/>
  <c r="BL551" i="3" s="1"/>
  <c r="BQ549" i="3"/>
  <c r="BL549" i="3" s="1"/>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AZ520" i="3" s="1"/>
  <c r="G519" i="3"/>
  <c r="G517" i="3"/>
  <c r="G515" i="3"/>
  <c r="G513" i="3"/>
  <c r="G511" i="3"/>
  <c r="BQ519" i="3"/>
  <c r="BL519" i="3"/>
  <c r="AZ519" i="3" s="1"/>
  <c r="BQ517" i="3"/>
  <c r="BL517" i="3" s="1"/>
  <c r="AZ517" i="3" s="1"/>
  <c r="BQ515" i="3"/>
  <c r="BL515" i="3" s="1"/>
  <c r="AZ515" i="3" s="1"/>
  <c r="BQ513" i="3"/>
  <c r="BL513" i="3" s="1"/>
  <c r="AZ513" i="3" s="1"/>
  <c r="BQ511" i="3"/>
  <c r="BL511" i="3" s="1"/>
  <c r="AZ511" i="3" s="1"/>
  <c r="BA509" i="3"/>
  <c r="AC509" i="3"/>
  <c r="BQ509" i="3"/>
  <c r="BL509" i="3" s="1"/>
  <c r="AZ509" i="3" s="1"/>
  <c r="BL508" i="3"/>
  <c r="AZ508" i="3" s="1"/>
  <c r="G507" i="3"/>
  <c r="G505" i="3"/>
  <c r="G503" i="3"/>
  <c r="G501" i="3"/>
  <c r="G499" i="3"/>
  <c r="G497" i="3"/>
  <c r="G495" i="3"/>
  <c r="BQ507" i="3"/>
  <c r="BL507" i="3" s="1"/>
  <c r="AZ507" i="3" s="1"/>
  <c r="BQ505" i="3"/>
  <c r="BL505" i="3" s="1"/>
  <c r="AZ505" i="3" s="1"/>
  <c r="BQ503" i="3"/>
  <c r="BL503" i="3" s="1"/>
  <c r="AZ503" i="3" s="1"/>
  <c r="BQ501" i="3"/>
  <c r="BL501" i="3" s="1"/>
  <c r="BQ499" i="3"/>
  <c r="BL499" i="3" s="1"/>
  <c r="BQ497" i="3"/>
  <c r="BL497" i="3" s="1"/>
  <c r="BQ495" i="3"/>
  <c r="BL495" i="3" s="1"/>
  <c r="AZ495" i="3" s="1"/>
  <c r="BQ493" i="3"/>
  <c r="S503" i="31"/>
  <c r="S499" i="31"/>
  <c r="O27" i="31"/>
  <c r="O28" i="31"/>
  <c r="O26" i="31"/>
  <c r="M27" i="31"/>
  <c r="M28" i="31"/>
  <c r="M26" i="31"/>
  <c r="I26" i="31"/>
  <c r="I25" i="31"/>
  <c r="Q26" i="31"/>
  <c r="K26" i="31"/>
  <c r="I27" i="31"/>
  <c r="Q27" i="31"/>
  <c r="K27" i="31"/>
  <c r="I28" i="31"/>
  <c r="Q28" i="31"/>
  <c r="K28" i="31"/>
  <c r="S21" i="40"/>
  <c r="H25" i="21"/>
  <c r="U25" i="21" s="1"/>
  <c r="F25" i="21"/>
  <c r="S25" i="21" s="1"/>
  <c r="J25" i="21"/>
  <c r="AC25" i="21" s="1"/>
  <c r="E125" i="33"/>
  <c r="F125" i="33" s="1"/>
  <c r="G125" i="33" s="1"/>
  <c r="H43" i="33"/>
  <c r="AB43" i="33" s="1"/>
  <c r="H17" i="37"/>
  <c r="U17" i="37" s="1"/>
  <c r="AB27" i="37"/>
  <c r="AA36" i="39"/>
  <c r="F39" i="33"/>
  <c r="AA39" i="33" s="1"/>
  <c r="E123" i="33"/>
  <c r="F123"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J43" i="33"/>
  <c r="AC43" i="33" s="1"/>
  <c r="U14" i="40"/>
  <c r="AC33" i="36"/>
  <c r="U35" i="35"/>
  <c r="W14" i="37"/>
  <c r="U33" i="37"/>
  <c r="AC8" i="37"/>
  <c r="U26" i="37"/>
  <c r="W37" i="34"/>
  <c r="AB37" i="34"/>
  <c r="AC36" i="34"/>
  <c r="AC31" i="33"/>
  <c r="W44" i="33"/>
  <c r="U11" i="33"/>
  <c r="U19" i="21"/>
  <c r="W44" i="21"/>
  <c r="U26" i="21"/>
  <c r="AC46" i="21"/>
  <c r="U12" i="21"/>
  <c r="AB38" i="21"/>
  <c r="F43" i="33"/>
  <c r="AA43" i="33" s="1"/>
  <c r="W15" i="34"/>
  <c r="AC15" i="34"/>
  <c r="W16" i="35"/>
  <c r="W40" i="37"/>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19" i="40"/>
  <c r="S19" i="40" s="1"/>
  <c r="AC13" i="40"/>
  <c r="AB33" i="40"/>
  <c r="W23" i="39"/>
  <c r="W43" i="39"/>
  <c r="AB45" i="39"/>
  <c r="U44" i="39"/>
  <c r="G101" i="39"/>
  <c r="H37" i="39"/>
  <c r="AB37" i="39" s="1"/>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B16" i="53"/>
  <c r="B33" i="72" s="1"/>
  <c r="C7" i="37"/>
  <c r="C7" i="34"/>
  <c r="C7" i="36"/>
  <c r="W35" i="40"/>
  <c r="A118" i="9"/>
  <c r="A4" i="52"/>
  <c r="B41" i="72" s="1"/>
  <c r="J11" i="39"/>
  <c r="W11" i="39" s="1"/>
  <c r="F11" i="39"/>
  <c r="AA11" i="39" s="1"/>
  <c r="A12" i="52"/>
  <c r="B56" i="72" s="1"/>
  <c r="S11" i="39"/>
  <c r="G4" i="4"/>
  <c r="I4" i="4"/>
  <c r="K5" i="4"/>
  <c r="B47" i="48" s="1"/>
  <c r="A2" i="9"/>
  <c r="N2" i="43"/>
  <c r="F59" i="43" s="1"/>
  <c r="AZ20" i="3"/>
  <c r="AZ497"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BA341" i="3"/>
  <c r="BL341" i="3"/>
  <c r="BA343" i="3"/>
  <c r="AZ343" i="3" s="1"/>
  <c r="BA345" i="3"/>
  <c r="BL355" i="3"/>
  <c r="G356" i="3"/>
  <c r="BL357" i="3"/>
  <c r="BA359" i="3"/>
  <c r="AZ359" i="3" s="1"/>
  <c r="BA360" i="3"/>
  <c r="AZ360" i="3" s="1"/>
  <c r="BL360" i="3"/>
  <c r="G361" i="3"/>
  <c r="BA362" i="3"/>
  <c r="G370" i="3"/>
  <c r="BL371" i="3"/>
  <c r="G372" i="3"/>
  <c r="BL373" i="3"/>
  <c r="BA375" i="3"/>
  <c r="AZ375" i="3" s="1"/>
  <c r="BA376" i="3"/>
  <c r="BL376" i="3"/>
  <c r="AZ376" i="3" s="1"/>
  <c r="G377" i="3"/>
  <c r="BA378" i="3"/>
  <c r="AZ378" i="3" s="1"/>
  <c r="BL378" i="3"/>
  <c r="G379" i="3"/>
  <c r="BA380" i="3"/>
  <c r="G388" i="3"/>
  <c r="BL389" i="3"/>
  <c r="G390" i="3"/>
  <c r="BL391" i="3"/>
  <c r="BA393" i="3"/>
  <c r="BA394" i="3"/>
  <c r="BL394" i="3"/>
  <c r="G113" i="3"/>
  <c r="BA115" i="3"/>
  <c r="AZ115" i="3" s="1"/>
  <c r="BL116" i="3"/>
  <c r="AZ116" i="3" s="1"/>
  <c r="G117" i="3"/>
  <c r="BA119" i="3"/>
  <c r="BL120" i="3"/>
  <c r="G121" i="3"/>
  <c r="BA123" i="3"/>
  <c r="AZ123" i="3" s="1"/>
  <c r="BL124" i="3"/>
  <c r="AZ124" i="3" s="1"/>
  <c r="G125" i="3"/>
  <c r="BA127" i="3"/>
  <c r="BL128" i="3"/>
  <c r="AZ128" i="3" s="1"/>
  <c r="G129" i="3"/>
  <c r="BA131" i="3"/>
  <c r="BL132" i="3"/>
  <c r="AZ132" i="3" s="1"/>
  <c r="G133" i="3"/>
  <c r="BA135" i="3"/>
  <c r="BL136" i="3"/>
  <c r="G137" i="3"/>
  <c r="BA139" i="3"/>
  <c r="BL140" i="3"/>
  <c r="G141" i="3"/>
  <c r="BA143" i="3"/>
  <c r="BL144" i="3"/>
  <c r="G145" i="3"/>
  <c r="BA147" i="3"/>
  <c r="AZ147" i="3" s="1"/>
  <c r="BL148" i="3"/>
  <c r="G149" i="3"/>
  <c r="BA151" i="3"/>
  <c r="AZ151" i="3" s="1"/>
  <c r="BL152" i="3"/>
  <c r="G153" i="3"/>
  <c r="BA155" i="3"/>
  <c r="BL156" i="3"/>
  <c r="G157" i="3"/>
  <c r="BA159" i="3"/>
  <c r="AZ159" i="3" s="1"/>
  <c r="BL160" i="3"/>
  <c r="G161" i="3"/>
  <c r="BA163" i="3"/>
  <c r="AZ163" i="3" s="1"/>
  <c r="BL164" i="3"/>
  <c r="G165" i="3"/>
  <c r="BA167" i="3"/>
  <c r="AZ167" i="3" s="1"/>
  <c r="BL168" i="3"/>
  <c r="G169" i="3"/>
  <c r="BA171" i="3"/>
  <c r="BL172" i="3"/>
  <c r="G173" i="3"/>
  <c r="BA175" i="3"/>
  <c r="AZ175" i="3" s="1"/>
  <c r="BL176" i="3"/>
  <c r="G177" i="3"/>
  <c r="BA179" i="3"/>
  <c r="AZ179" i="3" s="1"/>
  <c r="BL180" i="3"/>
  <c r="G181" i="3"/>
  <c r="BA183" i="3"/>
  <c r="AZ183" i="3" s="1"/>
  <c r="BL184" i="3"/>
  <c r="G185" i="3"/>
  <c r="BA187" i="3"/>
  <c r="BL188" i="3"/>
  <c r="G189" i="3"/>
  <c r="BA191" i="3"/>
  <c r="AZ191" i="3" s="1"/>
  <c r="BL192" i="3"/>
  <c r="G193" i="3"/>
  <c r="BA195" i="3"/>
  <c r="AZ195" i="3" s="1"/>
  <c r="BL196" i="3"/>
  <c r="G197" i="3"/>
  <c r="BA199" i="3"/>
  <c r="AZ199" i="3" s="1"/>
  <c r="BL200" i="3"/>
  <c r="G201" i="3"/>
  <c r="BA203" i="3"/>
  <c r="BL204" i="3"/>
  <c r="AZ43" i="3"/>
  <c r="AZ47" i="3"/>
  <c r="AZ79" i="3"/>
  <c r="AZ83" i="3"/>
  <c r="AZ152" i="3"/>
  <c r="AZ168" i="3"/>
  <c r="AZ184" i="3"/>
  <c r="AZ200" i="3"/>
  <c r="AZ85" i="3"/>
  <c r="AZ89" i="3"/>
  <c r="AZ105" i="3"/>
  <c r="AZ120" i="3"/>
  <c r="G534" i="3"/>
  <c r="G530" i="3"/>
  <c r="G522" i="3"/>
  <c r="G516" i="3"/>
  <c r="G512" i="3"/>
  <c r="G506" i="3"/>
  <c r="G498" i="3"/>
  <c r="G494" i="3"/>
  <c r="G16" i="3"/>
  <c r="G15" i="3"/>
  <c r="BA304" i="3"/>
  <c r="BA305" i="3"/>
  <c r="BL305" i="3"/>
  <c r="G306" i="3"/>
  <c r="G309" i="3"/>
  <c r="BL310" i="3"/>
  <c r="BA312" i="3"/>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BA347" i="3"/>
  <c r="BL347" i="3"/>
  <c r="G350" i="3"/>
  <c r="BA351" i="3"/>
  <c r="BL351" i="3"/>
  <c r="G352" i="3"/>
  <c r="G354" i="3"/>
  <c r="BA355" i="3"/>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BA382" i="3"/>
  <c r="BL382" i="3"/>
  <c r="G383" i="3"/>
  <c r="G386" i="3"/>
  <c r="BL387" i="3"/>
  <c r="BA389" i="3"/>
  <c r="AZ389" i="3" s="1"/>
  <c r="BA390" i="3"/>
  <c r="BL390" i="3"/>
  <c r="AZ390" i="3" s="1"/>
  <c r="G391" i="3"/>
  <c r="G394" i="3"/>
  <c r="AZ150" i="3"/>
  <c r="AZ166" i="3"/>
  <c r="AZ182" i="3"/>
  <c r="AZ198" i="3"/>
  <c r="AZ500" i="3"/>
  <c r="BA16" i="3"/>
  <c r="AZ16" i="3" s="1"/>
  <c r="BL303" i="3"/>
  <c r="G304" i="3"/>
  <c r="BA306" i="3"/>
  <c r="AZ306" i="3" s="1"/>
  <c r="BL307" i="3"/>
  <c r="AZ307" i="3" s="1"/>
  <c r="G308" i="3"/>
  <c r="BA310" i="3"/>
  <c r="BL311" i="3"/>
  <c r="G312" i="3"/>
  <c r="BA314" i="3"/>
  <c r="AZ314" i="3" s="1"/>
  <c r="BL315" i="3"/>
  <c r="G316" i="3"/>
  <c r="BA318" i="3"/>
  <c r="BL319" i="3"/>
  <c r="AZ319" i="3" s="1"/>
  <c r="G320" i="3"/>
  <c r="BA322" i="3"/>
  <c r="AZ322" i="3" s="1"/>
  <c r="BL323" i="3"/>
  <c r="AZ323" i="3" s="1"/>
  <c r="G324" i="3"/>
  <c r="BA326" i="3"/>
  <c r="BL327" i="3"/>
  <c r="AZ327" i="3" s="1"/>
  <c r="G328" i="3"/>
  <c r="BA330" i="3"/>
  <c r="AZ330" i="3" s="1"/>
  <c r="BL331" i="3"/>
  <c r="G332" i="3"/>
  <c r="BA334" i="3"/>
  <c r="AZ334" i="3"/>
  <c r="BL335" i="3"/>
  <c r="G336" i="3"/>
  <c r="BA338" i="3"/>
  <c r="AZ338" i="3"/>
  <c r="BL339" i="3"/>
  <c r="AZ339" i="3"/>
  <c r="G340" i="3"/>
  <c r="BL343" i="3"/>
  <c r="G344" i="3"/>
  <c r="G348" i="3"/>
  <c r="G355" i="3"/>
  <c r="AZ218" i="3"/>
  <c r="AZ303" i="3"/>
  <c r="AZ335" i="3"/>
  <c r="G342" i="3"/>
  <c r="BL345" i="3"/>
  <c r="AZ345" i="3" s="1"/>
  <c r="G346" i="3"/>
  <c r="AZ348" i="3"/>
  <c r="BL349" i="3"/>
  <c r="AZ349" i="3" s="1"/>
  <c r="BL352" i="3"/>
  <c r="AZ352" i="3" s="1"/>
  <c r="G353" i="3"/>
  <c r="BA357" i="3"/>
  <c r="AZ357" i="3" s="1"/>
  <c r="BL358" i="3"/>
  <c r="AZ358" i="3" s="1"/>
  <c r="G359" i="3"/>
  <c r="BA361" i="3"/>
  <c r="BL362" i="3"/>
  <c r="G363" i="3"/>
  <c r="BA365" i="3"/>
  <c r="AZ365" i="3" s="1"/>
  <c r="BL366" i="3"/>
  <c r="AZ366" i="3" s="1"/>
  <c r="G367" i="3"/>
  <c r="BA369" i="3"/>
  <c r="AZ369" i="3" s="1"/>
  <c r="BL370" i="3"/>
  <c r="G371" i="3"/>
  <c r="BA373" i="3"/>
  <c r="AZ373" i="3" s="1"/>
  <c r="BL374" i="3"/>
  <c r="AZ374" i="3" s="1"/>
  <c r="G375" i="3"/>
  <c r="BA377" i="3"/>
  <c r="AZ377" i="3" s="1"/>
  <c r="AZ229" i="3"/>
  <c r="AZ257" i="3"/>
  <c r="AZ261" i="3"/>
  <c r="AZ265" i="3"/>
  <c r="AZ370" i="3"/>
  <c r="BA379" i="3"/>
  <c r="AZ379" i="3"/>
  <c r="BL380" i="3"/>
  <c r="G381" i="3"/>
  <c r="BA383" i="3"/>
  <c r="BL384" i="3"/>
  <c r="G385" i="3"/>
  <c r="BA387" i="3"/>
  <c r="AZ387" i="3" s="1"/>
  <c r="BL388" i="3"/>
  <c r="G389" i="3"/>
  <c r="BA391" i="3"/>
  <c r="AZ391" i="3" s="1"/>
  <c r="BL392" i="3"/>
  <c r="G393" i="3"/>
  <c r="AZ263" i="3"/>
  <c r="AZ279" i="3"/>
  <c r="AZ287" i="3"/>
  <c r="AZ295" i="3"/>
  <c r="BM5" i="3"/>
  <c r="BJ5" i="3"/>
  <c r="BH5" i="3"/>
  <c r="BF5" i="3"/>
  <c r="BD5" i="3"/>
  <c r="BQ5" i="3"/>
  <c r="AC5" i="3"/>
  <c r="AZ549" i="3"/>
  <c r="AZ506" i="3"/>
  <c r="AZ496" i="3"/>
  <c r="G548" i="3"/>
  <c r="G538" i="3"/>
  <c r="G520" i="3"/>
  <c r="G502" i="3"/>
  <c r="BP5" i="3"/>
  <c r="BN5" i="3"/>
  <c r="BI5" i="3"/>
  <c r="BE5" i="3"/>
  <c r="G17" i="3"/>
  <c r="BA17" i="3"/>
  <c r="BT5" i="3"/>
  <c r="BA15" i="3"/>
  <c r="BB5" i="3"/>
  <c r="E8" i="6" s="1"/>
  <c r="BR5" i="3"/>
  <c r="AZ380" i="3"/>
  <c r="AZ499" i="3"/>
  <c r="G509" i="3"/>
  <c r="BL493" i="3"/>
  <c r="AZ493" i="3" s="1"/>
  <c r="AZ382" i="3"/>
  <c r="U36" i="40"/>
  <c r="N4" i="43"/>
  <c r="F36" i="43"/>
  <c r="F81" i="43"/>
  <c r="H83" i="43" s="1"/>
  <c r="H113" i="43"/>
  <c r="F48" i="43"/>
  <c r="H52" i="43" s="1"/>
  <c r="N7" i="43"/>
  <c r="F70" i="43"/>
  <c r="H73" i="43" s="1"/>
  <c r="M6" i="43"/>
  <c r="M11" i="43"/>
  <c r="E17" i="43"/>
  <c r="F39" i="43"/>
  <c r="I17" i="43"/>
  <c r="F35" i="43"/>
  <c r="J17" i="43"/>
  <c r="U17" i="39"/>
  <c r="S14" i="35"/>
  <c r="U43" i="21"/>
  <c r="U35" i="21"/>
  <c r="AC35" i="21"/>
  <c r="U10" i="21"/>
  <c r="G8" i="1"/>
  <c r="G9" i="1"/>
  <c r="G10" i="1"/>
  <c r="F48" i="9"/>
  <c r="O52" i="9" s="1"/>
  <c r="AC11" i="39"/>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AC12" i="36"/>
  <c r="H20" i="36"/>
  <c r="U20" i="36" s="1"/>
  <c r="J20" i="36"/>
  <c r="W20" i="36" s="1"/>
  <c r="J27" i="36"/>
  <c r="W27" i="36" s="1"/>
  <c r="AC33" i="40"/>
  <c r="F111" i="40"/>
  <c r="G111" i="40"/>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C40" i="11"/>
  <c r="AZ215" i="3"/>
  <c r="AZ227" i="3"/>
  <c r="AZ256" i="3"/>
  <c r="AZ259" i="3"/>
  <c r="AZ280" i="3"/>
  <c r="AZ296" i="3"/>
  <c r="AZ114" i="3"/>
  <c r="AZ45" i="3"/>
  <c r="AZ50" i="3"/>
  <c r="AZ82" i="3"/>
  <c r="AZ102" i="3"/>
  <c r="H74" i="43"/>
  <c r="H49" i="43"/>
  <c r="I20" i="43"/>
  <c r="F23" i="39"/>
  <c r="AA23" i="39" s="1"/>
  <c r="H27" i="36"/>
  <c r="U27" i="36" s="1"/>
  <c r="F27" i="36"/>
  <c r="AA27" i="36" s="1"/>
  <c r="H33" i="34"/>
  <c r="U33" i="34" s="1"/>
  <c r="F32" i="37"/>
  <c r="AA32" i="37" s="1"/>
  <c r="F20" i="36"/>
  <c r="AA20" i="36" s="1"/>
  <c r="J33" i="34"/>
  <c r="AC33" i="34" s="1"/>
  <c r="H23" i="39"/>
  <c r="U23" i="39" s="1"/>
  <c r="D48" i="9"/>
  <c r="M52" i="9" s="1"/>
  <c r="H86" i="43"/>
  <c r="H82" i="43"/>
  <c r="H87" i="43"/>
  <c r="K9" i="1"/>
  <c r="M9" i="1" s="1"/>
  <c r="O9" i="1" s="1"/>
  <c r="P9" i="1" s="1"/>
  <c r="AE9" i="1"/>
  <c r="AZ131" i="3" l="1"/>
  <c r="W11" i="40"/>
  <c r="AC11" i="40"/>
  <c r="AC28" i="36"/>
  <c r="W28" i="36"/>
  <c r="AB30" i="37"/>
  <c r="U30" i="37"/>
  <c r="AB14" i="37"/>
  <c r="U14" i="37"/>
  <c r="H25" i="37"/>
  <c r="F25" i="37"/>
  <c r="AA25" i="37" s="1"/>
  <c r="U8" i="39"/>
  <c r="AB8" i="39"/>
  <c r="AA40" i="39"/>
  <c r="S40" i="39"/>
  <c r="J37" i="39"/>
  <c r="F37" i="39"/>
  <c r="AA37" i="39" s="1"/>
  <c r="AC8" i="40"/>
  <c r="W8" i="40"/>
  <c r="AB9" i="40"/>
  <c r="U9" i="40"/>
  <c r="AB38" i="40"/>
  <c r="U38" i="40"/>
  <c r="AC32" i="40"/>
  <c r="W32" i="40"/>
  <c r="H48" i="43"/>
  <c r="H50" i="43"/>
  <c r="H75" i="43"/>
  <c r="AZ361" i="3"/>
  <c r="AZ318" i="3"/>
  <c r="AZ315" i="3"/>
  <c r="AZ310" i="3"/>
  <c r="AZ355" i="3"/>
  <c r="AZ351" i="3"/>
  <c r="AZ312" i="3"/>
  <c r="AZ304" i="3"/>
  <c r="AZ203" i="3"/>
  <c r="AZ140" i="3"/>
  <c r="AZ394" i="3"/>
  <c r="AZ341" i="3"/>
  <c r="AZ325" i="3"/>
  <c r="AZ309" i="3"/>
  <c r="AC45" i="33"/>
  <c r="AA13" i="33"/>
  <c r="AB13" i="34"/>
  <c r="AC32" i="36"/>
  <c r="AA41" i="34"/>
  <c r="AZ555" i="3"/>
  <c r="AZ565" i="3"/>
  <c r="AZ566" i="3"/>
  <c r="AZ574" i="3"/>
  <c r="AC28" i="21"/>
  <c r="AA39" i="37"/>
  <c r="U8" i="35"/>
  <c r="AB12" i="33"/>
  <c r="U34" i="40"/>
  <c r="J44" i="39"/>
  <c r="AB34" i="21"/>
  <c r="U34" i="21"/>
  <c r="B71" i="43"/>
  <c r="C21" i="39"/>
  <c r="H9" i="33"/>
  <c r="AB9" i="33" s="1"/>
  <c r="F9" i="33"/>
  <c r="E77" i="33"/>
  <c r="J26" i="33"/>
  <c r="H26" i="33"/>
  <c r="U26" i="33" s="1"/>
  <c r="AA9" i="34"/>
  <c r="S9" i="34"/>
  <c r="AB34" i="34"/>
  <c r="U34" i="34"/>
  <c r="F28" i="34"/>
  <c r="J28" i="34"/>
  <c r="AC34" i="35"/>
  <c r="W34" i="35"/>
  <c r="H12" i="35"/>
  <c r="U12" i="35" s="1"/>
  <c r="F12" i="35"/>
  <c r="H34" i="35"/>
  <c r="AB34" i="35" s="1"/>
  <c r="F34" i="35"/>
  <c r="W27" i="35"/>
  <c r="AC27" i="35"/>
  <c r="H23" i="36"/>
  <c r="AB23" i="36" s="1"/>
  <c r="J23" i="36"/>
  <c r="AC23" i="36" s="1"/>
  <c r="S31" i="36"/>
  <c r="AA31" i="36"/>
  <c r="J26" i="37"/>
  <c r="J39" i="37"/>
  <c r="AC39" i="37" s="1"/>
  <c r="H39" i="37"/>
  <c r="AC31" i="40"/>
  <c r="W31" i="40"/>
  <c r="F38" i="40"/>
  <c r="J38" i="40"/>
  <c r="AC38" i="40" s="1"/>
  <c r="J40" i="40"/>
  <c r="F40" i="40"/>
  <c r="S38" i="34"/>
  <c r="AA38" i="34"/>
  <c r="AB34" i="37"/>
  <c r="U34" i="37"/>
  <c r="AA31" i="35"/>
  <c r="S31" i="35"/>
  <c r="W31" i="35"/>
  <c r="AC31" i="35"/>
  <c r="M20" i="15"/>
  <c r="F34" i="82"/>
  <c r="F62" i="82" s="1"/>
  <c r="M20" i="82"/>
  <c r="G578" i="3"/>
  <c r="G574" i="3"/>
  <c r="BO5" i="3"/>
  <c r="F29" i="6" s="1"/>
  <c r="F30" i="6" s="1"/>
  <c r="BS5" i="3"/>
  <c r="F7" i="1"/>
  <c r="G7" i="1" s="1"/>
  <c r="G400" i="3"/>
  <c r="BA401" i="3"/>
  <c r="BL401" i="3"/>
  <c r="BA403" i="3"/>
  <c r="BL403" i="3"/>
  <c r="BA404" i="3"/>
  <c r="AZ404" i="3" s="1"/>
  <c r="BA406" i="3"/>
  <c r="BL406" i="3"/>
  <c r="BA407" i="3"/>
  <c r="AZ407" i="3" s="1"/>
  <c r="BL409" i="3"/>
  <c r="G410" i="3"/>
  <c r="BL411" i="3"/>
  <c r="G412" i="3"/>
  <c r="G416" i="3"/>
  <c r="BA417" i="3"/>
  <c r="BL417" i="3"/>
  <c r="BA419" i="3"/>
  <c r="BL419" i="3"/>
  <c r="BA420" i="3"/>
  <c r="AZ420" i="3" s="1"/>
  <c r="BA422" i="3"/>
  <c r="BL422" i="3"/>
  <c r="BA423" i="3"/>
  <c r="AZ423" i="3" s="1"/>
  <c r="BA424" i="3"/>
  <c r="AZ424" i="3" s="1"/>
  <c r="BL426" i="3"/>
  <c r="G427" i="3"/>
  <c r="BA428" i="3"/>
  <c r="BL428" i="3"/>
  <c r="BA429" i="3"/>
  <c r="AZ429" i="3" s="1"/>
  <c r="BA430" i="3"/>
  <c r="AZ430" i="3" s="1"/>
  <c r="BL432" i="3"/>
  <c r="G433" i="3"/>
  <c r="G435" i="3"/>
  <c r="G438" i="3"/>
  <c r="G442" i="3"/>
  <c r="G444" i="3"/>
  <c r="BA445" i="3"/>
  <c r="AZ445" i="3" s="1"/>
  <c r="BL445" i="3"/>
  <c r="BL447" i="3"/>
  <c r="G448" i="3"/>
  <c r="BA449" i="3"/>
  <c r="AZ449" i="3" s="1"/>
  <c r="BL449" i="3"/>
  <c r="BA451" i="3"/>
  <c r="BL451" i="3"/>
  <c r="BA452" i="3"/>
  <c r="AZ452" i="3" s="1"/>
  <c r="BA454" i="3"/>
  <c r="BL454" i="3"/>
  <c r="BA455" i="3"/>
  <c r="AZ455" i="3" s="1"/>
  <c r="BA456" i="3"/>
  <c r="AZ456" i="3" s="1"/>
  <c r="BA458" i="3"/>
  <c r="BL458" i="3"/>
  <c r="AZ458" i="3" s="1"/>
  <c r="BL460" i="3"/>
  <c r="G461" i="3"/>
  <c r="G463" i="3"/>
  <c r="BL464" i="3"/>
  <c r="G465" i="3"/>
  <c r="BA466" i="3"/>
  <c r="AZ466" i="3" s="1"/>
  <c r="BA467" i="3"/>
  <c r="AZ467" i="3" s="1"/>
  <c r="BA469" i="3"/>
  <c r="AZ469" i="3" s="1"/>
  <c r="BL469" i="3"/>
  <c r="BA470" i="3"/>
  <c r="AZ470" i="3" s="1"/>
  <c r="BA471" i="3"/>
  <c r="AZ471" i="3" s="1"/>
  <c r="BA472" i="3"/>
  <c r="AZ472" i="3" s="1"/>
  <c r="BL474" i="3"/>
  <c r="G475" i="3"/>
  <c r="BA476" i="3"/>
  <c r="BL476" i="3"/>
  <c r="BL478" i="3"/>
  <c r="G479" i="3"/>
  <c r="BA480" i="3"/>
  <c r="BL480" i="3"/>
  <c r="BL482" i="3"/>
  <c r="G483" i="3"/>
  <c r="G487" i="3"/>
  <c r="G491" i="3"/>
  <c r="BL312" i="3"/>
  <c r="G313" i="3"/>
  <c r="BA315" i="3"/>
  <c r="BL317" i="3"/>
  <c r="G318" i="3"/>
  <c r="BA333" i="3"/>
  <c r="AZ333" i="3" s="1"/>
  <c r="G339" i="3"/>
  <c r="BL340" i="3"/>
  <c r="AZ340" i="3" s="1"/>
  <c r="G343" i="3"/>
  <c r="BL350" i="3"/>
  <c r="G351" i="3"/>
  <c r="BA354" i="3"/>
  <c r="AZ354" i="3" s="1"/>
  <c r="BA367" i="3"/>
  <c r="BL367" i="3"/>
  <c r="G380" i="3"/>
  <c r="BL381" i="3"/>
  <c r="AZ381" i="3" s="1"/>
  <c r="BA384" i="3"/>
  <c r="AZ384" i="3" s="1"/>
  <c r="BA386" i="3"/>
  <c r="AZ386" i="3" s="1"/>
  <c r="BL386" i="3"/>
  <c r="G392" i="3"/>
  <c r="BL393" i="3"/>
  <c r="AZ393" i="3" s="1"/>
  <c r="BA396" i="3"/>
  <c r="AZ396" i="3" s="1"/>
  <c r="BL396" i="3"/>
  <c r="BA397" i="3"/>
  <c r="AZ397" i="3" s="1"/>
  <c r="BA209" i="3"/>
  <c r="BL209" i="3"/>
  <c r="BA210" i="3"/>
  <c r="AZ210" i="3" s="1"/>
  <c r="BL212" i="3"/>
  <c r="G213" i="3"/>
  <c r="G215" i="3"/>
  <c r="G218" i="3"/>
  <c r="BL221" i="3"/>
  <c r="G222" i="3"/>
  <c r="BL223" i="3"/>
  <c r="G224" i="3"/>
  <c r="G227" i="3"/>
  <c r="G231" i="3"/>
  <c r="BL232" i="3"/>
  <c r="G233" i="3"/>
  <c r="BA234" i="3"/>
  <c r="BL234" i="3"/>
  <c r="BL236" i="3"/>
  <c r="G237" i="3"/>
  <c r="BA238" i="3"/>
  <c r="BL238" i="3"/>
  <c r="BA239" i="3"/>
  <c r="AZ239" i="3" s="1"/>
  <c r="BA240" i="3"/>
  <c r="AZ240" i="3" s="1"/>
  <c r="BA241" i="3"/>
  <c r="AZ241" i="3" s="1"/>
  <c r="BA243" i="3"/>
  <c r="BL243" i="3"/>
  <c r="BA244" i="3"/>
  <c r="AZ244" i="3" s="1"/>
  <c r="BA245" i="3"/>
  <c r="AZ245" i="3" s="1"/>
  <c r="BL247" i="3"/>
  <c r="G248" i="3"/>
  <c r="BL249" i="3"/>
  <c r="G250" i="3"/>
  <c r="G252" i="3"/>
  <c r="BL253" i="3"/>
  <c r="G254" i="3"/>
  <c r="G259" i="3"/>
  <c r="G263" i="3"/>
  <c r="G267" i="3"/>
  <c r="BL268" i="3"/>
  <c r="G269" i="3"/>
  <c r="BA270" i="3"/>
  <c r="BL270" i="3"/>
  <c r="BL272" i="3"/>
  <c r="G273" i="3"/>
  <c r="BA274" i="3"/>
  <c r="BL274" i="3"/>
  <c r="BL276" i="3"/>
  <c r="G277" i="3"/>
  <c r="G282" i="3"/>
  <c r="BL283" i="3"/>
  <c r="G284" i="3"/>
  <c r="G287" i="3"/>
  <c r="G289" i="3"/>
  <c r="BA290" i="3"/>
  <c r="AZ290" i="3" s="1"/>
  <c r="BL290" i="3"/>
  <c r="BL292" i="3"/>
  <c r="G293" i="3"/>
  <c r="G298" i="3"/>
  <c r="BL299" i="3"/>
  <c r="G300" i="3"/>
  <c r="G118" i="3"/>
  <c r="G120" i="3"/>
  <c r="BL121" i="3"/>
  <c r="G122" i="3"/>
  <c r="BA125" i="3"/>
  <c r="BL125" i="3"/>
  <c r="BA126" i="3"/>
  <c r="AZ126" i="3" s="1"/>
  <c r="BL127" i="3"/>
  <c r="AZ127" i="3" s="1"/>
  <c r="BA129" i="3"/>
  <c r="AZ129" i="3" s="1"/>
  <c r="BA130" i="3"/>
  <c r="AZ130" i="3" s="1"/>
  <c r="BL131" i="3"/>
  <c r="BL134" i="3"/>
  <c r="G135" i="3"/>
  <c r="BA136" i="3"/>
  <c r="AZ136" i="3" s="1"/>
  <c r="BL138" i="3"/>
  <c r="G139" i="3"/>
  <c r="BA140" i="3"/>
  <c r="BL142" i="3"/>
  <c r="G143" i="3"/>
  <c r="BA144" i="3"/>
  <c r="AZ144" i="3" s="1"/>
  <c r="BL146" i="3"/>
  <c r="G147" i="3"/>
  <c r="G150" i="3"/>
  <c r="BA153" i="3"/>
  <c r="AZ153" i="3" s="1"/>
  <c r="BL153" i="3"/>
  <c r="BL155" i="3"/>
  <c r="AZ155" i="3" s="1"/>
  <c r="G156" i="3"/>
  <c r="BA158" i="3"/>
  <c r="AZ158" i="3" s="1"/>
  <c r="BL158" i="3"/>
  <c r="BA160" i="3"/>
  <c r="AZ160" i="3" s="1"/>
  <c r="G163" i="3"/>
  <c r="G166" i="3"/>
  <c r="BA169" i="3"/>
  <c r="BL169" i="3"/>
  <c r="BL171" i="3"/>
  <c r="AZ171" i="3" s="1"/>
  <c r="G172" i="3"/>
  <c r="BA174" i="3"/>
  <c r="BL174" i="3"/>
  <c r="BA176" i="3"/>
  <c r="AZ176" i="3" s="1"/>
  <c r="G179" i="3"/>
  <c r="G182" i="3"/>
  <c r="BA185" i="3"/>
  <c r="AZ185" i="3" s="1"/>
  <c r="BL185" i="3"/>
  <c r="BL187" i="3"/>
  <c r="AZ187" i="3" s="1"/>
  <c r="G188" i="3"/>
  <c r="BA190" i="3"/>
  <c r="AZ190" i="3" s="1"/>
  <c r="BL190" i="3"/>
  <c r="BA192" i="3"/>
  <c r="AZ192" i="3" s="1"/>
  <c r="G195" i="3"/>
  <c r="G198" i="3"/>
  <c r="BA201" i="3"/>
  <c r="BL201" i="3"/>
  <c r="BL203" i="3"/>
  <c r="G204" i="3"/>
  <c r="BL205" i="3"/>
  <c r="G206" i="3"/>
  <c r="BA207" i="3"/>
  <c r="BL207" i="3"/>
  <c r="G18" i="3"/>
  <c r="F19" i="6" s="1"/>
  <c r="G20" i="3"/>
  <c r="G22" i="3"/>
  <c r="G24" i="3"/>
  <c r="G26" i="3"/>
  <c r="BA27" i="3"/>
  <c r="AZ27" i="3" s="1"/>
  <c r="BA28" i="3"/>
  <c r="AZ28" i="3" s="1"/>
  <c r="BA29" i="3"/>
  <c r="AZ29" i="3" s="1"/>
  <c r="G31" i="3"/>
  <c r="BA32" i="3"/>
  <c r="G33" i="3"/>
  <c r="BA33" i="3"/>
  <c r="G34" i="3"/>
  <c r="BA35" i="3"/>
  <c r="BL35" i="3"/>
  <c r="BL36" i="3"/>
  <c r="G37" i="3"/>
  <c r="BA38" i="3"/>
  <c r="AZ38" i="3" s="1"/>
  <c r="BL38" i="3"/>
  <c r="BL40" i="3"/>
  <c r="G41" i="3"/>
  <c r="G43" i="3"/>
  <c r="G47" i="3"/>
  <c r="G50" i="3"/>
  <c r="G52" i="3"/>
  <c r="BL53" i="3"/>
  <c r="G54" i="3"/>
  <c r="G56" i="3"/>
  <c r="BA57" i="3"/>
  <c r="BL57" i="3"/>
  <c r="BA59" i="3"/>
  <c r="BL59" i="3"/>
  <c r="BA60" i="3"/>
  <c r="AZ60" i="3" s="1"/>
  <c r="BA61" i="3"/>
  <c r="AZ61" i="3" s="1"/>
  <c r="BA63" i="3"/>
  <c r="BL63" i="3"/>
  <c r="G64" i="3"/>
  <c r="BA65" i="3"/>
  <c r="AZ65" i="3" s="1"/>
  <c r="BL65" i="3"/>
  <c r="BA67" i="3"/>
  <c r="AZ67" i="3" s="1"/>
  <c r="BL67" i="3"/>
  <c r="BA68" i="3"/>
  <c r="AZ68" i="3" s="1"/>
  <c r="BA69" i="3"/>
  <c r="AZ69" i="3" s="1"/>
  <c r="BA71" i="3"/>
  <c r="AZ71" i="3" s="1"/>
  <c r="BL71" i="3"/>
  <c r="BL73" i="3"/>
  <c r="G74" i="3"/>
  <c r="BL75" i="3"/>
  <c r="G76" i="3"/>
  <c r="G78" i="3"/>
  <c r="G81" i="3"/>
  <c r="G85" i="3"/>
  <c r="G87" i="3"/>
  <c r="G89" i="3"/>
  <c r="G92" i="3"/>
  <c r="BL93" i="3"/>
  <c r="G94" i="3"/>
  <c r="BA95" i="3"/>
  <c r="AZ95" i="3" s="1"/>
  <c r="BL95" i="3"/>
  <c r="BA96" i="3"/>
  <c r="AZ96" i="3" s="1"/>
  <c r="BA97" i="3"/>
  <c r="AZ97" i="3" s="1"/>
  <c r="BL99" i="3"/>
  <c r="G100" i="3"/>
  <c r="G102" i="3"/>
  <c r="G105" i="3"/>
  <c r="BA107" i="3"/>
  <c r="BL107" i="3"/>
  <c r="BL108" i="3"/>
  <c r="G109" i="3"/>
  <c r="BL110" i="3"/>
  <c r="G111" i="3"/>
  <c r="G1" i="82"/>
  <c r="J51" i="15"/>
  <c r="K100" i="43"/>
  <c r="J51" i="82"/>
  <c r="C7" i="79"/>
  <c r="C58" i="79" s="1"/>
  <c r="BL33" i="3"/>
  <c r="BL31" i="3"/>
  <c r="AZ31" i="3" s="1"/>
  <c r="BA30" i="3"/>
  <c r="BA26" i="3"/>
  <c r="BL26" i="3"/>
  <c r="BK5" i="3"/>
  <c r="BG5" i="3"/>
  <c r="BC5" i="3"/>
  <c r="E15" i="6" s="1"/>
  <c r="C5" i="11"/>
  <c r="BA18" i="3"/>
  <c r="AZ18" i="3" s="1"/>
  <c r="BA19" i="3"/>
  <c r="BA21" i="3"/>
  <c r="BA23" i="3"/>
  <c r="BL23" i="3"/>
  <c r="BL25" i="3"/>
  <c r="H103" i="9"/>
  <c r="D8" i="53" s="1"/>
  <c r="B24" i="72" s="1"/>
  <c r="G123" i="33"/>
  <c r="H123" i="33" s="1"/>
  <c r="I123" i="33" s="1"/>
  <c r="J123" i="33" s="1"/>
  <c r="K123" i="33" s="1"/>
  <c r="L123" i="33" s="1"/>
  <c r="M123" i="33" s="1"/>
  <c r="J42" i="33"/>
  <c r="AC42" i="33" s="1"/>
  <c r="H42" i="33"/>
  <c r="AB42" i="33" s="1"/>
  <c r="F42" i="33"/>
  <c r="AA42" i="33" s="1"/>
  <c r="J41" i="33"/>
  <c r="AC41" i="33" s="1"/>
  <c r="U43" i="33"/>
  <c r="W41" i="33"/>
  <c r="S41" i="33"/>
  <c r="W39" i="33"/>
  <c r="S38" i="33"/>
  <c r="U35" i="33"/>
  <c r="C15" i="39"/>
  <c r="A15" i="62"/>
  <c r="B61" i="72" s="1"/>
  <c r="W12" i="34"/>
  <c r="AC12" i="34"/>
  <c r="AB12" i="35"/>
  <c r="U34" i="35"/>
  <c r="W12" i="40"/>
  <c r="AC12" i="40"/>
  <c r="S12" i="21"/>
  <c r="AA12" i="21"/>
  <c r="AB9" i="36"/>
  <c r="U9" i="36"/>
  <c r="AC24" i="36"/>
  <c r="W24" i="36"/>
  <c r="AZ521" i="3"/>
  <c r="AZ581" i="3"/>
  <c r="BL586" i="3"/>
  <c r="AZ585" i="3"/>
  <c r="G398" i="3"/>
  <c r="G399" i="3"/>
  <c r="BL399" i="3"/>
  <c r="BA400" i="3"/>
  <c r="AZ400" i="3" s="1"/>
  <c r="BL402" i="3"/>
  <c r="AZ402" i="3" s="1"/>
  <c r="G405" i="3"/>
  <c r="BL405" i="3"/>
  <c r="G408" i="3"/>
  <c r="BL408" i="3"/>
  <c r="BA409" i="3"/>
  <c r="AZ409" i="3" s="1"/>
  <c r="BA410" i="3"/>
  <c r="AZ410" i="3" s="1"/>
  <c r="BA411" i="3"/>
  <c r="AZ411" i="3" s="1"/>
  <c r="G414" i="3"/>
  <c r="G415" i="3"/>
  <c r="BL415" i="3"/>
  <c r="BA416" i="3"/>
  <c r="AZ416" i="3" s="1"/>
  <c r="BL418" i="3"/>
  <c r="AZ418" i="3" s="1"/>
  <c r="G421" i="3"/>
  <c r="BL421" i="3"/>
  <c r="G424" i="3"/>
  <c r="G425" i="3"/>
  <c r="BL425" i="3"/>
  <c r="AZ425" i="3" s="1"/>
  <c r="BA426" i="3"/>
  <c r="BA427" i="3"/>
  <c r="AZ427" i="3" s="1"/>
  <c r="G430" i="3"/>
  <c r="G431" i="3"/>
  <c r="BL431" i="3"/>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AZ453" i="3" s="1"/>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G489" i="3"/>
  <c r="G490" i="3"/>
  <c r="BL490" i="3"/>
  <c r="G311" i="3"/>
  <c r="G315" i="3"/>
  <c r="BA317" i="3"/>
  <c r="AZ317" i="3" s="1"/>
  <c r="G327" i="3"/>
  <c r="G331" i="3"/>
  <c r="G28" i="6"/>
  <c r="AZ326" i="3"/>
  <c r="AZ311" i="3"/>
  <c r="AZ372" i="3"/>
  <c r="AZ347" i="3"/>
  <c r="AZ344" i="3"/>
  <c r="AZ337" i="3"/>
  <c r="AZ320" i="3"/>
  <c r="AZ313" i="3"/>
  <c r="AZ305" i="3"/>
  <c r="AZ362" i="3"/>
  <c r="S14" i="40"/>
  <c r="W47" i="34"/>
  <c r="AB28" i="37"/>
  <c r="AZ569" i="3"/>
  <c r="AZ577" i="3"/>
  <c r="AZ557" i="3"/>
  <c r="AZ516" i="3"/>
  <c r="AZ524" i="3"/>
  <c r="AZ532" i="3"/>
  <c r="AZ536" i="3"/>
  <c r="AZ544" i="3"/>
  <c r="AZ554" i="3"/>
  <c r="AZ558" i="3"/>
  <c r="AZ582" i="3"/>
  <c r="S11" i="36"/>
  <c r="AB26" i="33"/>
  <c r="AB11" i="35"/>
  <c r="AA44" i="33"/>
  <c r="F26" i="33"/>
  <c r="W9" i="34"/>
  <c r="J12" i="21"/>
  <c r="AC12" i="21" s="1"/>
  <c r="F12" i="34"/>
  <c r="J23" i="35"/>
  <c r="J36" i="35"/>
  <c r="H12" i="36"/>
  <c r="H24" i="36"/>
  <c r="AB24" i="36" s="1"/>
  <c r="H39" i="40"/>
  <c r="G582" i="3"/>
  <c r="G566" i="3"/>
  <c r="G552" i="3"/>
  <c r="BA551" i="3"/>
  <c r="G551" i="3"/>
  <c r="BL550" i="3"/>
  <c r="AZ550" i="3" s="1"/>
  <c r="BA550" i="3"/>
  <c r="BL548" i="3"/>
  <c r="AZ548" i="3" s="1"/>
  <c r="G526" i="3"/>
  <c r="BL15" i="3"/>
  <c r="AZ15" i="3" s="1"/>
  <c r="AZ399" i="3"/>
  <c r="AZ403" i="3"/>
  <c r="AZ405" i="3"/>
  <c r="AZ406" i="3"/>
  <c r="AZ415" i="3"/>
  <c r="AZ419" i="3"/>
  <c r="AZ421" i="3"/>
  <c r="AZ422" i="3"/>
  <c r="AZ431" i="3"/>
  <c r="AZ435" i="3"/>
  <c r="AZ438" i="3"/>
  <c r="AZ442" i="3"/>
  <c r="AZ451" i="3"/>
  <c r="AZ454" i="3"/>
  <c r="AZ468" i="3"/>
  <c r="AZ486" i="3"/>
  <c r="AZ487" i="3"/>
  <c r="BA331" i="3"/>
  <c r="AZ331" i="3" s="1"/>
  <c r="BL332" i="3"/>
  <c r="AZ332" i="3" s="1"/>
  <c r="G334" i="3"/>
  <c r="BL346" i="3"/>
  <c r="AZ346" i="3" s="1"/>
  <c r="G349" i="3"/>
  <c r="BA350" i="3"/>
  <c r="BL353" i="3"/>
  <c r="AZ353" i="3" s="1"/>
  <c r="G362" i="3"/>
  <c r="G366" i="3"/>
  <c r="BA368" i="3"/>
  <c r="AZ368" i="3" s="1"/>
  <c r="G378" i="3"/>
  <c r="BL383" i="3"/>
  <c r="AZ383" i="3" s="1"/>
  <c r="BA385" i="3"/>
  <c r="AZ385" i="3" s="1"/>
  <c r="BA388" i="3"/>
  <c r="AZ388" i="3" s="1"/>
  <c r="BA392" i="3"/>
  <c r="AZ392" i="3" s="1"/>
  <c r="G395" i="3"/>
  <c r="BL395" i="3"/>
  <c r="AZ395" i="3" s="1"/>
  <c r="G208" i="3"/>
  <c r="BL208" i="3"/>
  <c r="AZ208" i="3" s="1"/>
  <c r="G211" i="3"/>
  <c r="BL211" i="3"/>
  <c r="AZ211" i="3" s="1"/>
  <c r="BA212" i="3"/>
  <c r="BL214" i="3"/>
  <c r="AZ214" i="3" s="1"/>
  <c r="G217" i="3"/>
  <c r="BL217" i="3"/>
  <c r="AZ217" i="3" s="1"/>
  <c r="G220" i="3"/>
  <c r="BL220" i="3"/>
  <c r="AZ220" i="3" s="1"/>
  <c r="BA221" i="3"/>
  <c r="BA222" i="3"/>
  <c r="AZ222" i="3" s="1"/>
  <c r="BA223" i="3"/>
  <c r="G226" i="3"/>
  <c r="BL226" i="3"/>
  <c r="AZ226" i="3" s="1"/>
  <c r="G229" i="3"/>
  <c r="G230" i="3"/>
  <c r="BL230" i="3"/>
  <c r="AZ230" i="3" s="1"/>
  <c r="BA231" i="3"/>
  <c r="AZ231" i="3" s="1"/>
  <c r="BA232" i="3"/>
  <c r="AZ232" i="3" s="1"/>
  <c r="BA233" i="3"/>
  <c r="AZ233" i="3" s="1"/>
  <c r="BL235" i="3"/>
  <c r="AZ235" i="3" s="1"/>
  <c r="BA236" i="3"/>
  <c r="BA237" i="3"/>
  <c r="AZ237" i="3" s="1"/>
  <c r="G240" i="3"/>
  <c r="G241" i="3"/>
  <c r="G242" i="3"/>
  <c r="BL242" i="3"/>
  <c r="AZ242" i="3" s="1"/>
  <c r="G245" i="3"/>
  <c r="G246" i="3"/>
  <c r="BL246" i="3"/>
  <c r="AZ246" i="3" s="1"/>
  <c r="BA247" i="3"/>
  <c r="AZ247" i="3" s="1"/>
  <c r="BA248" i="3"/>
  <c r="AZ248" i="3" s="1"/>
  <c r="BA249" i="3"/>
  <c r="AZ249" i="3" s="1"/>
  <c r="BL251" i="3"/>
  <c r="AZ251" i="3" s="1"/>
  <c r="BA252" i="3"/>
  <c r="AZ252" i="3" s="1"/>
  <c r="BA253" i="3"/>
  <c r="G256" i="3"/>
  <c r="G257" i="3"/>
  <c r="G258" i="3"/>
  <c r="BL258" i="3"/>
  <c r="AZ258" i="3" s="1"/>
  <c r="G261" i="3"/>
  <c r="G262" i="3"/>
  <c r="BL262" i="3"/>
  <c r="AZ262" i="3" s="1"/>
  <c r="G265" i="3"/>
  <c r="G266" i="3"/>
  <c r="BL266" i="3"/>
  <c r="BA267" i="3"/>
  <c r="AZ267" i="3" s="1"/>
  <c r="BA268" i="3"/>
  <c r="AZ268" i="3" s="1"/>
  <c r="BA269" i="3"/>
  <c r="AZ269" i="3" s="1"/>
  <c r="BL271" i="3"/>
  <c r="AZ271" i="3" s="1"/>
  <c r="BA272" i="3"/>
  <c r="AZ272" i="3" s="1"/>
  <c r="BA273" i="3"/>
  <c r="AZ273" i="3" s="1"/>
  <c r="BL275" i="3"/>
  <c r="AZ275" i="3" s="1"/>
  <c r="BA276" i="3"/>
  <c r="AZ276" i="3" s="1"/>
  <c r="G279" i="3"/>
  <c r="G280" i="3"/>
  <c r="G281" i="3"/>
  <c r="BL281" i="3"/>
  <c r="BA282" i="3"/>
  <c r="AZ282" i="3" s="1"/>
  <c r="BA283" i="3"/>
  <c r="G286" i="3"/>
  <c r="BL286" i="3"/>
  <c r="BL288" i="3"/>
  <c r="AZ288" i="3" s="1"/>
  <c r="BA289" i="3"/>
  <c r="AZ289" i="3" s="1"/>
  <c r="BL291" i="3"/>
  <c r="AZ291" i="3" s="1"/>
  <c r="BA292" i="3"/>
  <c r="G295" i="3"/>
  <c r="G296" i="3"/>
  <c r="G297" i="3"/>
  <c r="BL297" i="3"/>
  <c r="BA298" i="3"/>
  <c r="AZ298" i="3" s="1"/>
  <c r="BA299" i="3"/>
  <c r="AZ299" i="3" s="1"/>
  <c r="G302" i="3"/>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L149" i="3"/>
  <c r="G152" i="3"/>
  <c r="BL154" i="3"/>
  <c r="AZ154" i="3" s="1"/>
  <c r="BA156" i="3"/>
  <c r="AZ156" i="3" s="1"/>
  <c r="BL157" i="3"/>
  <c r="G160" i="3"/>
  <c r="BL162" i="3"/>
  <c r="AZ162" i="3" s="1"/>
  <c r="BA164" i="3"/>
  <c r="AZ164" i="3" s="1"/>
  <c r="BL165" i="3"/>
  <c r="G168" i="3"/>
  <c r="BL170" i="3"/>
  <c r="AZ170" i="3" s="1"/>
  <c r="BA172" i="3"/>
  <c r="AZ172" i="3" s="1"/>
  <c r="BL173" i="3"/>
  <c r="G176" i="3"/>
  <c r="BL178" i="3"/>
  <c r="AZ178" i="3" s="1"/>
  <c r="BA180" i="3"/>
  <c r="AZ180" i="3" s="1"/>
  <c r="BL181" i="3"/>
  <c r="G184" i="3"/>
  <c r="BL186" i="3"/>
  <c r="AZ186" i="3" s="1"/>
  <c r="BA188" i="3"/>
  <c r="AZ188" i="3" s="1"/>
  <c r="BL189" i="3"/>
  <c r="G192" i="3"/>
  <c r="BL194" i="3"/>
  <c r="AZ194" i="3" s="1"/>
  <c r="BA196" i="3"/>
  <c r="AZ196" i="3" s="1"/>
  <c r="BL197" i="3"/>
  <c r="G200" i="3"/>
  <c r="G100" i="43"/>
  <c r="BL202" i="3"/>
  <c r="AZ202" i="3" s="1"/>
  <c r="BA204" i="3"/>
  <c r="AZ204" i="3" s="1"/>
  <c r="BA205" i="3"/>
  <c r="AZ205" i="3" s="1"/>
  <c r="BA206" i="3"/>
  <c r="AZ206" i="3" s="1"/>
  <c r="G19" i="3"/>
  <c r="BL19" i="3"/>
  <c r="BL21" i="3"/>
  <c r="BA22" i="3"/>
  <c r="AZ22" i="3" s="1"/>
  <c r="BL24" i="3"/>
  <c r="AZ24" i="3" s="1"/>
  <c r="BA25" i="3"/>
  <c r="AZ25" i="3" s="1"/>
  <c r="G28" i="3"/>
  <c r="G29" i="3"/>
  <c r="G30" i="3"/>
  <c r="BL30" i="3"/>
  <c r="AZ30" i="3" s="1"/>
  <c r="BL32" i="3"/>
  <c r="BA34" i="3"/>
  <c r="AZ34" i="3" s="1"/>
  <c r="BA36" i="3"/>
  <c r="BA37" i="3"/>
  <c r="AZ37" i="3" s="1"/>
  <c r="BL39" i="3"/>
  <c r="AZ39" i="3" s="1"/>
  <c r="BA40" i="3"/>
  <c r="AZ40" i="3" s="1"/>
  <c r="BL42" i="3"/>
  <c r="AZ42" i="3" s="1"/>
  <c r="G45" i="3"/>
  <c r="G46" i="3"/>
  <c r="BL46" i="3"/>
  <c r="AZ46" i="3" s="1"/>
  <c r="G49" i="3"/>
  <c r="BL49" i="3"/>
  <c r="AZ49" i="3" s="1"/>
  <c r="BL51" i="3"/>
  <c r="AZ51" i="3" s="1"/>
  <c r="BA52" i="3"/>
  <c r="AZ52" i="3" s="1"/>
  <c r="BA53" i="3"/>
  <c r="BL55" i="3"/>
  <c r="AZ55" i="3" s="1"/>
  <c r="BA56" i="3"/>
  <c r="AZ56" i="3" s="1"/>
  <c r="BL58" i="3"/>
  <c r="AZ58" i="3" s="1"/>
  <c r="G61" i="3"/>
  <c r="G62" i="3"/>
  <c r="BL62" i="3"/>
  <c r="AZ62" i="3" s="1"/>
  <c r="M108" i="43"/>
  <c r="M100" i="43"/>
  <c r="I108" i="43"/>
  <c r="I100" i="43"/>
  <c r="E108" i="43"/>
  <c r="E100" i="43"/>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BA94" i="3"/>
  <c r="AZ94" i="3" s="1"/>
  <c r="G97" i="3"/>
  <c r="G98" i="3"/>
  <c r="BL98" i="3"/>
  <c r="AZ98" i="3" s="1"/>
  <c r="BA99" i="3"/>
  <c r="AZ99" i="3" s="1"/>
  <c r="BL101" i="3"/>
  <c r="AZ101" i="3" s="1"/>
  <c r="G104" i="3"/>
  <c r="BL104" i="3"/>
  <c r="AZ104" i="3" s="1"/>
  <c r="BA106" i="3"/>
  <c r="AZ106" i="3" s="1"/>
  <c r="BA108" i="3"/>
  <c r="BA109" i="3"/>
  <c r="AZ109" i="3" s="1"/>
  <c r="BA110" i="3"/>
  <c r="BA112" i="3"/>
  <c r="AZ112" i="3" s="1"/>
  <c r="F3" i="35"/>
  <c r="I20" i="66"/>
  <c r="D93" i="9"/>
  <c r="E12" i="6"/>
  <c r="G29" i="6"/>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408" i="3"/>
  <c r="AZ437" i="3"/>
  <c r="AZ441" i="3"/>
  <c r="AZ457" i="3"/>
  <c r="AZ473" i="3"/>
  <c r="AZ490" i="3"/>
  <c r="AA39" i="34"/>
  <c r="F28" i="6"/>
  <c r="E28" i="6" s="1"/>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AA29" i="33"/>
  <c r="AB29" i="33"/>
  <c r="W38" i="33"/>
  <c r="H41" i="33"/>
  <c r="F121" i="33"/>
  <c r="G121" i="33" s="1"/>
  <c r="H121" i="33" s="1"/>
  <c r="I121" i="33" s="1"/>
  <c r="J121" i="33" s="1"/>
  <c r="K121" i="33" s="1"/>
  <c r="L121" i="33" s="1"/>
  <c r="M121" i="33" s="1"/>
  <c r="U42" i="33"/>
  <c r="F36" i="33"/>
  <c r="G111" i="33"/>
  <c r="G108" i="33"/>
  <c r="H108" i="33" s="1"/>
  <c r="I108" i="33" s="1"/>
  <c r="J108" i="33" s="1"/>
  <c r="K108" i="33" s="1"/>
  <c r="L108" i="33" s="1"/>
  <c r="M108" i="33" s="1"/>
  <c r="J35" i="33"/>
  <c r="S37" i="33"/>
  <c r="AA37" i="33"/>
  <c r="S39" i="33"/>
  <c r="F101" i="33"/>
  <c r="J32" i="33"/>
  <c r="S46" i="33"/>
  <c r="W43" i="33"/>
  <c r="S43" i="33"/>
  <c r="F91" i="33"/>
  <c r="H27" i="33"/>
  <c r="F87" i="33"/>
  <c r="H25" i="33"/>
  <c r="F25" i="33"/>
  <c r="J23" i="33"/>
  <c r="F85" i="33"/>
  <c r="H23" i="33"/>
  <c r="F81" i="33"/>
  <c r="F19" i="33"/>
  <c r="S19" i="33" s="1"/>
  <c r="W19" i="33"/>
  <c r="J17" i="33"/>
  <c r="F79"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C18" i="9"/>
  <c r="D18" i="9" s="1"/>
  <c r="F34" i="67"/>
  <c r="F62" i="67" s="1"/>
  <c r="M20" i="67"/>
  <c r="F34" i="15"/>
  <c r="F62" i="15" s="1"/>
  <c r="G13" i="3"/>
  <c r="G5" i="3" s="1"/>
  <c r="B3" i="3" s="1"/>
  <c r="BA13" i="3"/>
  <c r="E10" i="6"/>
  <c r="BA5" i="3"/>
  <c r="E11" i="6"/>
  <c r="E61" i="39" s="1"/>
  <c r="BL17" i="3"/>
  <c r="AZ17" i="3" s="1"/>
  <c r="BL13" i="3"/>
  <c r="J56" i="9"/>
  <c r="J57" i="9" s="1"/>
  <c r="A24" i="51"/>
  <c r="B18" i="72" s="1"/>
  <c r="U29" i="34"/>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N103" i="43"/>
  <c r="N105" i="43"/>
  <c r="N106" i="43"/>
  <c r="J107" i="43"/>
  <c r="J103" i="43"/>
  <c r="J102" i="43"/>
  <c r="F107" i="43"/>
  <c r="F106" i="43"/>
  <c r="C105" i="43"/>
  <c r="K107" i="43"/>
  <c r="K102" i="43"/>
  <c r="K104" i="43"/>
  <c r="G107" i="43"/>
  <c r="G103" i="43"/>
  <c r="G104" i="43"/>
  <c r="I118" i="43"/>
  <c r="J118" i="43" s="1"/>
  <c r="K118" i="43" s="1"/>
  <c r="L118" i="43" s="1"/>
  <c r="M118" i="43" s="1"/>
  <c r="D118" i="43"/>
  <c r="E118" i="43" s="1"/>
  <c r="F118" i="43" s="1"/>
  <c r="B116" i="43"/>
  <c r="C116" i="43" s="1"/>
  <c r="I117" i="43"/>
  <c r="J117" i="43" s="1"/>
  <c r="K117" i="43" s="1"/>
  <c r="L117" i="43" s="1"/>
  <c r="M117" i="43" s="1"/>
  <c r="E57" i="40"/>
  <c r="B117" i="43"/>
  <c r="C117" i="43" s="1"/>
  <c r="D115" i="43"/>
  <c r="E115" i="43" s="1"/>
  <c r="F115" i="43" s="1"/>
  <c r="G115" i="43" s="1"/>
  <c r="H115" i="43" s="1"/>
  <c r="G106" i="43"/>
  <c r="K106" i="43"/>
  <c r="K105" i="43"/>
  <c r="C102" i="43"/>
  <c r="S2" i="43" s="1"/>
  <c r="F105" i="43"/>
  <c r="J106" i="43"/>
  <c r="N104" i="43"/>
  <c r="N107" i="43"/>
  <c r="AR12" i="1"/>
  <c r="AQ12" i="1"/>
  <c r="T12" i="1"/>
  <c r="T10" i="1"/>
  <c r="E19" i="69"/>
  <c r="E19" i="68"/>
  <c r="E19" i="11"/>
  <c r="E1" i="73"/>
  <c r="K1" i="73" s="1"/>
  <c r="G41" i="69"/>
  <c r="G22" i="69"/>
  <c r="G41" i="68"/>
  <c r="G22" i="68"/>
  <c r="G27" i="12"/>
  <c r="G26" i="12"/>
  <c r="G41" i="11"/>
  <c r="G22" i="11"/>
  <c r="G25" i="12"/>
  <c r="C109" i="43"/>
  <c r="J109" i="43"/>
  <c r="C100" i="43"/>
  <c r="K109" i="43"/>
  <c r="E11" i="43"/>
  <c r="E10" i="43"/>
  <c r="E9" i="43"/>
  <c r="E8" i="43"/>
  <c r="C7" i="43" s="1"/>
  <c r="E81" i="43"/>
  <c r="B79" i="43" s="1"/>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58" i="21" s="1"/>
  <c r="D58" i="21" s="1"/>
  <c r="C7" i="40"/>
  <c r="C63" i="40" s="1"/>
  <c r="M47" i="9"/>
  <c r="G19" i="43"/>
  <c r="M20" i="43" s="1"/>
  <c r="T35" i="4"/>
  <c r="A19" i="51" s="1"/>
  <c r="B14" i="72" s="1"/>
  <c r="C46" i="36"/>
  <c r="D46" i="36" s="1"/>
  <c r="E46" i="36" s="1"/>
  <c r="C59" i="34"/>
  <c r="D59" i="34" s="1"/>
  <c r="C52" i="37"/>
  <c r="D52" i="37" s="1"/>
  <c r="A4" i="51"/>
  <c r="B6" i="72"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40" i="15"/>
  <c r="F26" i="15"/>
  <c r="F9" i="15"/>
  <c r="C76" i="67"/>
  <c r="J15" i="67"/>
  <c r="F38" i="67"/>
  <c r="M26" i="15"/>
  <c r="L48" i="67"/>
  <c r="L47" i="67"/>
  <c r="J15" i="15"/>
  <c r="F16" i="15"/>
  <c r="M8" i="67"/>
  <c r="M9" i="15"/>
  <c r="C76" i="15"/>
  <c r="M22" i="67"/>
  <c r="M8" i="15"/>
  <c r="M24" i="15"/>
  <c r="F8" i="67"/>
  <c r="F6" i="67"/>
  <c r="M26" i="67"/>
  <c r="F6" i="15"/>
  <c r="F9" i="67"/>
  <c r="G1" i="73"/>
  <c r="F13" i="15"/>
  <c r="M9" i="67"/>
  <c r="S42" i="33" l="1"/>
  <c r="E19" i="6"/>
  <c r="E60" i="40"/>
  <c r="E65" i="39"/>
  <c r="F20" i="6"/>
  <c r="E20" i="6" s="1"/>
  <c r="K7" i="1" s="1"/>
  <c r="F53" i="9"/>
  <c r="M18" i="82"/>
  <c r="F32" i="82"/>
  <c r="F60" i="82" s="1"/>
  <c r="F28" i="82"/>
  <c r="C28" i="82" s="1"/>
  <c r="D58" i="79"/>
  <c r="E58" i="79" s="1"/>
  <c r="F58" i="79" s="1"/>
  <c r="G58" i="79" s="1"/>
  <c r="H58" i="79" s="1"/>
  <c r="I58" i="79" s="1"/>
  <c r="J58" i="79" s="1"/>
  <c r="K58" i="79" s="1"/>
  <c r="L58" i="79" s="1"/>
  <c r="M58" i="79" s="1"/>
  <c r="N58" i="79" s="1"/>
  <c r="O58" i="79" s="1"/>
  <c r="H7" i="79"/>
  <c r="J7" i="79"/>
  <c r="F7" i="79"/>
  <c r="AA40" i="40"/>
  <c r="S40" i="40"/>
  <c r="AB39" i="37"/>
  <c r="U39" i="37"/>
  <c r="AC26" i="37"/>
  <c r="W26" i="37"/>
  <c r="AA28" i="34"/>
  <c r="S28" i="34"/>
  <c r="F77" i="33"/>
  <c r="G77" i="33" s="1"/>
  <c r="H15" i="33"/>
  <c r="F15" i="33"/>
  <c r="AC37" i="39"/>
  <c r="W37" i="39"/>
  <c r="U25" i="37"/>
  <c r="AB25" i="37"/>
  <c r="W17" i="21"/>
  <c r="AA11" i="34"/>
  <c r="E56" i="40"/>
  <c r="E27" i="6"/>
  <c r="E13" i="6"/>
  <c r="E58" i="40" s="1"/>
  <c r="AZ110" i="3"/>
  <c r="AZ108" i="3"/>
  <c r="AZ93" i="3"/>
  <c r="AZ53" i="3"/>
  <c r="AZ36" i="3"/>
  <c r="AZ32" i="3"/>
  <c r="AZ292" i="3"/>
  <c r="AZ283" i="3"/>
  <c r="AZ253" i="3"/>
  <c r="AZ236" i="3"/>
  <c r="AZ223" i="3"/>
  <c r="AZ221" i="3"/>
  <c r="AZ212" i="3"/>
  <c r="AZ350" i="3"/>
  <c r="AZ426" i="3"/>
  <c r="AZ33" i="3"/>
  <c r="AZ63" i="3"/>
  <c r="AZ59" i="3"/>
  <c r="AZ57" i="3"/>
  <c r="AZ207" i="3"/>
  <c r="AZ201" i="3"/>
  <c r="AZ174" i="3"/>
  <c r="AZ169" i="3"/>
  <c r="AZ125" i="3"/>
  <c r="AZ274" i="3"/>
  <c r="AZ270" i="3"/>
  <c r="AZ243" i="3"/>
  <c r="AZ209" i="3"/>
  <c r="AZ480" i="3"/>
  <c r="AZ476" i="3"/>
  <c r="W40" i="40"/>
  <c r="AC40" i="40"/>
  <c r="AA38" i="40"/>
  <c r="S38" i="40"/>
  <c r="AA34" i="35"/>
  <c r="S34" i="35"/>
  <c r="S12" i="35"/>
  <c r="AA12" i="35"/>
  <c r="W28" i="34"/>
  <c r="AC28" i="34"/>
  <c r="J15" i="33"/>
  <c r="AA9" i="33"/>
  <c r="S9" i="33"/>
  <c r="AC44" i="39"/>
  <c r="W44" i="39"/>
  <c r="G30" i="6"/>
  <c r="G31" i="6" s="1"/>
  <c r="F109" i="43"/>
  <c r="F103" i="43"/>
  <c r="I116" i="43"/>
  <c r="J116" i="43" s="1"/>
  <c r="K116" i="43" s="1"/>
  <c r="L116" i="43" s="1"/>
  <c r="M116" i="43" s="1"/>
  <c r="B118" i="43"/>
  <c r="C118" i="43" s="1"/>
  <c r="G118" i="43"/>
  <c r="H118" i="43" s="1"/>
  <c r="D116" i="43"/>
  <c r="E116" i="43" s="1"/>
  <c r="F116" i="43" s="1"/>
  <c r="G116" i="43" s="1"/>
  <c r="H116" i="43" s="1"/>
  <c r="C103" i="43"/>
  <c r="C107" i="43"/>
  <c r="F102" i="43"/>
  <c r="E29" i="6"/>
  <c r="AR10" i="1"/>
  <c r="C106" i="43"/>
  <c r="AZ21" i="3"/>
  <c r="AZ23" i="3"/>
  <c r="D120" i="9"/>
  <c r="D6" i="52" s="1"/>
  <c r="G101" i="33"/>
  <c r="H101" i="33" s="1"/>
  <c r="I101" i="33" s="1"/>
  <c r="J101" i="33" s="1"/>
  <c r="K101" i="33" s="1"/>
  <c r="L101" i="33" s="1"/>
  <c r="M101" i="33" s="1"/>
  <c r="H32" i="33"/>
  <c r="F32" i="33"/>
  <c r="D22" i="43"/>
  <c r="C4" i="4"/>
  <c r="E4" i="4"/>
  <c r="B5" i="62" s="1"/>
  <c r="B73" i="72" s="1"/>
  <c r="U39" i="40"/>
  <c r="AB39" i="40"/>
  <c r="U12" i="36"/>
  <c r="AB12" i="36"/>
  <c r="AC23" i="35"/>
  <c r="W23" i="35"/>
  <c r="AA26" i="33"/>
  <c r="S26" i="33"/>
  <c r="AC36" i="35"/>
  <c r="W36" i="35"/>
  <c r="S12" i="34"/>
  <c r="AA12" i="34"/>
  <c r="L58" i="67"/>
  <c r="N59" i="67"/>
  <c r="L59" i="67" s="1"/>
  <c r="M59" i="67"/>
  <c r="J53" i="67"/>
  <c r="I54" i="67"/>
  <c r="AQ13" i="1"/>
  <c r="AZ13" i="3"/>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121" i="9"/>
  <c r="D7" i="52" s="1"/>
  <c r="S6" i="43"/>
  <c r="C23" i="43"/>
  <c r="C21" i="43" s="1"/>
  <c r="S4" i="43"/>
  <c r="S3" i="43"/>
  <c r="S7" i="43"/>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B14" i="81" s="1"/>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B40" i="1"/>
  <c r="F24" i="82" s="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S21" i="6"/>
  <c r="L27" i="6"/>
  <c r="S22" i="6"/>
  <c r="M20" i="6"/>
  <c r="I20" i="6" s="1"/>
  <c r="L56" i="67"/>
  <c r="J57" i="67"/>
  <c r="J55" i="67" s="1"/>
  <c r="J58" i="67" s="1"/>
  <c r="Q50" i="67" s="1"/>
  <c r="F51" i="67"/>
  <c r="F66" i="67"/>
  <c r="Q71" i="67"/>
  <c r="C27" i="15"/>
  <c r="Q71" i="15"/>
  <c r="F68" i="15"/>
  <c r="AP7" i="1"/>
  <c r="M7" i="1"/>
  <c r="O7" i="1" s="1"/>
  <c r="AB45" i="21"/>
  <c r="AC33" i="21"/>
  <c r="W33" i="21"/>
  <c r="S33" i="21"/>
  <c r="AA33" i="21"/>
  <c r="W32" i="21"/>
  <c r="AC32" i="21"/>
  <c r="AB9" i="21"/>
  <c r="U9" i="21"/>
  <c r="AA32" i="21"/>
  <c r="S32" i="21"/>
  <c r="W9" i="21"/>
  <c r="AC9" i="21"/>
  <c r="AB32" i="21"/>
  <c r="U32" i="21"/>
  <c r="AA10" i="21"/>
  <c r="S10" i="21"/>
  <c r="C36" i="69"/>
  <c r="M17" i="67"/>
  <c r="M17" i="15"/>
  <c r="F31" i="15"/>
  <c r="F59" i="67"/>
  <c r="F31" i="67"/>
  <c r="F59" i="15"/>
  <c r="F8" i="82"/>
  <c r="F9" i="82"/>
  <c r="M6" i="82"/>
  <c r="M22" i="82"/>
  <c r="F26" i="82"/>
  <c r="F16" i="82"/>
  <c r="F43" i="82"/>
  <c r="M28" i="82"/>
  <c r="M29" i="82"/>
  <c r="F13" i="82"/>
  <c r="M9" i="82"/>
  <c r="M24" i="82"/>
  <c r="F36" i="82"/>
  <c r="F16" i="67"/>
  <c r="F36" i="67"/>
  <c r="F37" i="67"/>
  <c r="M23" i="67"/>
  <c r="F8" i="15"/>
  <c r="F43" i="67"/>
  <c r="M22" i="15"/>
  <c r="L48" i="15"/>
  <c r="M28" i="67"/>
  <c r="F38" i="15"/>
  <c r="L47" i="15"/>
  <c r="F26" i="67"/>
  <c r="C76" i="82"/>
  <c r="F7" i="82"/>
  <c r="M23" i="82"/>
  <c r="L48" i="82"/>
  <c r="F42" i="82"/>
  <c r="F37" i="82"/>
  <c r="J15" i="82"/>
  <c r="F40" i="82"/>
  <c r="F38" i="82"/>
  <c r="M26" i="82"/>
  <c r="M8" i="82"/>
  <c r="L47" i="82"/>
  <c r="M23" i="15"/>
  <c r="F36" i="15"/>
  <c r="M6" i="67"/>
  <c r="M28" i="15"/>
  <c r="F40" i="67"/>
  <c r="F37" i="15"/>
  <c r="F13" i="67"/>
  <c r="F7" i="67"/>
  <c r="F42" i="67"/>
  <c r="F42" i="15"/>
  <c r="M29" i="67"/>
  <c r="M24" i="67"/>
  <c r="F70" i="67" l="1"/>
  <c r="F50" i="67"/>
  <c r="C49" i="67" s="1"/>
  <c r="C6" i="67"/>
  <c r="C10" i="67"/>
  <c r="M7" i="67"/>
  <c r="J6" i="67" s="1"/>
  <c r="F65" i="15"/>
  <c r="F68" i="67"/>
  <c r="F64" i="15"/>
  <c r="N59" i="82"/>
  <c r="L58" i="82"/>
  <c r="L59" i="82"/>
  <c r="M59" i="82"/>
  <c r="F66" i="82"/>
  <c r="F68" i="82"/>
  <c r="F65" i="82"/>
  <c r="L56" i="82"/>
  <c r="L57" i="82"/>
  <c r="L60" i="82"/>
  <c r="I54" i="82"/>
  <c r="J53" i="82"/>
  <c r="J57" i="82"/>
  <c r="J55" i="82" s="1"/>
  <c r="J58" i="82" s="1"/>
  <c r="Q50" i="82" s="1"/>
  <c r="M7" i="82"/>
  <c r="J10" i="82" s="1"/>
  <c r="F50" i="82"/>
  <c r="Q71" i="82"/>
  <c r="C27" i="67"/>
  <c r="L58" i="15"/>
  <c r="Q73" i="15" s="1"/>
  <c r="N59" i="15"/>
  <c r="M59" i="15"/>
  <c r="F66" i="15"/>
  <c r="J53" i="15"/>
  <c r="L56" i="15" s="1"/>
  <c r="J57" i="15"/>
  <c r="J55" i="15" s="1"/>
  <c r="J58" i="15" s="1"/>
  <c r="Q50" i="15" s="1"/>
  <c r="I54" i="15"/>
  <c r="F71" i="67"/>
  <c r="F51" i="15"/>
  <c r="F65" i="67"/>
  <c r="F64" i="67"/>
  <c r="F64" i="82"/>
  <c r="F71" i="82"/>
  <c r="C27" i="82"/>
  <c r="J6" i="82"/>
  <c r="F51" i="82"/>
  <c r="C49" i="82" s="1"/>
  <c r="C48" i="82" s="1"/>
  <c r="AB15" i="33"/>
  <c r="U15" i="33"/>
  <c r="S7" i="79"/>
  <c r="AA7" i="79"/>
  <c r="R48" i="79" s="1"/>
  <c r="AB7" i="79"/>
  <c r="T48" i="79" s="1"/>
  <c r="G48" i="79" s="1"/>
  <c r="U7" i="79"/>
  <c r="F27" i="6"/>
  <c r="F31" i="6" s="1"/>
  <c r="AC15" i="33"/>
  <c r="W15" i="33"/>
  <c r="AA15" i="33"/>
  <c r="S15" i="33"/>
  <c r="W7" i="79"/>
  <c r="AC7" i="79"/>
  <c r="V48" i="79" s="1"/>
  <c r="I48" i="79" s="1"/>
  <c r="D3" i="79"/>
  <c r="K6" i="1"/>
  <c r="C24" i="82"/>
  <c r="K120" i="9"/>
  <c r="A18" i="62" s="1"/>
  <c r="B64" i="72" s="1"/>
  <c r="AB32" i="33"/>
  <c r="U32" i="33"/>
  <c r="AA32" i="33"/>
  <c r="S32" i="33"/>
  <c r="C30" i="69"/>
  <c r="K4" i="4"/>
  <c r="B46" i="48" s="1"/>
  <c r="B4" i="72" s="1"/>
  <c r="M19" i="6"/>
  <c r="AR6" i="1"/>
  <c r="T7" i="1"/>
  <c r="AR7" i="1"/>
  <c r="L59" i="15"/>
  <c r="Q74" i="15" s="1"/>
  <c r="C30" i="11"/>
  <c r="E6" i="70"/>
  <c r="K27" i="6"/>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T6" i="1"/>
  <c r="F7" i="36"/>
  <c r="S7" i="36" s="1"/>
  <c r="H7" i="37"/>
  <c r="U7" i="37" s="1"/>
  <c r="H6" i="3"/>
  <c r="AC6" i="3"/>
  <c r="E6" i="6"/>
  <c r="D19" i="11"/>
  <c r="C19" i="11" s="1"/>
  <c r="C20" i="11" s="1"/>
  <c r="C17" i="4"/>
  <c r="B4" i="52" s="1"/>
  <c r="B43" i="72" s="1"/>
  <c r="D37" i="11"/>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P7"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C39" i="43"/>
  <c r="E39" i="43" s="1"/>
  <c r="C37" i="43"/>
  <c r="G37" i="43" s="1"/>
  <c r="I37" i="43" s="1"/>
  <c r="H7" i="35"/>
  <c r="F7" i="37"/>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67"/>
  <c r="C53" i="67"/>
  <c r="S20" i="6"/>
  <c r="I19" i="6"/>
  <c r="L18" i="9" s="1"/>
  <c r="M27" i="6"/>
  <c r="Q60" i="67"/>
  <c r="Q73" i="67"/>
  <c r="Q61" i="67"/>
  <c r="Q74" i="67"/>
  <c r="F1" i="67"/>
  <c r="Q52" i="67"/>
  <c r="C16" i="67"/>
  <c r="F43" i="15"/>
  <c r="F7" i="15"/>
  <c r="M29" i="15"/>
  <c r="C14" i="82"/>
  <c r="C17" i="82"/>
  <c r="C16" i="82"/>
  <c r="C5" i="67" l="1"/>
  <c r="C32" i="67" s="1"/>
  <c r="Q60" i="15"/>
  <c r="F1" i="15"/>
  <c r="Q52" i="15"/>
  <c r="C18" i="82"/>
  <c r="C15" i="82"/>
  <c r="M7" i="15"/>
  <c r="F50" i="15"/>
  <c r="C10" i="15"/>
  <c r="C6" i="15"/>
  <c r="F71" i="15"/>
  <c r="E48" i="79"/>
  <c r="I53" i="79" s="1"/>
  <c r="J53" i="79" s="1"/>
  <c r="R49" i="79"/>
  <c r="C60" i="82"/>
  <c r="C66" i="82"/>
  <c r="Q52" i="82"/>
  <c r="F1" i="82"/>
  <c r="Q57" i="82"/>
  <c r="Q66" i="82"/>
  <c r="Q73" i="82"/>
  <c r="Q60" i="82"/>
  <c r="M6" i="1"/>
  <c r="G16" i="1"/>
  <c r="Q16" i="1"/>
  <c r="K16" i="1"/>
  <c r="B29" i="1" s="1"/>
  <c r="C8" i="68" s="1"/>
  <c r="C5" i="68" s="1"/>
  <c r="H16" i="1"/>
  <c r="I52" i="79"/>
  <c r="J52" i="79" s="1"/>
  <c r="G53" i="79"/>
  <c r="H53" i="79" s="1"/>
  <c r="G52" i="79"/>
  <c r="H52" i="79" s="1"/>
  <c r="J5" i="82"/>
  <c r="Q61" i="82"/>
  <c r="Q74" i="82"/>
  <c r="Q61" i="15"/>
  <c r="E37" i="43"/>
  <c r="AA7" i="36"/>
  <c r="R36" i="36" s="1"/>
  <c r="E36" i="36" s="1"/>
  <c r="E40" i="36" s="1"/>
  <c r="F40" i="36" s="1"/>
  <c r="AC11" i="37"/>
  <c r="W11" i="37"/>
  <c r="AB7" i="37"/>
  <c r="T42" i="37" s="1"/>
  <c r="G42" i="37" s="1"/>
  <c r="G46" i="37" s="1"/>
  <c r="H46" i="37" s="1"/>
  <c r="W11" i="34"/>
  <c r="AC11" i="34"/>
  <c r="J5" i="67"/>
  <c r="H20" i="6"/>
  <c r="AB7" i="36"/>
  <c r="T36" i="36" s="1"/>
  <c r="C23" i="68"/>
  <c r="E38" i="43"/>
  <c r="E6" i="3"/>
  <c r="D10" i="68"/>
  <c r="D10" i="11"/>
  <c r="C10" i="11" s="1"/>
  <c r="D20" i="12"/>
  <c r="C20" i="12" s="1"/>
  <c r="C18" i="12" s="1"/>
  <c r="M19" i="9"/>
  <c r="C118" i="9" s="1"/>
  <c r="C14" i="74" s="1"/>
  <c r="B2" i="74" s="1"/>
  <c r="D19" i="6"/>
  <c r="D25" i="6"/>
  <c r="D26" i="6"/>
  <c r="D15" i="6"/>
  <c r="C18" i="4"/>
  <c r="D22" i="6"/>
  <c r="D8" i="6"/>
  <c r="D21" i="6"/>
  <c r="D23" i="6"/>
  <c r="D24" i="6"/>
  <c r="D14" i="6"/>
  <c r="D20" i="6"/>
  <c r="D5" i="6"/>
  <c r="D6" i="6"/>
  <c r="D12" i="6"/>
  <c r="D9" i="6"/>
  <c r="D11" i="6"/>
  <c r="D10" i="6"/>
  <c r="D13" i="6"/>
  <c r="D28" i="6"/>
  <c r="D29" i="6"/>
  <c r="E61" i="40"/>
  <c r="H25" i="6"/>
  <c r="H22" i="6"/>
  <c r="H23" i="6"/>
  <c r="H21" i="6"/>
  <c r="H26" i="6"/>
  <c r="H24" i="6"/>
  <c r="C13" i="12"/>
  <c r="C26" i="12"/>
  <c r="D25" i="12" s="1"/>
  <c r="F34" i="11"/>
  <c r="C37" i="11" s="1"/>
  <c r="F11" i="12"/>
  <c r="F34" i="68"/>
  <c r="C36" i="68" s="1"/>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C38" i="67"/>
  <c r="H19" i="6"/>
  <c r="L19" i="9" s="1"/>
  <c r="S19" i="6"/>
  <c r="S27" i="6" s="1"/>
  <c r="I27" i="6"/>
  <c r="C17" i="15"/>
  <c r="C16" i="15"/>
  <c r="C19" i="82" l="1"/>
  <c r="C20" i="82" s="1"/>
  <c r="C26" i="82" s="1"/>
  <c r="J18" i="82"/>
  <c r="J24" i="82"/>
  <c r="H10" i="40"/>
  <c r="J10" i="40"/>
  <c r="F10" i="40"/>
  <c r="H10" i="39"/>
  <c r="F10" i="39"/>
  <c r="J10" i="39"/>
  <c r="C49" i="79"/>
  <c r="C48" i="79"/>
  <c r="F27" i="69"/>
  <c r="F28" i="12"/>
  <c r="C29" i="12" s="1"/>
  <c r="D28" i="12" s="1"/>
  <c r="F27" i="68"/>
  <c r="F27" i="11"/>
  <c r="O6" i="1"/>
  <c r="M16" i="1"/>
  <c r="E52" i="79"/>
  <c r="F52" i="79" s="1"/>
  <c r="E53" i="79"/>
  <c r="F53" i="79" s="1"/>
  <c r="C5" i="15"/>
  <c r="R25" i="6"/>
  <c r="C34" i="11"/>
  <c r="C38" i="11" s="1"/>
  <c r="R20" i="6"/>
  <c r="R7" i="1" s="1"/>
  <c r="C36" i="11"/>
  <c r="J24" i="67"/>
  <c r="J18" i="67"/>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34" i="68"/>
  <c r="U7" i="21"/>
  <c r="C22" i="1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14" i="12"/>
  <c r="C23" i="12"/>
  <c r="E6" i="76"/>
  <c r="C23" i="82" l="1"/>
  <c r="C29" i="82" s="1"/>
  <c r="C32" i="15"/>
  <c r="C38" i="15"/>
  <c r="P6" i="1"/>
  <c r="P16" i="1" s="1"/>
  <c r="C11" i="12" s="1"/>
  <c r="O16" i="1"/>
  <c r="C29" i="68"/>
  <c r="D27" i="68" s="1"/>
  <c r="C47" i="68"/>
  <c r="D45" i="68" s="1"/>
  <c r="C29" i="69"/>
  <c r="D27" i="69" s="1"/>
  <c r="C47" i="69"/>
  <c r="D45" i="69" s="1"/>
  <c r="D13" i="81"/>
  <c r="B3" i="79"/>
  <c r="B2" i="79"/>
  <c r="S10" i="39"/>
  <c r="AA10" i="39"/>
  <c r="AA10" i="40"/>
  <c r="S10" i="40"/>
  <c r="U10" i="40"/>
  <c r="AB10" i="40"/>
  <c r="N16" i="1"/>
  <c r="L16" i="1"/>
  <c r="C29" i="11"/>
  <c r="D27" i="11" s="1"/>
  <c r="C47" i="11"/>
  <c r="D45" i="11" s="1"/>
  <c r="C28" i="11"/>
  <c r="C27" i="11" s="1"/>
  <c r="C31" i="11" s="1"/>
  <c r="W10" i="39"/>
  <c r="AC10" i="39"/>
  <c r="U10" i="39"/>
  <c r="AB10" i="39"/>
  <c r="W10" i="40"/>
  <c r="AC10" i="40"/>
  <c r="C35" i="11"/>
  <c r="D31" i="6"/>
  <c r="I6" i="6" s="1"/>
  <c r="E2" i="76"/>
  <c r="B2" i="43"/>
  <c r="R49" i="21"/>
  <c r="C48" i="21" s="1"/>
  <c r="G54" i="34"/>
  <c r="H54" i="34" s="1"/>
  <c r="I53" i="21"/>
  <c r="J53" i="21" s="1"/>
  <c r="C37" i="36"/>
  <c r="C36" i="36"/>
  <c r="G40" i="36"/>
  <c r="H40" i="36" s="1"/>
  <c r="E41" i="36"/>
  <c r="F41" i="36" s="1"/>
  <c r="G41" i="36"/>
  <c r="H41" i="36" s="1"/>
  <c r="C19" i="68"/>
  <c r="D37" i="68"/>
  <c r="C37" i="68" s="1"/>
  <c r="R27" i="6"/>
  <c r="R6" i="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B6" i="76"/>
  <c r="M21" i="82"/>
  <c r="M21" i="15"/>
  <c r="F35" i="82"/>
  <c r="F35" i="67"/>
  <c r="F35" i="15"/>
  <c r="M21" i="67"/>
  <c r="C57" i="82" l="1"/>
  <c r="C64" i="82" s="1"/>
  <c r="J59" i="82"/>
  <c r="J60" i="82" s="1"/>
  <c r="C33" i="82"/>
  <c r="J14" i="82"/>
  <c r="J19" i="82"/>
  <c r="C61" i="82"/>
  <c r="Q49" i="82"/>
  <c r="C36" i="82"/>
  <c r="C13" i="82"/>
  <c r="C37" i="82" s="1"/>
  <c r="F50" i="11"/>
  <c r="F50" i="68"/>
  <c r="F50" i="69"/>
  <c r="C19" i="81"/>
  <c r="D14" i="81"/>
  <c r="C20" i="81" s="1"/>
  <c r="C23" i="81" s="1"/>
  <c r="C15" i="12"/>
  <c r="C12" i="12"/>
  <c r="F63" i="82"/>
  <c r="C62" i="82" s="1"/>
  <c r="C34" i="82"/>
  <c r="J20" i="82"/>
  <c r="I5" i="6"/>
  <c r="B2" i="76"/>
  <c r="B3" i="76" s="1"/>
  <c r="B3" i="43"/>
  <c r="C49" i="21"/>
  <c r="F63" i="67"/>
  <c r="C62" i="67" s="1"/>
  <c r="C34" i="67"/>
  <c r="J20" i="67"/>
  <c r="C24" i="68"/>
  <c r="C20" i="68"/>
  <c r="C28" i="68" s="1"/>
  <c r="C27" i="68" s="1"/>
  <c r="J20" i="15"/>
  <c r="F63" i="15"/>
  <c r="C62" i="15" s="1"/>
  <c r="C34" i="15"/>
  <c r="R16" i="1"/>
  <c r="C33" i="68"/>
  <c r="I63" i="40"/>
  <c r="H65" i="40"/>
  <c r="C39" i="11"/>
  <c r="C43" i="11" s="1"/>
  <c r="C41" i="11" s="1"/>
  <c r="I70" i="39"/>
  <c r="Q48" i="82" l="1"/>
  <c r="L46" i="82"/>
  <c r="J17" i="82"/>
  <c r="C59" i="82"/>
  <c r="J13" i="82"/>
  <c r="J23" i="82" s="1"/>
  <c r="J22" i="82"/>
  <c r="C16" i="12"/>
  <c r="C21" i="12" s="1"/>
  <c r="C22" i="12" s="1"/>
  <c r="C30" i="12" s="1"/>
  <c r="C28" i="12" s="1"/>
  <c r="C75" i="82"/>
  <c r="C56" i="82"/>
  <c r="C65" i="82" s="1"/>
  <c r="Q70" i="82"/>
  <c r="D19" i="81"/>
  <c r="C22" i="81"/>
  <c r="D22" i="81" s="1"/>
  <c r="U7" i="1" s="1"/>
  <c r="C25" i="68"/>
  <c r="C22" i="68" s="1"/>
  <c r="C31" i="68" s="1"/>
  <c r="C39" i="68"/>
  <c r="C43" i="68" s="1"/>
  <c r="C42" i="68"/>
  <c r="J63" i="40"/>
  <c r="I65" i="40"/>
  <c r="C46" i="11"/>
  <c r="C45" i="11" s="1"/>
  <c r="C49" i="11" s="1"/>
  <c r="C51" i="11" s="1"/>
  <c r="C52" i="11" s="1"/>
  <c r="B2" i="11" s="1"/>
  <c r="B3" i="11" s="1"/>
  <c r="J70" i="39"/>
  <c r="F6" i="82"/>
  <c r="C27" i="12" l="1"/>
  <c r="C25" i="12" s="1"/>
  <c r="C32" i="12" s="1"/>
  <c r="B2" i="12" s="1"/>
  <c r="B3" i="12" s="1"/>
  <c r="J16" i="82"/>
  <c r="J25" i="82" s="1"/>
  <c r="C58" i="82"/>
  <c r="C67" i="82" s="1"/>
  <c r="C6" i="82"/>
  <c r="C10" i="82"/>
  <c r="Z6" i="1"/>
  <c r="F49" i="15"/>
  <c r="C41" i="68"/>
  <c r="C46" i="68"/>
  <c r="C45" i="68" s="1"/>
  <c r="K63" i="40"/>
  <c r="J65" i="40"/>
  <c r="K70" i="39"/>
  <c r="C56" i="11"/>
  <c r="C57" i="11" s="1"/>
  <c r="M6" i="15"/>
  <c r="C5" i="82" l="1"/>
  <c r="C32" i="82" s="1"/>
  <c r="C31" i="82" s="1"/>
  <c r="J6" i="15"/>
  <c r="J10" i="15"/>
  <c r="C53" i="15"/>
  <c r="C49" i="15"/>
  <c r="C49" i="68"/>
  <c r="C51" i="68" s="1"/>
  <c r="C52" i="68" s="1"/>
  <c r="C57" i="68" s="1"/>
  <c r="C56" i="68" s="1"/>
  <c r="L63" i="40"/>
  <c r="K65" i="40"/>
  <c r="L70" i="39"/>
  <c r="E2" i="70"/>
  <c r="C34" i="69"/>
  <c r="C17" i="67"/>
  <c r="C38" i="82" l="1"/>
  <c r="C30" i="82" s="1"/>
  <c r="C39" i="82" s="1"/>
  <c r="C80" i="82" s="1"/>
  <c r="C79" i="82" s="1"/>
  <c r="J5" i="15"/>
  <c r="M63" i="40"/>
  <c r="L65" i="40"/>
  <c r="M70" i="39"/>
  <c r="C35" i="69"/>
  <c r="C38" i="69"/>
  <c r="D10" i="69"/>
  <c r="L51" i="82"/>
  <c r="Q69" i="82" l="1"/>
  <c r="Q68" i="82" s="1"/>
  <c r="Q67" i="82"/>
  <c r="J18" i="15"/>
  <c r="J24" i="15"/>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F41" i="82"/>
  <c r="L51" i="67"/>
  <c r="F69" i="82" l="1"/>
  <c r="C68" i="82" s="1"/>
  <c r="C40" i="82"/>
  <c r="L57" i="67"/>
  <c r="L60" i="67" s="1"/>
  <c r="L46" i="67" s="1"/>
  <c r="C80" i="67"/>
  <c r="C79" i="67" s="1"/>
  <c r="Q69" i="67"/>
  <c r="Q68" i="67" s="1"/>
  <c r="Q67" i="67"/>
  <c r="C59" i="67"/>
  <c r="C66" i="67"/>
  <c r="T16" i="1"/>
  <c r="C18" i="15"/>
  <c r="C15" i="15"/>
  <c r="C83" i="82" l="1"/>
  <c r="C82" i="82" s="1"/>
  <c r="C43" i="82"/>
  <c r="C71" i="82"/>
  <c r="C46" i="82"/>
  <c r="Q66" i="67"/>
  <c r="Q57" i="67"/>
  <c r="C58" i="67"/>
  <c r="C67" i="67" s="1"/>
  <c r="C19" i="15"/>
  <c r="C20" i="15" l="1"/>
  <c r="C26" i="15" s="1"/>
  <c r="C23" i="15" l="1"/>
  <c r="C29" i="15" s="1"/>
  <c r="J59" i="15" s="1"/>
  <c r="J60" i="15" s="1"/>
  <c r="Q48" i="15" s="1"/>
  <c r="J19" i="15" l="1"/>
  <c r="J17" i="15" s="1"/>
  <c r="Q49" i="15"/>
  <c r="C57" i="15"/>
  <c r="C61" i="15" s="1"/>
  <c r="C33" i="15"/>
  <c r="C31" i="15" s="1"/>
  <c r="C13" i="15"/>
  <c r="C36" i="15"/>
  <c r="J14" i="15"/>
  <c r="J22" i="15" s="1"/>
  <c r="C37" i="15" l="1"/>
  <c r="C30" i="15" s="1"/>
  <c r="C39" i="15" s="1"/>
  <c r="Q69" i="15" s="1"/>
  <c r="F35" i="9"/>
  <c r="C56" i="15"/>
  <c r="C48" i="15" s="1"/>
  <c r="C64" i="15"/>
  <c r="Q70" i="15"/>
  <c r="C75" i="15"/>
  <c r="J13" i="15"/>
  <c r="J23" i="15" s="1"/>
  <c r="J16" i="15" s="1"/>
  <c r="J25" i="15" s="1"/>
  <c r="AE8" i="1"/>
  <c r="AE6" i="1"/>
  <c r="L51" i="15"/>
  <c r="C66" i="15" l="1"/>
  <c r="C60" i="15"/>
  <c r="C59" i="15" s="1"/>
  <c r="AG6" i="1"/>
  <c r="C80" i="15"/>
  <c r="C79" i="15" s="1"/>
  <c r="C65" i="15"/>
  <c r="Q68" i="15"/>
  <c r="L57" i="15"/>
  <c r="L60" i="15" s="1"/>
  <c r="Q67" i="15"/>
  <c r="M27" i="82"/>
  <c r="M27" i="67"/>
  <c r="F41" i="67"/>
  <c r="F41" i="15"/>
  <c r="M27" i="15"/>
  <c r="J26" i="82" l="1"/>
  <c r="J29" i="82" s="1"/>
  <c r="J26" i="15"/>
  <c r="J29" i="15" s="1"/>
  <c r="J26" i="67"/>
  <c r="J29" i="67" s="1"/>
  <c r="C58" i="15"/>
  <c r="C67" i="15" s="1"/>
  <c r="F69" i="15"/>
  <c r="C40" i="15"/>
  <c r="C43" i="15" s="1"/>
  <c r="L46" i="15"/>
  <c r="Q57" i="15"/>
  <c r="Q66" i="15"/>
  <c r="F69" i="67"/>
  <c r="C68" i="67" s="1"/>
  <c r="C71" i="67" s="1"/>
  <c r="C40" i="67"/>
  <c r="C83" i="67" s="1"/>
  <c r="C82" i="67" s="1"/>
  <c r="Q47" i="82" l="1"/>
  <c r="Q53" i="82" s="1"/>
  <c r="Q56" i="82"/>
  <c r="Q62" i="82" s="1"/>
  <c r="B2" i="82"/>
  <c r="B3" i="82" s="1"/>
  <c r="Q65" i="82"/>
  <c r="Q75" i="82" s="1"/>
  <c r="C68" i="15"/>
  <c r="C71" i="15" s="1"/>
  <c r="C83" i="15"/>
  <c r="C82" i="15" s="1"/>
  <c r="Q65" i="15"/>
  <c r="Q75" i="15" s="1"/>
  <c r="Q47" i="15"/>
  <c r="Q53" i="15" s="1"/>
  <c r="Q56" i="15"/>
  <c r="Q62" i="15" s="1"/>
  <c r="B2" i="15"/>
  <c r="B3" i="15" s="1"/>
  <c r="C43" i="67"/>
  <c r="C45" i="67"/>
  <c r="C46" i="67" s="1"/>
  <c r="Q65" i="67"/>
  <c r="Q75" i="67" s="1"/>
  <c r="Q56" i="67"/>
  <c r="Q62" i="67" s="1"/>
  <c r="Q47" i="67"/>
  <c r="Q53" i="67" s="1"/>
  <c r="D2" i="67"/>
  <c r="B2" i="67" s="1"/>
  <c r="AO6" i="1"/>
  <c r="AO8" i="1"/>
  <c r="AO7" i="1"/>
  <c r="E2" i="69"/>
  <c r="B8" i="70" l="1"/>
  <c r="B7" i="70"/>
  <c r="B6" i="70"/>
  <c r="C46" i="15"/>
  <c r="B2" i="69"/>
  <c r="B3" i="69" s="1"/>
  <c r="B2" i="68"/>
  <c r="B3" i="67"/>
  <c r="D2" i="21"/>
  <c r="D2" i="33"/>
  <c r="D2" i="34"/>
  <c r="F20" i="31"/>
  <c r="D2" i="35"/>
  <c r="D2" i="37"/>
  <c r="D2" i="36"/>
  <c r="E2" i="68"/>
  <c r="B2" i="36" l="1"/>
  <c r="B3" i="36" s="1"/>
  <c r="B2" i="35"/>
  <c r="B3" i="35" s="1"/>
  <c r="B2" i="37"/>
  <c r="B3" i="37" s="1"/>
  <c r="B2" i="34"/>
  <c r="B3" i="34" s="1"/>
  <c r="B2" i="21"/>
  <c r="B3" i="21" s="1"/>
  <c r="B2" i="70"/>
  <c r="B3" i="70" s="1"/>
  <c r="B3" i="68"/>
  <c r="D19" i="9"/>
  <c r="D20" i="9"/>
  <c r="D102" i="9" l="1"/>
  <c r="D21" i="9"/>
  <c r="D103"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J7" i="39"/>
  <c r="AC7" i="39" s="1"/>
  <c r="V47" i="39" s="1"/>
  <c r="I47" i="39" s="1"/>
  <c r="F7" i="39"/>
  <c r="S7" i="39" s="1"/>
  <c r="H7" i="39"/>
  <c r="AB7" i="39" s="1"/>
  <c r="T47" i="39" s="1"/>
  <c r="G47" i="39" s="1"/>
  <c r="B2" i="33" l="1"/>
  <c r="R24" i="31"/>
  <c r="B3" i="33"/>
  <c r="G52" i="39"/>
  <c r="H52" i="39" s="1"/>
  <c r="G51" i="39"/>
  <c r="H51" i="39" s="1"/>
  <c r="I51" i="39"/>
  <c r="J51" i="39" s="1"/>
  <c r="W7" i="39"/>
  <c r="U7" i="39"/>
  <c r="AA7" i="39"/>
  <c r="R47" i="39" s="1"/>
  <c r="R48" i="39" l="1"/>
  <c r="E47" i="39"/>
  <c r="R36" i="31" l="1"/>
  <c r="S36" i="31" s="1"/>
  <c r="R38" i="31"/>
  <c r="S38" i="31" s="1"/>
  <c r="R40" i="31"/>
  <c r="S40" i="31" s="1"/>
  <c r="R42" i="31"/>
  <c r="S42" i="31" s="1"/>
  <c r="R44" i="31"/>
  <c r="S44" i="31" s="1"/>
  <c r="R46" i="31"/>
  <c r="S46" i="31" s="1"/>
  <c r="R35" i="31"/>
  <c r="S35" i="31" s="1"/>
  <c r="R37" i="31"/>
  <c r="S37" i="31" s="1"/>
  <c r="R39" i="31"/>
  <c r="S39" i="31" s="1"/>
  <c r="R41" i="31"/>
  <c r="S41" i="31" s="1"/>
  <c r="R43" i="31"/>
  <c r="S43" i="31" s="1"/>
  <c r="R45" i="31"/>
  <c r="S45" i="31" s="1"/>
  <c r="R33" i="31"/>
  <c r="S33" i="31" s="1"/>
  <c r="R25" i="31"/>
  <c r="S25" i="31" s="1"/>
  <c r="R28" i="31"/>
  <c r="S28" i="31" s="1"/>
  <c r="R27" i="31"/>
  <c r="S27" i="31" s="1"/>
  <c r="R30" i="31"/>
  <c r="S30" i="31" s="1"/>
  <c r="S24" i="31"/>
  <c r="R29" i="31"/>
  <c r="S29" i="31" s="1"/>
  <c r="R32" i="31"/>
  <c r="S32" i="31" s="1"/>
  <c r="R31" i="31"/>
  <c r="S31" i="31" s="1"/>
  <c r="R34" i="31"/>
  <c r="S34" i="31" s="1"/>
  <c r="R26" i="31"/>
  <c r="S26" i="31" s="1"/>
  <c r="C48" i="39"/>
  <c r="C47" i="39"/>
  <c r="E51" i="39"/>
  <c r="F51" i="39" s="1"/>
  <c r="E52" i="39"/>
  <c r="F52" i="39" s="1"/>
  <c r="I52" i="39"/>
  <c r="J52" i="39" s="1"/>
  <c r="S22" i="31" l="1"/>
  <c r="B61" i="39"/>
  <c r="F61" i="39" s="1"/>
  <c r="B60" i="39"/>
  <c r="F60" i="39" s="1"/>
  <c r="B56" i="39"/>
  <c r="F56" i="39" s="1"/>
  <c r="B58" i="39"/>
  <c r="F58" i="39" s="1"/>
  <c r="B59" i="39"/>
  <c r="F59" i="39" s="1"/>
  <c r="B64" i="39"/>
  <c r="F64" i="39" s="1"/>
  <c r="B65" i="39"/>
  <c r="F65" i="39" s="1"/>
  <c r="B57" i="39"/>
  <c r="F57" i="39" s="1"/>
  <c r="B63" i="39"/>
  <c r="F63" i="39" s="1"/>
  <c r="B62" i="39"/>
  <c r="F62" i="39" s="1"/>
  <c r="R22" i="31" l="1"/>
  <c r="B21" i="31" s="1"/>
  <c r="B20" i="31"/>
  <c r="F66" i="39"/>
  <c r="B2" i="39" s="1"/>
  <c r="B3" i="39" s="1"/>
  <c r="C19" i="9"/>
  <c r="C20" i="9"/>
  <c r="G20" i="9" l="1"/>
  <c r="C103" i="9"/>
  <c r="C21" i="9"/>
  <c r="D22" i="9"/>
  <c r="C102" i="9"/>
  <c r="G19" i="9"/>
  <c r="F34" i="9" l="1"/>
  <c r="G21" i="9"/>
  <c r="C32" i="9"/>
  <c r="C35" i="9" s="1"/>
  <c r="D35" i="9" s="1"/>
  <c r="C34" i="9" l="1"/>
  <c r="D34" i="9" s="1"/>
  <c r="H112" i="9"/>
  <c r="D21" i="53" s="1"/>
  <c r="B39" i="72" s="1"/>
  <c r="H111" i="9"/>
  <c r="D126" i="9" s="1"/>
  <c r="D59" i="9"/>
  <c r="M55" i="9" s="1"/>
  <c r="D19" i="53" l="1"/>
  <c r="B38" i="72" s="1"/>
  <c r="I14" i="74"/>
  <c r="B8" i="74" s="1"/>
  <c r="D127" i="9"/>
  <c r="D13" i="52" s="1"/>
  <c r="D12" i="52"/>
  <c r="F118" i="9"/>
  <c r="G118" i="9" s="1"/>
  <c r="G4" i="52" s="1"/>
  <c r="B52" i="72" s="1"/>
  <c r="D118" i="9"/>
  <c r="D119" i="9" s="1"/>
  <c r="D5" i="52" s="1"/>
  <c r="B49" i="72" s="1"/>
  <c r="H118" i="9"/>
  <c r="C104" i="9" s="1"/>
  <c r="D20" i="53" l="1"/>
  <c r="B40" i="72" s="1"/>
  <c r="D8" i="74"/>
  <c r="C8" i="74"/>
  <c r="H101" i="9"/>
  <c r="M48" i="9" s="1"/>
  <c r="I118" i="9"/>
  <c r="C105" i="9" s="1"/>
  <c r="H119" i="9"/>
  <c r="H5" i="52" s="1"/>
  <c r="F4" i="52"/>
  <c r="B51" i="72" s="1"/>
  <c r="F119" i="9"/>
  <c r="F5" i="52" s="1"/>
  <c r="B53" i="72" s="1"/>
  <c r="D14" i="74"/>
  <c r="H4" i="52"/>
  <c r="D4" i="52"/>
  <c r="B47" i="72" s="1"/>
  <c r="H107" i="9"/>
  <c r="M49" i="9" s="1"/>
  <c r="L68" i="9" l="1"/>
  <c r="M68" i="9" s="1"/>
  <c r="L66" i="9"/>
  <c r="M66" i="9" s="1"/>
  <c r="L65" i="9"/>
  <c r="M65" i="9" s="1"/>
  <c r="L64" i="9"/>
  <c r="M64" i="9" s="1"/>
  <c r="L67" i="9"/>
  <c r="M67" i="9" s="1"/>
  <c r="L63" i="9"/>
  <c r="M63"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97" i="9" l="1"/>
  <c r="D58" i="9" s="1"/>
  <c r="D56" i="9" s="1"/>
  <c r="M54" i="9" s="1"/>
  <c r="N57" i="9" s="1"/>
  <c r="C81" i="9"/>
  <c r="P57" i="9" l="1"/>
  <c r="N58" i="9"/>
  <c r="N59" i="9"/>
  <c r="AD3" i="71"/>
  <c r="P21" i="43" s="1"/>
  <c r="N60" i="9" l="1"/>
  <c r="N61" i="9"/>
  <c r="P22" i="43"/>
  <c r="P23" i="43"/>
  <c r="B71" i="39" s="1"/>
  <c r="P24" i="43"/>
  <c r="B66" i="40" s="1"/>
  <c r="P25" i="43"/>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2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<sst xmlns="http://schemas.openxmlformats.org/spreadsheetml/2006/main" count="8422" uniqueCount="3218">
  <si>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</si>
  <si>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</si>
  <si>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</si>
  <si>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</si>
  <si>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</si>
  <si>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</si>
  <si>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</si>
  <si>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</si>
  <si>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</si>
  <si>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</si>
  <si>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</si>
  <si>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</si>
  <si>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</si>
  <si>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</si>
  <si>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</si>
  <si>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</si>
  <si>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</si>
  <si>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</si>
  <si>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</si>
  <si>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</si>
  <si>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</si>
  <si>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</si>
  <si>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</si>
  <si>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</si>
  <si>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</si>
  <si>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</si>
  <si>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</si>
  <si>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</si>
  <si>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</si>
  <si>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</si>
  <si>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</si>
  <si>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</si>
  <si>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</si>
  <si>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</si>
  <si>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</si>
  <si>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</si>
  <si>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</si>
  <si>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</si>
  <si>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</si>
  <si>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</si>
  <si>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</si>
  <si>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</si>
  <si>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</si>
  <si>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</si>
  <si>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</si>
  <si>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</si>
  <si>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</si>
  <si>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</si>
  <si>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</si>
  <si>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</si>
  <si>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</si>
  <si>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</si>
  <si>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</si>
  <si>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</si>
  <si>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</si>
  <si>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</si>
  <si>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</si>
  <si>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</si>
  <si>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</si>
  <si>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</si>
  <si>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</si>
  <si>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</si>
  <si>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</si>
  <si>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</si>
  <si>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</si>
  <si>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</si>
  <si>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</si>
  <si>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</si>
  <si>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</si>
  <si>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</si>
  <si>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</si>
  <si>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</si>
  <si>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</si>
  <si>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</si>
  <si>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</si>
  <si>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</si>
  <si>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</si>
  <si>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</si>
  <si>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</si>
  <si>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</si>
  <si>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</si>
  <si>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</si>
  <si>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</si>
  <si>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</si>
  <si>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</si>
  <si>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</si>
  <si>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</si>
  <si>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</si>
  <si>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</si>
  <si>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</si>
  <si>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</si>
  <si>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</si>
  <si>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</si>
  <si>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</si>
  <si>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</si>
  <si>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</si>
  <si>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</si>
  <si>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</si>
  <si>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</si>
  <si>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</si>
  <si>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</si>
  <si>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</si>
  <si>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</si>
  <si>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</si>
  <si>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</si>
  <si>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</si>
  <si>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</si>
  <si>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</si>
  <si>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</si>
  <si>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</si>
  <si>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</si>
  <si>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</si>
  <si>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</si>
  <si>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</si>
  <si>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</si>
  <si>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</si>
  <si>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</si>
  <si>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</si>
  <si>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</si>
  <si>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</si>
  <si>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</si>
  <si>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</si>
  <si>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</si>
  <si>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</si>
  <si>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</si>
  <si>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</si>
  <si>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</si>
  <si>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</si>
  <si>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</si>
  <si>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</si>
  <si>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</si>
  <si>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</si>
  <si>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</si>
  <si>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</si>
  <si>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</si>
  <si>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</si>
  <si>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</si>
  <si>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</si>
  <si>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</si>
  <si>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</si>
  <si>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</si>
  <si>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</si>
  <si>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</si>
  <si>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</si>
  <si>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</si>
  <si>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</si>
  <si>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</si>
  <si>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</si>
  <si>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</si>
  <si>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</si>
  <si>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</si>
  <si>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</si>
  <si>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</si>
  <si>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</si>
  <si>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</si>
  <si>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</si>
  <si>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</si>
  <si>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</si>
  <si>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</si>
  <si>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</si>
  <si>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</si>
  <si>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</si>
  <si>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</si>
  <si>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</si>
  <si>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</si>
  <si>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</si>
  <si>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</si>
  <si>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</si>
  <si>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</si>
  <si>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</si>
  <si>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</si>
  <si>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</si>
  <si>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</si>
  <si>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</si>
  <si>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</si>
  <si>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</si>
  <si>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</si>
  <si>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</si>
  <si>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</si>
  <si>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</si>
  <si>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</si>
  <si>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</si>
  <si>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</si>
  <si>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</si>
  <si>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</si>
  <si>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</si>
  <si>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</si>
  <si>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</si>
  <si>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</si>
  <si>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</si>
  <si>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</si>
  <si>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</si>
  <si>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</si>
  <si>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</si>
  <si>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</si>
  <si>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</si>
  <si>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</si>
  <si>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</si>
  <si>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</si>
  <si>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</si>
  <si>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</si>
  <si>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</si>
  <si>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</si>
  <si>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</si>
  <si>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</si>
  <si>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</si>
  <si>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</si>
  <si>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</si>
  <si>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</si>
  <si>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</si>
  <si>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</si>
  <si>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</si>
  <si>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</si>
  <si>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</si>
  <si>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</si>
  <si>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</si>
  <si>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</si>
  <si>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</si>
  <si>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</si>
  <si>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</si>
  <si>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</si>
  <si>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</si>
  <si>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</si>
  <si>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</si>
  <si>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</si>
  <si>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</si>
  <si>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</si>
  <si>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</si>
  <si>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</si>
  <si>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</si>
  <si>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</si>
  <si>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</si>
  <si>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</si>
  <si>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</si>
  <si>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</si>
  <si>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</si>
  <si>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</si>
  <si>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</si>
  <si>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</si>
  <si>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</si>
  <si>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</si>
  <si>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</si>
  <si>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</si>
  <si>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</si>
  <si>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</si>
  <si>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</si>
  <si>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</si>
  <si>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</si>
  <si>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</si>
  <si>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</si>
  <si>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</si>
  <si>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</si>
  <si>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</si>
  <si>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</si>
  <si>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</si>
  <si>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</si>
  <si>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</si>
  <si>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</si>
  <si>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</si>
  <si>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</si>
  <si>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</si>
  <si>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</si>
  <si>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</si>
  <si>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</si>
  <si>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</si>
  <si>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</si>
  <si>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</si>
  <si>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</si>
  <si>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</si>
  <si>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</si>
  <si>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</si>
  <si>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</si>
  <si>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</si>
  <si>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</si>
  <si>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</si>
  <si>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</si>
  <si>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</si>
  <si>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</si>
  <si>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</si>
  <si>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</si>
  <si>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</si>
  <si>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</si>
  <si>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</si>
  <si>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</si>
  <si>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</si>
  <si>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</si>
  <si>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</si>
  <si>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</si>
  <si>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</si>
  <si>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</si>
  <si>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</si>
  <si>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</si>
  <si>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</si>
  <si>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</si>
  <si>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</si>
  <si>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</si>
  <si>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</si>
  <si>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</si>
  <si>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</si>
  <si>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</si>
  <si>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</si>
  <si>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</si>
  <si>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</si>
  <si>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</si>
  <si>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</si>
  <si>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</si>
  <si>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</si>
  <si>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</si>
  <si>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</si>
  <si>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</si>
  <si>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</si>
  <si>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</si>
  <si>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</si>
  <si>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</si>
  <si>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</si>
  <si>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</si>
  <si>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</si>
  <si>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</si>
  <si>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</si>
  <si>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</si>
  <si>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</si>
  <si>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</si>
  <si>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</si>
  <si>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</si>
  <si>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</si>
  <si>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</si>
  <si>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</si>
  <si>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</si>
  <si>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</si>
  <si>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</si>
  <si>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</si>
  <si>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</si>
  <si>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</si>
  <si>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</si>
  <si>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</si>
  <si>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</si>
  <si>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</si>
  <si>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</si>
  <si>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</si>
  <si>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</si>
  <si>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</si>
  <si>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</si>
  <si>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</si>
  <si>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</si>
  <si>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</si>
  <si>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</si>
  <si>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</si>
  <si>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</si>
  <si>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</si>
  <si>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</si>
  <si>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</si>
  <si>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</si>
  <si>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</si>
  <si>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</si>
  <si>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</si>
  <si>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</si>
  <si>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</si>
  <si>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</si>
  <si>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</si>
  <si>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</si>
  <si>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</si>
  <si>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</si>
  <si>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</si>
  <si>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</si>
  <si>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</si>
  <si>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</si>
  <si>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</si>
  <si>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</si>
  <si>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</si>
  <si>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</si>
  <si>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</si>
  <si>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</si>
  <si>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</si>
  <si>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</si>
  <si>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</si>
  <si>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</si>
  <si>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</si>
  <si>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</si>
  <si>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</si>
  <si>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</si>
  <si>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</si>
  <si>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</si>
  <si>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</si>
  <si>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</si>
  <si>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</si>
  <si>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</si>
  <si>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</si>
  <si>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</si>
  <si>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</si>
  <si>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</si>
  <si>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</si>
  <si>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</si>
  <si>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</si>
  <si>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</si>
  <si>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</si>
  <si>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</si>
  <si>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</si>
  <si>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</si>
  <si>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</si>
  <si>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</si>
  <si>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</si>
  <si>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</si>
  <si>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</si>
  <si>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</si>
  <si>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</si>
  <si>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</si>
  <si>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</si>
  <si>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</si>
  <si>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</si>
  <si>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</si>
  <si>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</si>
  <si>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</si>
  <si>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</si>
  <si>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</si>
  <si>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</si>
  <si>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</si>
  <si>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</si>
  <si>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</si>
  <si>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</si>
  <si>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</si>
  <si>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</si>
  <si>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</si>
  <si>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</si>
  <si>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</si>
  <si>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</si>
  <si>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</si>
  <si>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</si>
  <si>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</si>
  <si>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</si>
  <si>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</si>
  <si>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</si>
  <si>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</si>
  <si>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</si>
  <si>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</si>
  <si>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</si>
  <si>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</si>
  <si>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</si>
  <si>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</si>
  <si>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</si>
  <si>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</si>
  <si>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</si>
  <si>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</si>
  <si>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</si>
  <si>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</si>
  <si>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</si>
  <si>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</si>
  <si>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</si>
  <si>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</si>
  <si>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</si>
  <si>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</si>
  <si>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</si>
  <si>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</si>
  <si>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</si>
  <si>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</si>
  <si>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</si>
  <si>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</si>
  <si>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</si>
  <si>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</si>
  <si>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</si>
  <si>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</si>
  <si>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</si>
  <si>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</si>
  <si>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</si>
  <si>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</si>
  <si>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</si>
  <si>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</si>
  <si>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</si>
  <si>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</si>
  <si>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</si>
  <si>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</si>
  <si>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</si>
  <si>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</si>
  <si>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</si>
  <si>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</si>
  <si>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</si>
  <si>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</si>
  <si>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</si>
  <si>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</si>
  <si>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</si>
  <si>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</si>
  <si>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</si>
  <si>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</si>
  <si>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</si>
  <si>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</si>
  <si>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</si>
  <si>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</si>
  <si>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</si>
  <si>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</si>
  <si>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</si>
  <si>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</si>
  <si>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</si>
  <si>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</si>
  <si>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</si>
  <si>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</si>
  <si>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</si>
  <si>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</si>
  <si>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</si>
  <si>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</si>
  <si>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</si>
  <si>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</si>
  <si>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</si>
  <si>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</si>
  <si>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</si>
  <si>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</si>
  <si>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</si>
  <si>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</si>
  <si>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</si>
  <si>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</si>
  <si>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</si>
  <si>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</si>
  <si>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</si>
  <si>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</si>
  <si>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</si>
  <si>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</si>
  <si>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</si>
  <si>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</si>
  <si>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</si>
  <si>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</si>
  <si>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</si>
  <si>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</si>
  <si>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</si>
  <si>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</si>
  <si>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</si>
  <si>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</si>
  <si>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</si>
  <si>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</si>
  <si>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</si>
  <si>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</si>
  <si>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</si>
  <si>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</si>
  <si>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</si>
  <si>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</si>
  <si>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</si>
  <si>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</si>
  <si>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</si>
  <si>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</si>
  <si>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</si>
  <si>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</si>
  <si>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</si>
  <si>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</si>
  <si>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</si>
  <si>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</si>
  <si>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</si>
  <si>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</si>
  <si>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</si>
  <si>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</si>
  <si>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</si>
  <si>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</si>
  <si>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</si>
  <si>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</si>
  <si>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</si>
  <si>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</si>
  <si>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</si>
  <si>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</si>
  <si>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</si>
  <si>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</si>
  <si>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</si>
  <si>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</si>
  <si>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</si>
  <si>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</si>
  <si>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</si>
  <si>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</si>
  <si>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</si>
  <si>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</si>
  <si>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</si>
  <si>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</si>
  <si>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</si>
  <si>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</si>
  <si>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</si>
  <si>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</si>
  <si>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</si>
  <si>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</si>
  <si>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</si>
  <si>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</si>
  <si>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</si>
  <si>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</si>
  <si>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</si>
  <si>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</si>
  <si>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</si>
  <si>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</si>
  <si>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</si>
  <si>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</si>
  <si>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</si>
  <si>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</si>
  <si>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</si>
  <si>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</si>
  <si>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</si>
  <si>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</si>
  <si>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</si>
  <si>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</si>
  <si>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</si>
  <si>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</si>
  <si>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</si>
  <si>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</si>
  <si>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</si>
  <si>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</si>
  <si>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</si>
  <si>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</si>
  <si>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</si>
  <si>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</si>
  <si>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</si>
  <si>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</si>
  <si>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</si>
  <si>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</si>
  <si>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</si>
  <si>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</si>
  <si>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</si>
  <si>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</si>
  <si>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</si>
  <si>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</si>
  <si>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</si>
  <si>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</si>
  <si>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</si>
  <si>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</si>
  <si>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</si>
  <si>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</si>
  <si>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</si>
  <si>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</si>
  <si>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</si>
  <si>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</si>
  <si>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</si>
  <si>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</si>
  <si>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</si>
  <si>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</si>
  <si>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</si>
  <si>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</si>
  <si>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</si>
  <si>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</si>
  <si>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</si>
  <si>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</si>
  <si>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</si>
  <si>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</si>
  <si>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</si>
  <si>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</si>
  <si>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</si>
  <si>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</si>
  <si>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</si>
  <si>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</si>
  <si>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</si>
  <si>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</si>
  <si>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</si>
  <si>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</si>
  <si>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</si>
  <si>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</si>
  <si>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</si>
  <si>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</si>
  <si>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</si>
  <si>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</si>
  <si>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</si>
  <si>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</si>
  <si>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</si>
  <si>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</si>
  <si>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</si>
  <si>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</si>
  <si>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</si>
  <si>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</si>
  <si>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</si>
  <si>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</si>
  <si>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</si>
  <si>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</si>
  <si>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</si>
  <si>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</si>
  <si>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</si>
  <si>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</si>
  <si>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</si>
  <si>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</si>
  <si>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</si>
  <si>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</si>
  <si>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</si>
  <si>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</si>
  <si>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</si>
  <si>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</si>
  <si>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</si>
  <si>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</si>
  <si>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</si>
  <si>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</si>
  <si>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</si>
  <si>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</si>
  <si>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</si>
  <si>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</si>
  <si>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</si>
  <si>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</si>
  <si>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</si>
  <si>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</si>
  <si>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</si>
  <si>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</si>
  <si>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</si>
  <si>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</si>
  <si>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</si>
  <si>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</si>
  <si>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</si>
  <si>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</si>
  <si>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</si>
  <si>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</si>
  <si>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</si>
  <si>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</si>
  <si>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</si>
  <si>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</si>
  <si>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</si>
  <si>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</si>
  <si>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</si>
  <si>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</si>
  <si>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</si>
  <si>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</si>
  <si>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</si>
  <si>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</si>
  <si>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</si>
  <si>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</si>
  <si>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</si>
  <si>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</si>
  <si>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</si>
  <si>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</si>
  <si>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</si>
  <si>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</si>
  <si>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</si>
  <si>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</si>
  <si>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</si>
  <si>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</si>
  <si>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</si>
  <si>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</si>
  <si>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</si>
  <si>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</si>
  <si>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</si>
  <si>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</si>
  <si>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</si>
  <si>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</si>
  <si>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</si>
  <si>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</si>
  <si>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</si>
  <si>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</si>
  <si>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</si>
  <si>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</si>
  <si>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</si>
  <si>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</si>
  <si>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</si>
  <si>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</si>
  <si>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</si>
  <si>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</si>
  <si>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</si>
  <si>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</si>
  <si>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</si>
  <si>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</si>
  <si>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</si>
  <si>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</si>
  <si>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</si>
  <si>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</si>
  <si>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</si>
  <si>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</si>
  <si>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</si>
  <si>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</si>
  <si>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</si>
  <si>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</si>
  <si>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</si>
  <si>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</si>
  <si>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</si>
  <si>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</si>
  <si>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</si>
  <si>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</si>
  <si>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</si>
  <si>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</si>
  <si>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</si>
  <si>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</si>
  <si>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</si>
  <si>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</si>
  <si>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</si>
  <si>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</si>
  <si>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</si>
  <si>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</si>
  <si>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</si>
  <si>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</si>
  <si>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</si>
  <si>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</si>
  <si>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</si>
  <si>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</si>
  <si>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</si>
  <si>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</si>
  <si>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</si>
  <si>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</si>
  <si>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</si>
  <si>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</si>
  <si>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</si>
  <si>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</si>
  <si>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</si>
  <si>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</si>
  <si>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</si>
  <si>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</si>
  <si>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</si>
  <si>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</si>
  <si>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</si>
  <si>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</si>
  <si>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</si>
  <si>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</si>
  <si>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</si>
  <si>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</si>
  <si>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</si>
  <si>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</si>
  <si>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</si>
  <si>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</si>
  <si>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</si>
  <si>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</si>
  <si>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</si>
  <si>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</si>
  <si>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</si>
  <si>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</si>
  <si>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</si>
  <si>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</si>
  <si>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</si>
  <si>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</si>
  <si>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</si>
  <si>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</si>
  <si>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</si>
  <si>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</si>
  <si>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</si>
  <si>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</si>
  <si>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</si>
  <si>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</si>
  <si>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</si>
  <si>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</si>
  <si>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</si>
  <si>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</si>
  <si>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</si>
  <si>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</si>
  <si>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</si>
  <si>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</si>
  <si>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</si>
  <si>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</si>
  <si>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</si>
  <si>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</si>
  <si>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</si>
  <si>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</si>
  <si>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</si>
  <si>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</si>
  <si>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</si>
  <si>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</si>
  <si>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</si>
  <si>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</si>
  <si>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</si>
  <si>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</si>
  <si>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</si>
  <si>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</si>
  <si>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</si>
  <si>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</si>
  <si>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</si>
  <si>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</si>
  <si>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</si>
  <si>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</si>
  <si>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</si>
  <si>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</si>
  <si>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</si>
  <si>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</si>
  <si>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</si>
  <si>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</si>
  <si>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</si>
  <si>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</si>
  <si>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</si>
  <si>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</si>
  <si>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</si>
  <si>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</si>
  <si>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</si>
  <si>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</si>
  <si>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</si>
  <si>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</si>
  <si>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</si>
  <si>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</si>
  <si>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</si>
  <si>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</si>
  <si>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</si>
  <si>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</si>
  <si>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</si>
  <si>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</si>
  <si>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</si>
  <si>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</si>
  <si>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</si>
  <si>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</si>
  <si>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</si>
  <si>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</si>
  <si>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</si>
  <si>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</si>
  <si>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</si>
  <si>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</si>
  <si>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</si>
  <si>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</si>
  <si>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</si>
  <si>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</si>
  <si>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</si>
  <si>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</si>
  <si>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</si>
  <si>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</si>
  <si>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</si>
  <si>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</si>
  <si>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</si>
  <si>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</si>
  <si>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</si>
  <si>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</si>
  <si>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</si>
  <si>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</si>
  <si>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</si>
  <si>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</si>
  <si>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</si>
  <si>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</si>
  <si>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</si>
  <si>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</si>
  <si>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</si>
  <si>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</si>
  <si>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</si>
  <si>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</si>
  <si>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</si>
  <si>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</si>
  <si>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</si>
  <si>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</si>
  <si>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</si>
  <si>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</si>
  <si>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</si>
  <si>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</si>
  <si>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</si>
  <si>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</si>
  <si>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</si>
  <si>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</si>
  <si>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</si>
  <si>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</si>
  <si>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</si>
  <si>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</si>
  <si>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</si>
  <si>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</si>
  <si>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</si>
  <si>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</si>
  <si>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</si>
  <si>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</si>
  <si>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</si>
  <si>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</si>
  <si>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</si>
  <si>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</si>
  <si>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</si>
  <si>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</si>
  <si>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</si>
  <si>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</si>
  <si>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</si>
  <si>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</si>
  <si>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</si>
  <si>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</si>
  <si>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</si>
  <si>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</si>
  <si>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</si>
  <si>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</si>
  <si>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</si>
  <si>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</si>
  <si>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</si>
  <si>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</si>
  <si>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</si>
  <si>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</si>
  <si>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</si>
  <si>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</si>
  <si>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</si>
  <si>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</si>
  <si>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</si>
  <si>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</si>
  <si>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</si>
  <si>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</si>
  <si>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</si>
  <si>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</si>
  <si>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</si>
  <si>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</si>
  <si>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</si>
  <si>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</si>
  <si>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</si>
  <si>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</si>
  <si>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</si>
  <si>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</si>
  <si>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</si>
  <si>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</si>
  <si>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</si>
  <si>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</si>
  <si>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</si>
  <si>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</si>
  <si>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</si>
  <si>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</si>
  <si>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</si>
  <si>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</si>
  <si>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</si>
  <si>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</si>
  <si>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</si>
  <si>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</si>
  <si>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</si>
  <si>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</si>
  <si>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</si>
  <si>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</si>
  <si>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</si>
  <si>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</si>
  <si>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</si>
  <si>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</si>
  <si>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</si>
  <si>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</si>
  <si>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</si>
  <si>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</si>
  <si>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</si>
  <si>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</si>
  <si>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</si>
  <si>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</si>
  <si>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</si>
  <si>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</si>
  <si>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</si>
  <si>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</si>
  <si>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</si>
  <si>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</si>
  <si>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</si>
  <si>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</si>
  <si>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</si>
  <si>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</si>
  <si>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</si>
  <si>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</si>
  <si>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</si>
  <si>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</si>
  <si>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</si>
  <si>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</si>
  <si>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</si>
  <si>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</si>
  <si>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</si>
  <si>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</si>
  <si>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</si>
  <si>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</si>
  <si>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</si>
  <si>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</si>
  <si>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</si>
  <si>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</si>
  <si>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</si>
  <si>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</si>
  <si>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</si>
  <si>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</si>
  <si>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</si>
  <si>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</si>
  <si>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</si>
  <si>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</si>
  <si>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</si>
  <si>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</si>
  <si>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</si>
  <si>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</si>
  <si>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</si>
  <si>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</si>
  <si>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</si>
  <si>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</si>
  <si>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</si>
  <si>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</si>
  <si>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</si>
  <si>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</si>
  <si>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</si>
  <si>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</si>
  <si>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</si>
  <si>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</si>
  <si>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</si>
  <si>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</si>
  <si>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</si>
  <si>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</si>
  <si>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</si>
  <si>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</si>
  <si>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</si>
  <si>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</si>
  <si>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</si>
  <si>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</si>
  <si>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</si>
  <si>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</si>
  <si>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</si>
  <si>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</si>
  <si>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</si>
  <si>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</si>
  <si>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</si>
  <si>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</si>
  <si>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</si>
  <si>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</si>
  <si>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</si>
  <si>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</si>
  <si>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</si>
  <si>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</si>
  <si>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</si>
  <si>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</si>
  <si>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</si>
  <si>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</si>
  <si>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</si>
  <si>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</si>
  <si>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</si>
  <si>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</si>
  <si>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</si>
  <si>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</si>
  <si>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</si>
  <si>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</si>
  <si>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</si>
  <si>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</si>
  <si>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</si>
  <si>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</si>
  <si>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</si>
  <si>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</si>
  <si>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</si>
  <si>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</si>
  <si>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</si>
  <si>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</si>
  <si>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</si>
  <si>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</si>
  <si>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</si>
  <si>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</si>
  <si>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</si>
  <si>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</si>
  <si>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</si>
  <si>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</si>
  <si>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</si>
  <si>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</si>
  <si>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</si>
  <si>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</si>
  <si>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</si>
  <si>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</si>
  <si>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</si>
  <si>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</si>
  <si>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</si>
  <si>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</si>
  <si>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</si>
  <si>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</si>
  <si>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</si>
  <si>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</si>
  <si>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</si>
  <si>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</si>
  <si>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</si>
  <si>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</si>
  <si>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</si>
  <si>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</si>
  <si>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</si>
  <si>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</si>
  <si>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</si>
  <si>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</si>
  <si>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</si>
  <si>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</si>
  <si>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</si>
  <si>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</si>
  <si>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</si>
  <si>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</si>
  <si>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</si>
  <si>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</si>
  <si>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</si>
  <si>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</si>
  <si>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</si>
  <si>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</si>
  <si>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</si>
  <si>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</si>
  <si>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</si>
  <si>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</si>
  <si>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</si>
  <si>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</si>
  <si>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</si>
  <si>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</si>
  <si>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</si>
  <si>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</si>
  <si>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</si>
  <si>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</si>
  <si>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</si>
  <si>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</si>
  <si>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</si>
  <si>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</si>
  <si>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</si>
  <si>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</si>
  <si>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</si>
  <si>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</si>
  <si>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</si>
  <si>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</si>
  <si>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</si>
  <si>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</si>
  <si>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</si>
  <si>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</si>
  <si>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</si>
  <si>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</si>
  <si>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</si>
  <si>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</si>
  <si>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</si>
  <si>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</si>
  <si>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</si>
  <si>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</si>
  <si>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</si>
  <si>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</si>
  <si>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</si>
  <si>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</si>
  <si>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</si>
  <si>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</si>
  <si>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</si>
  <si>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</si>
  <si>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</si>
  <si>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</si>
  <si>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</si>
  <si>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</si>
  <si>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</si>
  <si>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</si>
  <si>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</si>
  <si>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</si>
  <si>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</si>
  <si>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</si>
  <si>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</si>
  <si>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</si>
  <si>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</si>
  <si>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</si>
  <si>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</si>
  <si>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</si>
  <si>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</si>
  <si>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</si>
  <si>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</si>
  <si>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</si>
  <si>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</si>
  <si>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</si>
  <si>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</si>
  <si>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</si>
  <si>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</si>
  <si>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</si>
  <si>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</si>
  <si>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</si>
  <si>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</si>
  <si>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</si>
  <si>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</si>
  <si>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</si>
  <si>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</si>
  <si>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</si>
  <si>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</si>
  <si>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</si>
  <si>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</si>
  <si>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</si>
  <si>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</si>
  <si>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</si>
  <si>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</si>
  <si>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</si>
  <si>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</si>
  <si>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</si>
  <si>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</si>
  <si>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</si>
  <si>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</si>
  <si>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</si>
  <si>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</si>
  <si>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</si>
  <si>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</si>
  <si>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</si>
  <si>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</si>
  <si>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</si>
  <si>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</si>
  <si>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</si>
  <si>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</si>
  <si>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</si>
  <si>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</si>
  <si>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</si>
  <si>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</si>
  <si>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</si>
  <si>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</si>
  <si>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</si>
  <si>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</si>
  <si>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</si>
  <si>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</si>
  <si>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</si>
  <si>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</si>
  <si>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</si>
  <si>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</si>
  <si>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</si>
  <si>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</si>
  <si>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</si>
  <si>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</si>
  <si>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</si>
  <si>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</si>
  <si>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</si>
  <si>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</si>
  <si>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</si>
  <si>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</si>
  <si>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</si>
  <si>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</si>
  <si>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</si>
  <si>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</si>
  <si>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</si>
  <si>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</si>
  <si>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</si>
  <si>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</si>
  <si>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</si>
  <si>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</si>
  <si>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</si>
  <si>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</si>
  <si>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</si>
  <si>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</si>
  <si>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</si>
  <si>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</si>
  <si>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</si>
  <si>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</si>
  <si>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</si>
  <si>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</si>
  <si>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</si>
  <si>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</si>
  <si>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</si>
  <si>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</si>
  <si>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</si>
  <si>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</si>
  <si>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</si>
  <si>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</si>
  <si>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</si>
  <si>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</si>
  <si>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</si>
  <si>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</si>
  <si>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</si>
  <si>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</si>
  <si>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</si>
  <si>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</si>
  <si>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</si>
  <si>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</si>
  <si>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</si>
  <si>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</si>
  <si>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</si>
  <si>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</si>
  <si>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</si>
  <si>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</si>
  <si>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</si>
  <si>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</si>
  <si>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</si>
  <si>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</si>
  <si>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</si>
  <si>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</si>
  <si>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</si>
  <si>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</si>
  <si>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</si>
  <si>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</si>
  <si>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</si>
  <si>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</si>
  <si>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</si>
  <si>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</si>
  <si>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</si>
  <si>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</si>
  <si>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</si>
  <si>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</si>
  <si>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</si>
  <si>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</si>
  <si>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</si>
  <si>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</si>
  <si>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</si>
  <si>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</si>
  <si>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</si>
  <si>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</si>
  <si>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</si>
  <si>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</si>
  <si>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</si>
  <si>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</si>
  <si>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</si>
  <si>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</si>
  <si>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</si>
  <si>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</si>
  <si>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</si>
  <si>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</si>
  <si>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</si>
  <si>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</si>
  <si>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</si>
  <si>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</si>
  <si>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</si>
  <si>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</si>
  <si>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</si>
  <si>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</si>
  <si>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</si>
  <si>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</si>
  <si>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</si>
  <si>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</si>
  <si>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</si>
  <si>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</si>
  <si>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</si>
  <si>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</si>
  <si>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</si>
  <si>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</si>
  <si>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</si>
  <si>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</si>
  <si>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</si>
  <si>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</si>
  <si>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</si>
  <si>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</si>
  <si>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</si>
  <si>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</si>
  <si>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</si>
  <si>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</si>
  <si>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</si>
  <si>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</si>
  <si>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</si>
  <si>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</si>
  <si>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</si>
  <si>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</si>
  <si>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</si>
  <si>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</si>
  <si>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</si>
  <si>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</si>
  <si>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</si>
  <si>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</si>
  <si>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</si>
  <si>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</si>
  <si>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</si>
  <si>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</si>
  <si>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</si>
  <si>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</si>
  <si>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</si>
  <si>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</si>
  <si>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</si>
  <si>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</si>
  <si>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</si>
  <si>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</si>
  <si>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</si>
  <si>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</si>
  <si>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</si>
  <si>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</si>
  <si>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</si>
  <si>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</si>
  <si>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</si>
  <si>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</si>
  <si>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</si>
  <si>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</si>
  <si>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</si>
  <si>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</si>
  <si>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</si>
  <si>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</si>
  <si>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</si>
  <si>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</si>
  <si>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</si>
  <si>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</si>
  <si>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</si>
  <si>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</si>
  <si>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</si>
  <si>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</si>
  <si>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</si>
  <si>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</si>
  <si>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</si>
  <si>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</si>
  <si>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</si>
  <si>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</si>
  <si>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</si>
  <si>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</si>
  <si>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</si>
  <si>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</si>
  <si>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</si>
  <si>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</si>
  <si>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</si>
  <si>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</si>
  <si>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</si>
  <si>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</si>
  <si>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</si>
  <si>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</si>
  <si>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</si>
  <si>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</si>
  <si>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</si>
  <si>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</si>
  <si>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</si>
  <si>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</si>
  <si>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</si>
  <si>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</si>
  <si>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</si>
  <si>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</si>
  <si>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</si>
  <si>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</si>
  <si>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</si>
  <si>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</si>
  <si>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</si>
  <si>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</si>
  <si>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</si>
  <si>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</si>
  <si>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</si>
  <si>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</si>
  <si>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</si>
  <si>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</si>
  <si>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</si>
  <si>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</si>
  <si>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</si>
  <si>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</si>
  <si>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</si>
  <si>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</si>
  <si>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</si>
  <si>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</si>
  <si>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</si>
  <si>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</si>
  <si>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</si>
  <si>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</si>
  <si>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</si>
  <si>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</si>
  <si>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</si>
  <si>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</si>
  <si>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</si>
  <si>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</si>
  <si>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</si>
  <si>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</si>
  <si>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</si>
  <si>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</si>
  <si>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</si>
  <si>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</si>
  <si>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</si>
  <si>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</si>
  <si>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</si>
  <si>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</si>
  <si>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</si>
  <si>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</si>
  <si>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</si>
  <si>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</si>
  <si>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</si>
  <si>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</si>
  <si>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</si>
  <si>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</si>
  <si>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</si>
  <si>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</si>
  <si>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</si>
  <si>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</si>
  <si>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</si>
  <si>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</si>
  <si>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</si>
  <si>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</si>
  <si>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</si>
  <si>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</si>
  <si>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</si>
  <si>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</si>
  <si>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</si>
  <si>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</si>
  <si>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</si>
  <si>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</si>
  <si>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</si>
  <si>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</si>
  <si>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</si>
  <si>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</si>
  <si>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</si>
  <si>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</si>
  <si>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</si>
  <si>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</si>
  <si>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</si>
  <si>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</si>
  <si>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</si>
  <si>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</si>
  <si>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</si>
  <si>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</si>
  <si>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</si>
  <si>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</si>
  <si>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</si>
  <si>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</si>
  <si>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</si>
  <si>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</si>
  <si>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</si>
  <si>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</si>
  <si>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</si>
  <si>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</si>
  <si>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</si>
  <si>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</si>
  <si>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</si>
  <si>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</si>
  <si>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</si>
  <si>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</si>
  <si>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</si>
  <si>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</si>
  <si>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</si>
  <si>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</si>
  <si>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</si>
  <si>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</si>
  <si>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</si>
  <si>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</si>
  <si>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</si>
  <si>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</si>
  <si>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</si>
  <si>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</si>
  <si>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</si>
  <si>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</si>
  <si>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</si>
  <si>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</si>
  <si>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</si>
  <si>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</si>
  <si>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</si>
  <si>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</si>
  <si>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</si>
  <si>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</si>
  <si>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</si>
  <si>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</si>
  <si>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</si>
  <si>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</si>
  <si>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</si>
  <si>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</si>
  <si>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</si>
  <si>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</si>
  <si>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</si>
  <si>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</si>
  <si>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</si>
  <si>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</si>
  <si>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</si>
  <si>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</si>
  <si>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</si>
  <si>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</si>
  <si>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</si>
  <si>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</si>
  <si>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</si>
  <si>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</si>
  <si>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</si>
  <si>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</si>
  <si>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</si>
  <si>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</si>
  <si>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</si>
  <si>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</si>
  <si>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</si>
  <si>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</si>
  <si>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</si>
  <si>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</si>
  <si>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</si>
  <si>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</si>
  <si>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</si>
  <si>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</si>
  <si>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</si>
  <si>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</si>
  <si>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</si>
  <si>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</si>
  <si>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</si>
  <si>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</si>
  <si>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</si>
  <si>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</si>
  <si>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</si>
  <si>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</si>
  <si>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</si>
  <si>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</si>
  <si>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</si>
  <si>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</si>
  <si>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</si>
  <si>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</si>
  <si>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</si>
  <si>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</si>
  <si>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</si>
  <si>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</si>
  <si>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</si>
  <si>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</si>
  <si>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</si>
  <si>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</si>
  <si>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</si>
  <si>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</si>
  <si>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</si>
  <si>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</si>
  <si>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</si>
  <si>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</si>
  <si>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</si>
  <si>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</si>
  <si>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</si>
  <si>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</si>
  <si>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</si>
  <si>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</si>
  <si>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</si>
  <si>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</si>
  <si>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</si>
  <si>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</si>
  <si>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</si>
  <si>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</si>
  <si>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</si>
  <si>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</si>
  <si>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</si>
  <si>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</si>
  <si>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</si>
  <si>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</si>
  <si>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</si>
  <si>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</si>
  <si>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</si>
  <si>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</si>
  <si>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</si>
  <si>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</si>
  <si>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</si>
  <si>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</si>
  <si>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</si>
  <si>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</si>
  <si>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</si>
  <si>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</si>
  <si>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</si>
  <si>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</si>
  <si>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</si>
  <si>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</si>
  <si>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</si>
  <si>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</si>
  <si>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</si>
  <si>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</si>
  <si>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</si>
  <si>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</si>
  <si>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</si>
  <si>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</si>
  <si>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</si>
  <si>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</si>
  <si>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</si>
  <si>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</si>
  <si>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</si>
  <si>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</si>
  <si>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</si>
  <si>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</si>
  <si>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</si>
  <si>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</si>
  <si>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</si>
  <si>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</si>
  <si>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</si>
  <si>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</si>
  <si>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</si>
  <si>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</si>
  <si>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</si>
  <si>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</si>
  <si>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</si>
  <si>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</si>
  <si>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</si>
  <si>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</si>
  <si>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</si>
  <si>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</si>
  <si>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</si>
  <si>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</si>
  <si>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</si>
  <si>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</si>
  <si>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</si>
  <si>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</si>
  <si>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</si>
  <si>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</si>
  <si>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</si>
  <si>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</si>
  <si>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</si>
  <si>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</si>
  <si>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</si>
  <si>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</si>
  <si>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</si>
  <si>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</si>
  <si>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</si>
  <si>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</si>
  <si>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</si>
  <si>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</si>
  <si>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</si>
  <si>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</si>
  <si>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</si>
  <si>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</si>
  <si>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</si>
  <si>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</si>
  <si>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</si>
  <si>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</si>
  <si>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</si>
  <si>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</si>
  <si>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</si>
  <si>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</si>
  <si>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</si>
  <si>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</si>
  <si>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</si>
  <si>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</si>
  <si>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</si>
  <si>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</si>
  <si>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</si>
  <si>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</si>
  <si>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</si>
  <si>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</si>
  <si>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</si>
  <si>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</si>
  <si>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</si>
  <si>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</si>
  <si>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</si>
  <si>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</si>
  <si>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</si>
  <si>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</si>
  <si>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</si>
  <si>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</si>
  <si>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</si>
  <si>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</si>
  <si>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</si>
  <si>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</si>
  <si>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</si>
  <si>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</si>
  <si>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</si>
  <si>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</si>
  <si>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</si>
  <si>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</si>
  <si>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</si>
  <si>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</si>
  <si>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</si>
  <si>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</si>
  <si>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</si>
  <si>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</si>
  <si>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</si>
  <si>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</si>
  <si>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</si>
  <si>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</si>
  <si>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</si>
  <si>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</si>
  <si>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</si>
  <si>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</si>
  <si>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</si>
  <si>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</si>
  <si>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</si>
  <si>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</si>
  <si>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</si>
  <si>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</si>
  <si>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</si>
  <si>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</si>
  <si>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</si>
  <si>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</si>
  <si>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</si>
  <si>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</si>
  <si>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</si>
  <si>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</si>
  <si>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</si>
  <si>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</si>
  <si>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</si>
  <si>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</si>
  <si>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</si>
  <si>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</si>
  <si>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</si>
  <si>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</si>
  <si>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</si>
  <si>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</si>
  <si>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</si>
  <si>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</si>
  <si>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</si>
  <si>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</si>
  <si>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</si>
  <si>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</si>
  <si>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</si>
  <si>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</si>
  <si>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</si>
  <si>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</si>
  <si>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</si>
  <si>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</si>
  <si>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</si>
  <si>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</si>
  <si>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</si>
  <si>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</si>
  <si>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</si>
  <si>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</si>
  <si>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</si>
  <si>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</si>
  <si>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</si>
  <si>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</si>
  <si>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</si>
  <si>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</si>
  <si>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</si>
  <si>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</si>
  <si>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</si>
  <si>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</si>
  <si>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</si>
  <si>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</si>
  <si>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</si>
  <si>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</si>
  <si>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</si>
  <si>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</si>
  <si>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</si>
  <si>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</si>
  <si>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</si>
  <si>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</si>
  <si>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</si>
  <si>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</si>
  <si>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</si>
  <si>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</si>
  <si>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</si>
  <si>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</si>
  <si>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</si>
  <si>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</si>
  <si>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</si>
  <si>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</si>
  <si>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</si>
  <si>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</si>
  <si>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</si>
  <si>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</si>
  <si>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</si>
  <si>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</si>
  <si>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</si>
  <si>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</si>
  <si>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</si>
  <si>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</si>
  <si>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</si>
  <si>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</si>
  <si>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</si>
  <si>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</si>
  <si>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</si>
  <si>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</si>
  <si>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</si>
  <si>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</si>
  <si>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</si>
  <si>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</si>
  <si>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</si>
  <si>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</si>
  <si>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</si>
  <si>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</si>
  <si>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</si>
  <si>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</si>
  <si>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</si>
  <si>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</si>
  <si>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</si>
  <si>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</si>
  <si>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</si>
  <si>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</si>
  <si>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</si>
  <si>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</si>
  <si>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</si>
  <si>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</si>
  <si>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</si>
  <si>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</si>
  <si>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</si>
  <si>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</si>
  <si>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</si>
  <si>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</si>
  <si>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</si>
  <si>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</si>
  <si>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</si>
  <si>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</si>
  <si>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</si>
  <si>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</si>
  <si>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</si>
  <si>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</si>
  <si>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</si>
  <si>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</si>
  <si>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</si>
  <si>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</si>
  <si>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</si>
  <si>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</si>
  <si>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</si>
  <si>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</si>
  <si>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</si>
  <si>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</si>
  <si>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</si>
  <si>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</si>
  <si>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</si>
  <si>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</si>
  <si>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</si>
  <si>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</si>
  <si>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</si>
  <si>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</si>
  <si>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</si>
  <si>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</si>
  <si>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</si>
  <si>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</si>
  <si>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</si>
  <si>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</si>
  <si>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</si>
  <si>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</si>
  <si>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</si>
  <si>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</si>
  <si>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</si>
  <si>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</si>
  <si>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</si>
  <si>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</si>
  <si>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</si>
  <si>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</si>
  <si>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</si>
  <si>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</si>
  <si>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</si>
  <si>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</si>
  <si>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</si>
  <si>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</si>
  <si>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</si>
  <si>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</si>
  <si>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</si>
  <si>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</si>
  <si>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</si>
  <si>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</si>
  <si>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</si>
  <si>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</si>
  <si>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</si>
  <si>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</si>
  <si>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</si>
  <si>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</si>
  <si>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</si>
  <si>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</si>
  <si>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</si>
  <si>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</si>
  <si>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</si>
  <si>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</si>
  <si>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</si>
  <si>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</si>
  <si>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</si>
  <si>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</si>
  <si>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</si>
  <si>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</si>
  <si>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</si>
  <si>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</si>
  <si>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</si>
  <si>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</si>
  <si>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</si>
  <si>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</si>
  <si>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</si>
  <si>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</si>
  <si>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</si>
  <si>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</si>
  <si>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</si>
  <si>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</si>
  <si>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</si>
  <si>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</si>
  <si>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</si>
  <si>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</si>
  <si>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</si>
  <si>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</si>
  <si>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</si>
  <si>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</si>
  <si>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</si>
  <si>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</si>
  <si>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</si>
  <si>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</si>
  <si>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</si>
  <si>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</si>
  <si>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</si>
  <si>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</si>
  <si>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</si>
  <si>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</si>
  <si>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</si>
  <si>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</si>
  <si>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</si>
  <si>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</si>
  <si>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</si>
  <si>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</si>
  <si>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</si>
  <si>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</si>
  <si>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</si>
  <si>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</si>
  <si>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</si>
  <si>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</si>
  <si>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</si>
  <si>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</si>
  <si>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</si>
  <si>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</si>
  <si>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</si>
  <si>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</si>
  <si>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</si>
  <si>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</si>
  <si>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</si>
  <si>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</si>
  <si>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</si>
  <si>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</si>
  <si>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</si>
  <si>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</si>
  <si>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</si>
  <si>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</si>
  <si>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</si>
  <si>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</si>
  <si>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</si>
  <si>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</si>
  <si>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</si>
  <si>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</si>
  <si>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</si>
  <si>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</si>
  <si>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</si>
  <si>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</si>
  <si>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</si>
  <si>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</si>
  <si>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</si>
  <si>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</si>
  <si>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</si>
  <si>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</si>
  <si>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</si>
  <si>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</si>
  <si>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</si>
  <si>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</si>
  <si>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</si>
  <si>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</si>
  <si>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</si>
  <si>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</si>
  <si>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</si>
  <si>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</si>
  <si>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</si>
  <si>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</si>
  <si>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</si>
  <si>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</si>
  <si>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</si>
  <si>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</si>
  <si>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</si>
  <si>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</si>
  <si>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</si>
  <si>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</si>
  <si>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</si>
  <si>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</si>
  <si>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</si>
  <si>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</si>
  <si>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</si>
  <si>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</si>
  <si>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</si>
  <si>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</si>
  <si>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</si>
  <si>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</si>
  <si>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</si>
  <si>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</si>
  <si>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</si>
  <si>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</si>
  <si>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</si>
  <si>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</si>
  <si>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</si>
  <si>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</si>
  <si>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</si>
  <si>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</si>
  <si>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</si>
  <si>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</si>
  <si>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</si>
  <si>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</si>
  <si>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</si>
  <si>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</si>
  <si>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</si>
  <si>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</si>
  <si>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</si>
  <si>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</si>
  <si>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</si>
  <si>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</si>
  <si>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</si>
  <si>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</si>
  <si>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</si>
  <si>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</si>
  <si>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</si>
  <si>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</si>
  <si>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</si>
  <si>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</si>
  <si>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</si>
  <si>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</si>
  <si>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</si>
  <si>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</si>
  <si>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</si>
  <si>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</si>
  <si>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</si>
  <si>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</si>
  <si>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</si>
  <si>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</si>
  <si>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</si>
  <si>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</si>
  <si>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</si>
  <si>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</si>
  <si>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</si>
  <si>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</si>
  <si>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</si>
  <si>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</si>
  <si>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</si>
  <si>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</si>
  <si>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</si>
  <si>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</si>
  <si>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</si>
  <si>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</si>
  <si>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</si>
  <si>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</si>
  <si>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</si>
  <si>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</si>
  <si>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</si>
  <si>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</si>
  <si>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</si>
  <si>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</si>
  <si>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</si>
  <si>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</si>
  <si>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</si>
  <si>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</si>
  <si>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</si>
  <si>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</si>
  <si>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</si>
  <si>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</si>
  <si>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</si>
  <si>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</si>
  <si>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</si>
  <si>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</si>
  <si>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</si>
  <si>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</si>
  <si>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</si>
  <si>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</si>
  <si>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</si>
  <si>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</si>
  <si>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</si>
  <si>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</si>
  <si>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</si>
  <si>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</si>
  <si>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</si>
  <si>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</si>
  <si>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</si>
  <si>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</si>
  <si>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</si>
  <si>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</si>
  <si>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</si>
  <si>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</si>
  <si>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</si>
  <si>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</si>
  <si>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</si>
  <si>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</si>
  <si>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</si>
  <si>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</si>
  <si>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</si>
  <si>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</si>
  <si>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</si>
  <si>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</si>
  <si>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</si>
  <si>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</si>
  <si>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</si>
  <si>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</si>
  <si>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</si>
  <si>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</si>
  <si>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</si>
  <si>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</si>
  <si>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</si>
  <si>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</si>
  <si>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</si>
  <si>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</si>
  <si>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</si>
  <si>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</si>
  <si>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</si>
  <si>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</si>
  <si>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</si>
  <si>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</si>
  <si>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</si>
  <si>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</si>
  <si>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</si>
  <si>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</si>
  <si>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</si>
  <si>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</si>
  <si>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</si>
  <si>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</si>
  <si>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</si>
  <si>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</si>
  <si>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</si>
  <si>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</si>
  <si>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</si>
  <si>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</si>
  <si>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</si>
  <si>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</si>
  <si>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</si>
  <si>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</si>
  <si>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</si>
  <si>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</si>
  <si>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</si>
  <si>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</si>
  <si>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</si>
  <si>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</si>
  <si>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</si>
  <si>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</si>
  <si>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</si>
  <si>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</si>
  <si>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</si>
  <si>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</si>
  <si>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</si>
  <si>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</si>
  <si>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</si>
  <si>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</si>
  <si>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</si>
  <si>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</si>
  <si>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</si>
  <si>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</si>
  <si>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</si>
  <si>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</si>
  <si>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</si>
  <si>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</si>
  <si>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</si>
  <si>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</si>
  <si>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</si>
  <si>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</si>
  <si>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</si>
  <si>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</si>
  <si>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</si>
  <si>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</si>
  <si>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</si>
  <si>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</si>
  <si>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</si>
  <si>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</si>
  <si>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</si>
  <si>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</si>
  <si>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</si>
  <si>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</si>
  <si>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</si>
  <si>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</si>
  <si>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</si>
  <si>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</si>
  <si>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</si>
  <si>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</si>
  <si>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</si>
  <si>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</si>
  <si>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</si>
  <si>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</si>
  <si>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</si>
  <si>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</si>
  <si>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</si>
  <si>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</si>
  <si>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</si>
  <si>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</si>
  <si>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</si>
  <si>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</si>
  <si>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</si>
  <si>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</si>
  <si>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</si>
  <si>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</si>
  <si>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</si>
  <si>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</si>
  <si>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</si>
  <si>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</si>
  <si>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</si>
  <si>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</si>
  <si>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</si>
  <si>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</si>
  <si>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</si>
  <si>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</si>
  <si>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</si>
  <si>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</si>
  <si>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</si>
  <si>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</si>
  <si>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</si>
  <si>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</si>
  <si>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</si>
  <si>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</si>
  <si>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</si>
  <si>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</si>
  <si>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</si>
  <si>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</si>
  <si>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</si>
  <si>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</si>
  <si>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</si>
  <si>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</si>
  <si>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</si>
  <si>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</si>
  <si>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</si>
  <si>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</si>
  <si>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</si>
  <si>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</si>
  <si>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</si>
  <si>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</si>
  <si>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</si>
  <si>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</si>
  <si>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</si>
  <si>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</si>
  <si>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</si>
  <si>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</si>
  <si>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</si>
  <si>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</si>
  <si>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</si>
  <si>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</si>
  <si>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</si>
  <si>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</si>
  <si>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</si>
  <si>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</si>
  <si>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</si>
  <si>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</si>
  <si>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</si>
  <si>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</si>
  <si>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</si>
  <si>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</si>
  <si>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</si>
  <si>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</si>
  <si>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</si>
  <si>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</si>
  <si>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</si>
  <si>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</si>
  <si>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</si>
  <si>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</si>
  <si>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</si>
  <si>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</si>
  <si>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</si>
  <si>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</si>
  <si>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</si>
  <si>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</si>
  <si>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</si>
  <si>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</si>
  <si>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</si>
  <si>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</si>
  <si>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</si>
  <si>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</si>
  <si>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</si>
  <si>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</si>
  <si>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</si>
  <si>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</si>
  <si>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</si>
  <si>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</si>
  <si>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</si>
  <si>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</si>
  <si>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</si>
  <si>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</si>
  <si>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</si>
  <si>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</si>
  <si>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</si>
  <si>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</si>
  <si>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</si>
  <si>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</si>
  <si>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</si>
  <si>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</si>
  <si>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</si>
  <si>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</si>
  <si>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</si>
  <si>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</si>
  <si>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</si>
  <si>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</si>
  <si>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</si>
  <si>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</si>
  <si>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</si>
  <si>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</si>
  <si>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</si>
  <si>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</si>
  <si>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</si>
  <si>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</si>
  <si>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</si>
  <si>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</si>
  <si>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</si>
  <si>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</si>
  <si>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</si>
  <si>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</si>
  <si>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</si>
  <si>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</si>
  <si>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</si>
  <si>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</si>
  <si>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</si>
  <si>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</si>
  <si>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</si>
  <si>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</si>
  <si>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</si>
  <si>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</si>
  <si>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</si>
  <si>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</si>
  <si>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</si>
  <si>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</si>
  <si>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</si>
  <si>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</si>
  <si>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</si>
  <si>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</si>
  <si>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</si>
  <si>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</si>
  <si>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</si>
  <si>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</si>
  <si>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</si>
  <si>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</si>
  <si>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</si>
  <si>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</si>
  <si>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</si>
  <si>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</si>
  <si>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</si>
  <si>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</si>
  <si>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</si>
  <si>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</si>
  <si>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</si>
  <si>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</si>
  <si>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</si>
  <si>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</si>
  <si>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</si>
  <si>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</si>
  <si>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</si>
  <si>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</si>
  <si>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</si>
  <si>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</si>
  <si>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</si>
  <si>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</si>
  <si>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</si>
  <si>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</si>
  <si>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</si>
  <si>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</si>
  <si>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</si>
  <si>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</si>
  <si>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</si>
  <si>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</si>
  <si>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</si>
  <si>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</si>
  <si>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</si>
  <si>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</si>
  <si>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</si>
  <si>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</si>
  <si>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</si>
  <si>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</si>
  <si>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</si>
  <si>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</si>
  <si>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</si>
  <si>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</si>
  <si>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</si>
  <si>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</si>
  <si>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</si>
  <si>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</si>
  <si>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</si>
  <si>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</si>
  <si>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</si>
  <si>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</si>
  <si>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</si>
  <si>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</si>
  <si>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</si>
  <si>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</si>
  <si>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</si>
  <si>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</si>
  <si>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</si>
  <si>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</si>
  <si>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</si>
  <si>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</si>
  <si>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</si>
  <si>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</si>
  <si>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</si>
  <si>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</si>
  <si>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</si>
  <si>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</si>
  <si>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</si>
  <si>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</si>
  <si>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</si>
  <si>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</si>
  <si>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</si>
  <si>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</si>
  <si>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</si>
  <si>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</si>
  <si>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</si>
  <si>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</si>
  <si>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</si>
  <si>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</si>
  <si>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</si>
  <si>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</si>
  <si>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</si>
  <si>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</si>
  <si>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</si>
  <si>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</si>
  <si>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</si>
  <si>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</si>
  <si>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</si>
  <si>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</si>
  <si>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</si>
  <si>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</si>
  <si>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</si>
  <si>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</si>
  <si>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</si>
  <si>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</si>
  <si>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</si>
  <si>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</si>
  <si>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</si>
  <si>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</si>
  <si>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</si>
  <si>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</si>
  <si>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</si>
  <si>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</si>
  <si>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</si>
  <si>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</si>
  <si>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</si>
  <si>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</si>
  <si>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</si>
  <si>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</si>
  <si>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</si>
  <si>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</si>
  <si>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</si>
  <si>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</si>
  <si>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</si>
  <si>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</si>
  <si>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</si>
  <si>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</si>
  <si>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</si>
  <si>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</si>
  <si>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</si>
  <si>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</si>
  <si>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</si>
  <si>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</si>
  <si>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</si>
  <si>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</si>
  <si>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</si>
  <si>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</si>
  <si>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</si>
  <si>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</si>
  <si>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</si>
  <si>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</si>
  <si>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</si>
  <si>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</si>
  <si>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</si>
  <si>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</si>
  <si>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</si>
  <si>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</si>
  <si>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</si>
  <si>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</si>
  <si>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</si>
  <si>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</si>
  <si>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</si>
  <si>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</si>
  <si>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</si>
  <si>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</si>
  <si>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</si>
  <si>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</si>
  <si>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</si>
  <si>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</si>
  <si>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</si>
  <si>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</si>
  <si>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</si>
  <si>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</si>
  <si>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</si>
  <si>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</si>
  <si>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</si>
  <si>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</si>
  <si>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</si>
  <si>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</si>
  <si>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</si>
  <si>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</si>
  <si>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</si>
  <si>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</si>
  <si>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</si>
  <si>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</si>
  <si>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</si>
  <si>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</si>
  <si>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</si>
  <si>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</si>
  <si>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</si>
  <si>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</si>
  <si>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</si>
  <si>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</si>
  <si>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</si>
  <si>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</si>
  <si>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</si>
  <si>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</si>
  <si>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</si>
  <si>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</si>
  <si>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</si>
  <si>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</si>
  <si>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</si>
  <si>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</si>
  <si>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</si>
  <si>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</si>
  <si>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</si>
  <si>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</si>
  <si>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</si>
  <si>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</si>
  <si>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</si>
  <si>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</si>
  <si>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</si>
  <si>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</si>
  <si>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</si>
  <si>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</si>
  <si>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</si>
  <si>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</si>
  <si>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</si>
  <si>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</si>
  <si>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</si>
  <si>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</si>
  <si>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</si>
  <si>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</si>
  <si>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</si>
  <si>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</si>
  <si>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</si>
  <si>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</si>
  <si>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</si>
  <si>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</si>
  <si>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</si>
  <si>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</si>
  <si>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</si>
  <si>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</si>
  <si>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</si>
  <si>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</si>
  <si>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</si>
  <si>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</si>
  <si>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</si>
  <si>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</si>
  <si>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</si>
  <si>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</si>
  <si>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</si>
  <si>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</si>
  <si>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</si>
  <si>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</si>
  <si>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</si>
  <si>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</si>
  <si>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</si>
  <si>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</si>
  <si>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</si>
  <si>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</si>
  <si>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</si>
  <si>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</si>
  <si>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</si>
  <si>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</si>
  <si>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</si>
  <si>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</si>
  <si>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</si>
  <si>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</si>
  <si>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</si>
  <si>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</si>
  <si>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</si>
  <si>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</si>
  <si>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</si>
  <si>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</si>
  <si>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</si>
  <si>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</si>
  <si>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</si>
  <si>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</si>
  <si>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</si>
  <si>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</si>
  <si>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</si>
  <si>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</si>
  <si>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</si>
  <si>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</si>
  <si>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</si>
  <si>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</si>
  <si>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</si>
  <si>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</si>
  <si>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</si>
  <si>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</si>
  <si>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</si>
  <si>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</si>
  <si>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</si>
  <si>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</si>
  <si>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</si>
  <si>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</si>
  <si>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</si>
  <si>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</si>
  <si>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</si>
  <si>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</si>
  <si>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</si>
  <si>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</si>
  <si>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</si>
  <si>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</si>
  <si>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</si>
  <si>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</si>
  <si>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</si>
  <si>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</si>
  <si>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</si>
  <si>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</si>
  <si>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</si>
  <si>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</si>
  <si>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</si>
  <si>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</si>
  <si>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</si>
  <si>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</si>
  <si>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</si>
  <si>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</si>
  <si>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</si>
  <si>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</si>
  <si>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</si>
  <si>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</si>
  <si>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</si>
  <si>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</si>
  <si>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</si>
  <si>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</si>
  <si>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</si>
  <si>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</si>
  <si>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</si>
  <si>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</si>
  <si>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</si>
  <si>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</si>
  <si>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</si>
  <si>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</si>
  <si>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</si>
  <si>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</si>
  <si>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</si>
  <si>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</si>
  <si>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</si>
  <si>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</si>
  <si>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</si>
  <si>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</si>
  <si>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</si>
  <si>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</si>
  <si>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</si>
  <si>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</si>
  <si>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</si>
  <si>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</si>
  <si>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</si>
  <si>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</si>
  <si>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</si>
  <si>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</si>
  <si>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</si>
  <si>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</si>
  <si>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</si>
  <si>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</si>
  <si>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</si>
  <si>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</si>
  <si>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</si>
  <si>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</si>
  <si>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</si>
  <si>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</si>
  <si>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</si>
  <si>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</si>
  <si>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</si>
  <si>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</si>
  <si>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</si>
  <si>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</si>
  <si>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</si>
  <si>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</si>
  <si>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</si>
  <si>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</si>
  <si>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</si>
  <si>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</si>
  <si>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</si>
  <si>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</si>
  <si>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</si>
  <si>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</si>
  <si>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</si>
  <si>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</si>
  <si>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</si>
  <si>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</si>
  <si>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</si>
  <si>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</si>
  <si>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</si>
  <si>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</si>
  <si>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</si>
  <si>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</si>
  <si>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</si>
  <si>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</si>
  <si>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</si>
  <si>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</si>
  <si>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</si>
  <si>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</si>
  <si>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</si>
  <si>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</si>
  <si>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</si>
  <si>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</si>
  <si>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</si>
  <si>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</si>
  <si>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</si>
  <si>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</si>
  <si>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</si>
  <si>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</si>
  <si>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</si>
  <si>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</si>
  <si>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</si>
  <si>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</si>
  <si>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</si>
  <si>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</si>
  <si>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</si>
  <si>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</si>
  <si>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</si>
  <si>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</si>
  <si>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</si>
  <si>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</si>
  <si>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</si>
  <si>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</si>
  <si>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</si>
  <si>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</si>
  <si>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</si>
  <si>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</si>
  <si>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</si>
  <si>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</si>
  <si>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</si>
  <si>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</si>
  <si>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</si>
  <si>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</si>
  <si>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</si>
  <si>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</si>
  <si>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</si>
  <si>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</si>
  <si>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</si>
  <si>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</si>
  <si>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</si>
  <si>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</si>
  <si>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</si>
  <si>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</si>
  <si>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</si>
  <si>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</si>
  <si>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</si>
  <si>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</si>
  <si>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</si>
  <si>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</si>
  <si>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</si>
  <si>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</si>
  <si>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</si>
  <si>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</si>
  <si>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</si>
  <si>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</si>
  <si>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</si>
  <si>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</si>
  <si>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</si>
  <si>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</si>
  <si>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</si>
  <si>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</si>
  <si>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</si>
  <si>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</si>
  <si>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</si>
  <si>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</si>
  <si>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</si>
  <si>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</si>
  <si>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</si>
  <si>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</si>
  <si>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</si>
  <si>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</si>
  <si>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</si>
  <si>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</si>
  <si>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</si>
  <si>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</si>
  <si>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</si>
  <si>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</si>
  <si>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</si>
  <si>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</si>
  <si>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</si>
  <si>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</si>
  <si>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</si>
  <si>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</si>
  <si>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</si>
  <si>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</si>
  <si>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</si>
  <si>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</si>
  <si>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</si>
  <si>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</si>
  <si>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</si>
  <si>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</si>
  <si>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</si>
  <si>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</si>
  <si>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</si>
  <si>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</si>
  <si>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</si>
  <si>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</si>
  <si>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</si>
  <si>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</si>
  <si>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</si>
  <si>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</si>
  <si>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</si>
  <si>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</si>
  <si>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</si>
  <si>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</si>
  <si>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</si>
  <si>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</si>
  <si>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</si>
  <si>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</si>
  <si>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</si>
  <si>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</si>
  <si>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</si>
  <si>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</si>
  <si>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</si>
  <si>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</si>
  <si>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</si>
  <si>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</si>
  <si>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</si>
  <si>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</si>
  <si>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</si>
  <si>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</si>
  <si>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</si>
  <si>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</si>
  <si>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</si>
  <si>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</si>
  <si>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</si>
  <si>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</si>
  <si>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</si>
  <si>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</si>
  <si>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</si>
  <si>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</si>
  <si>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</si>
  <si>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</si>
  <si>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</si>
  <si>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</si>
  <si>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</si>
  <si>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</si>
  <si>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</si>
  <si>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</si>
  <si>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</si>
  <si>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</si>
  <si>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</si>
  <si>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</si>
  <si>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</si>
  <si>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</si>
  <si>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</si>
  <si>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</si>
  <si>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</si>
  <si>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</si>
  <si>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</si>
  <si>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</si>
  <si>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</si>
  <si>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</si>
  <si>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</si>
  <si>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</si>
  <si>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</si>
  <si>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</si>
  <si>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</si>
  <si>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</si>
  <si>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</si>
  <si>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</si>
  <si>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</si>
  <si>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</si>
  <si>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</si>
  <si>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</si>
  <si>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</si>
  <si>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</si>
  <si>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</si>
  <si>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</si>
  <si>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</si>
  <si>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</si>
  <si>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</si>
  <si>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</si>
  <si>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</si>
  <si>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</si>
  <si>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</si>
  <si>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</si>
  <si>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</si>
  <si>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</si>
  <si>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</si>
  <si>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</si>
  <si>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</si>
  <si>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</si>
  <si>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</si>
  <si>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</si>
  <si>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</si>
  <si>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</si>
  <si>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</si>
  <si>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</si>
  <si>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</si>
  <si>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</si>
  <si>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</si>
  <si>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</si>
  <si>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</si>
  <si>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</si>
  <si>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</si>
  <si>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</si>
  <si>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</si>
  <si>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</si>
  <si>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</si>
  <si>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</si>
  <si>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</si>
  <si>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</si>
  <si>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</si>
  <si>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</si>
  <si>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</si>
  <si>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</si>
  <si>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</si>
  <si>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</si>
  <si>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</si>
  <si>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</si>
  <si>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</si>
  <si>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</si>
  <si>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</si>
  <si>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</si>
  <si>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</si>
  <si>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</si>
  <si>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</si>
  <si>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</si>
  <si>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</si>
  <si>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</si>
  <si>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</si>
  <si>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</si>
  <si>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</si>
  <si>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</si>
  <si>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</si>
  <si>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</si>
  <si>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</si>
  <si>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</si>
  <si>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</si>
  <si>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</si>
  <si>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</si>
  <si>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</si>
  <si>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</si>
  <si>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</si>
  <si>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</si>
  <si>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</si>
  <si>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</si>
  <si>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</si>
  <si>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</si>
  <si>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</si>
  <si>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</si>
  <si>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</si>
  <si>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</si>
  <si>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</si>
  <si>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</si>
  <si>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</si>
  <si>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</si>
  <si>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</si>
  <si>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</si>
  <si>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</si>
  <si>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</si>
  <si>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</si>
  <si>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</si>
  <si>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</si>
  <si>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</si>
  <si>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</si>
  <si>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</si>
  <si>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</si>
  <si>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</si>
  <si>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</si>
  <si>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</si>
  <si>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</si>
  <si>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</si>
  <si>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</si>
  <si>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</si>
  <si>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</si>
  <si>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</si>
  <si>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</si>
  <si>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</si>
  <si>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</si>
  <si>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</si>
  <si>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</si>
  <si>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欧红伟</t>
  </si>
  <si>
    <t>崔锴</t>
  </si>
  <si>
    <t>北京匠心置业有限公司</t>
    <phoneticPr fontId="6" type="noConversion"/>
  </si>
  <si>
    <t>中国建设银行股份有限公司江苏分行太仓支行</t>
    <phoneticPr fontId="6" type="noConversion"/>
  </si>
  <si>
    <t>抵押</t>
  </si>
  <si>
    <t>房地产抵押价值</t>
  </si>
  <si>
    <t>北京市</t>
  </si>
  <si>
    <t>企业</t>
  </si>
  <si>
    <t>出让</t>
  </si>
  <si>
    <r>
      <rPr>
        <sz val="12"/>
        <color theme="9" tint="-0.249977111117893"/>
        <rFont val="宋体"/>
        <family val="3"/>
        <charset val="134"/>
      </rPr>
      <t>《房屋所有权证》</t>
    </r>
    <r>
      <rPr>
        <sz val="12"/>
        <color theme="9" tint="-0.249977111117893"/>
        <rFont val="Arial"/>
        <family val="2"/>
      </rPr>
      <t/>
    </r>
    <phoneticPr fontId="6" type="noConversion"/>
  </si>
  <si>
    <t>是</t>
  </si>
  <si>
    <t>原件</t>
  </si>
  <si>
    <t>商业项目</t>
  </si>
  <si>
    <t>无</t>
  </si>
  <si>
    <t>否</t>
  </si>
  <si>
    <t>现房</t>
  </si>
  <si>
    <t>《国有土地使用证》、《北京匠心置业有限公司丰台区马家堡东路168号院面积分摊计算说明》</t>
    <phoneticPr fontId="6" type="noConversion"/>
  </si>
  <si>
    <t>中国建设银行股份有限公司太仓分行</t>
    <phoneticPr fontId="3" type="noConversion"/>
  </si>
  <si>
    <t>通路</t>
  </si>
  <si>
    <t>通电</t>
  </si>
  <si>
    <t>通讯</t>
  </si>
  <si>
    <t>通上水</t>
  </si>
  <si>
    <t>通下水</t>
  </si>
  <si>
    <t>燃气</t>
  </si>
  <si>
    <t>1-2</t>
    <phoneticPr fontId="3" type="noConversion"/>
  </si>
  <si>
    <t>地上</t>
  </si>
  <si>
    <t>底商</t>
  </si>
  <si>
    <t>周边商业有集美家居、银泰百货，人流量一般，商业繁华度一般</t>
    <phoneticPr fontId="3" type="noConversion"/>
  </si>
  <si>
    <t>估价对象周边有485、501、602、736、957路及地铁十号线等、公共交通通达情况较好、停车便捷程度较好，综合评价交通便捷度较好</t>
    <phoneticPr fontId="3" type="noConversion"/>
  </si>
  <si>
    <t>周边有中国建设银行、广东发展银行、集美家居、物美超市、西马金润小学、丰台第一小学远洋分校等，公共配套设施较齐备</t>
    <phoneticPr fontId="3" type="noConversion"/>
  </si>
  <si>
    <t>七通</t>
    <phoneticPr fontId="3" type="noConversion"/>
  </si>
  <si>
    <t>周边有桃苑公园自然及人文环境一般</t>
    <phoneticPr fontId="3" type="noConversion"/>
  </si>
  <si>
    <t>支路</t>
    <phoneticPr fontId="3" type="noConversion"/>
  </si>
  <si>
    <t>售价</t>
  </si>
  <si>
    <t>海上海花园</t>
    <phoneticPr fontId="3" type="noConversion"/>
  </si>
  <si>
    <t>商业</t>
    <phoneticPr fontId="31" type="noConversion"/>
  </si>
  <si>
    <t>30-40（含）</t>
  </si>
  <si>
    <t>一般</t>
  </si>
  <si>
    <t>较好</t>
  </si>
  <si>
    <t>七通</t>
  </si>
  <si>
    <t>单面临街</t>
    <phoneticPr fontId="143" type="noConversion"/>
  </si>
  <si>
    <t>较好</t>
    <phoneticPr fontId="31" type="noConversion"/>
  </si>
  <si>
    <t>一般</t>
    <phoneticPr fontId="31" type="noConversion"/>
  </si>
  <si>
    <t>较差</t>
    <phoneticPr fontId="31" type="noConversion"/>
  </si>
  <si>
    <t>单面临街</t>
  </si>
  <si>
    <t>1-2</t>
  </si>
  <si>
    <t>住宅底商</t>
  </si>
  <si>
    <t>住宅底商</t>
    <phoneticPr fontId="31" type="noConversion"/>
  </si>
  <si>
    <t>钢混</t>
  </si>
  <si>
    <t>钢混</t>
    <phoneticPr fontId="31" type="noConversion"/>
  </si>
  <si>
    <t>砖混</t>
    <phoneticPr fontId="31" type="noConversion"/>
  </si>
  <si>
    <t>精装修</t>
  </si>
  <si>
    <t>精装修</t>
    <phoneticPr fontId="31" type="noConversion"/>
  </si>
  <si>
    <t>普通装修</t>
  </si>
  <si>
    <t>普通装修</t>
    <phoneticPr fontId="31" type="noConversion"/>
  </si>
  <si>
    <t>简单装修</t>
  </si>
  <si>
    <t>简单装修</t>
    <phoneticPr fontId="31" type="noConversion"/>
  </si>
  <si>
    <t>毛坯</t>
  </si>
  <si>
    <t>毛坯</t>
    <phoneticPr fontId="31" type="noConversion"/>
  </si>
  <si>
    <t>七通</t>
    <phoneticPr fontId="31" type="noConversion"/>
  </si>
  <si>
    <t>六通</t>
  </si>
  <si>
    <t>六通</t>
    <phoneticPr fontId="31" type="noConversion"/>
  </si>
  <si>
    <t>五通</t>
    <phoneticPr fontId="31" type="noConversion"/>
  </si>
  <si>
    <t>四通</t>
    <phoneticPr fontId="31" type="noConversion"/>
  </si>
  <si>
    <t>三通</t>
    <phoneticPr fontId="31" type="noConversion"/>
  </si>
  <si>
    <t>可做餐饮</t>
    <phoneticPr fontId="31" type="noConversion"/>
  </si>
  <si>
    <t>不可做餐饮</t>
  </si>
  <si>
    <t>不可做餐饮</t>
    <phoneticPr fontId="31" type="noConversion"/>
  </si>
  <si>
    <t>标准层高</t>
  </si>
  <si>
    <t>标准层高</t>
    <phoneticPr fontId="31" type="noConversion"/>
  </si>
  <si>
    <t>星河城</t>
    <phoneticPr fontId="3" type="noConversion"/>
  </si>
  <si>
    <t>20-30（含）</t>
  </si>
  <si>
    <t>商业街商铺</t>
    <phoneticPr fontId="31" type="noConversion"/>
  </si>
  <si>
    <t>独立商业</t>
    <phoneticPr fontId="31" type="noConversion"/>
  </si>
  <si>
    <t>旭日嘉园</t>
    <phoneticPr fontId="3" type="noConversion"/>
  </si>
  <si>
    <t>租金</t>
  </si>
  <si>
    <t>配套商业</t>
    <phoneticPr fontId="31" type="noConversion"/>
  </si>
  <si>
    <t>东亚三环</t>
    <phoneticPr fontId="3" type="noConversion"/>
  </si>
  <si>
    <t>押一</t>
  </si>
  <si>
    <t>非生产用房</t>
  </si>
  <si>
    <t>1-1</t>
  </si>
  <si>
    <t>1-3</t>
  </si>
  <si>
    <t>1-4</t>
  </si>
  <si>
    <t>1-5</t>
  </si>
  <si>
    <t>1-6</t>
  </si>
  <si>
    <t>1-7</t>
  </si>
  <si>
    <t>1-11</t>
  </si>
  <si>
    <t>1-12</t>
  </si>
  <si>
    <t>1-13</t>
  </si>
  <si>
    <t>1-15</t>
  </si>
  <si>
    <t>装修</t>
    <phoneticPr fontId="3" type="noConversion"/>
  </si>
  <si>
    <t>精装</t>
    <phoneticPr fontId="3" type="noConversion"/>
  </si>
  <si>
    <t>普通装修</t>
    <phoneticPr fontId="3" type="noConversion"/>
  </si>
  <si>
    <t>简单装修</t>
    <phoneticPr fontId="3" type="noConversion"/>
  </si>
  <si>
    <t>毛坯</t>
    <phoneticPr fontId="3" type="noConversion"/>
  </si>
  <si>
    <t>楼层</t>
    <phoneticPr fontId="3" type="noConversion"/>
  </si>
  <si>
    <t>1-2</t>
    <phoneticPr fontId="3" type="noConversion"/>
  </si>
  <si>
    <t>临街状况</t>
    <phoneticPr fontId="3" type="noConversion"/>
  </si>
  <si>
    <t>可视性</t>
    <phoneticPr fontId="3" type="noConversion"/>
  </si>
  <si>
    <t>较好</t>
    <phoneticPr fontId="3" type="noConversion"/>
  </si>
  <si>
    <t>人流量</t>
    <phoneticPr fontId="3" type="noConversion"/>
  </si>
  <si>
    <t>1-1</t>
    <phoneticPr fontId="3" type="noConversion"/>
  </si>
  <si>
    <t>1-6</t>
    <phoneticPr fontId="3" type="noConversion"/>
  </si>
  <si>
    <t>1-8</t>
  </si>
  <si>
    <t>1-9</t>
  </si>
  <si>
    <t>1-10</t>
  </si>
  <si>
    <t>1-14</t>
  </si>
  <si>
    <t>1-16</t>
  </si>
  <si>
    <t>1-17</t>
  </si>
  <si>
    <t>1-18</t>
  </si>
  <si>
    <t>1-19</t>
  </si>
  <si>
    <t>1-20</t>
  </si>
  <si>
    <t>1-21</t>
  </si>
  <si>
    <t>1-22</t>
  </si>
  <si>
    <t>1-2</t>
    <phoneticPr fontId="3" type="noConversion"/>
  </si>
  <si>
    <t>1-3</t>
    <phoneticPr fontId="3" type="noConversion"/>
  </si>
  <si>
    <t>1-4</t>
    <phoneticPr fontId="3" type="noConversion"/>
  </si>
  <si>
    <t>1-5</t>
    <phoneticPr fontId="3" type="noConversion"/>
  </si>
  <si>
    <t>1-7</t>
    <phoneticPr fontId="3" type="noConversion"/>
  </si>
  <si>
    <t>1-8</t>
    <phoneticPr fontId="3" type="noConversion"/>
  </si>
  <si>
    <t>1-9</t>
    <phoneticPr fontId="3" type="noConversion"/>
  </si>
  <si>
    <t>1-10</t>
    <phoneticPr fontId="3" type="noConversion"/>
  </si>
  <si>
    <t>1-11</t>
    <phoneticPr fontId="3" type="noConversion"/>
  </si>
  <si>
    <t>1-12</t>
    <phoneticPr fontId="3" type="noConversion"/>
  </si>
  <si>
    <t>1-13</t>
    <phoneticPr fontId="3" type="noConversion"/>
  </si>
  <si>
    <t>1-14</t>
    <phoneticPr fontId="3" type="noConversion"/>
  </si>
  <si>
    <t>1-15</t>
    <phoneticPr fontId="3" type="noConversion"/>
  </si>
  <si>
    <t>1-16</t>
    <phoneticPr fontId="3" type="noConversion"/>
  </si>
  <si>
    <t>1-17</t>
    <phoneticPr fontId="3" type="noConversion"/>
  </si>
  <si>
    <t>1-18</t>
    <phoneticPr fontId="3" type="noConversion"/>
  </si>
  <si>
    <t>1-19</t>
    <phoneticPr fontId="3" type="noConversion"/>
  </si>
  <si>
    <t>1-20</t>
    <phoneticPr fontId="3" type="noConversion"/>
  </si>
  <si>
    <t>1-21</t>
    <phoneticPr fontId="3" type="noConversion"/>
  </si>
  <si>
    <t>1-22</t>
    <phoneticPr fontId="3" type="noConversion"/>
  </si>
  <si>
    <t>较大</t>
  </si>
  <si>
    <t>较大</t>
    <phoneticPr fontId="3" type="noConversion"/>
  </si>
  <si>
    <t>一般</t>
    <phoneticPr fontId="25" type="noConversion"/>
  </si>
  <si>
    <t>估价结果一览表</t>
  </si>
  <si>
    <r>
      <t>单位：平方米、万元、元</t>
    </r>
    <r>
      <rPr>
        <sz val="10.5"/>
        <color theme="1"/>
        <rFont val="Arial"/>
        <family val="2"/>
      </rPr>
      <t>/</t>
    </r>
    <r>
      <rPr>
        <sz val="10.5"/>
        <color theme="1"/>
        <rFont val="楷体_GB2312"/>
        <family val="3"/>
        <charset val="134"/>
      </rPr>
      <t>平方米</t>
    </r>
  </si>
  <si>
    <r>
      <t>抵</t>
    </r>
    <r>
      <rPr>
        <sz val="12"/>
        <color theme="1"/>
        <rFont val="Arial"/>
        <family val="2"/>
      </rPr>
      <t xml:space="preserve"> </t>
    </r>
    <r>
      <rPr>
        <sz val="12"/>
        <color theme="1"/>
        <rFont val="楷体_GB2312"/>
        <family val="3"/>
        <charset val="134"/>
      </rPr>
      <t>押</t>
    </r>
    <r>
      <rPr>
        <sz val="12"/>
        <color theme="1"/>
        <rFont val="Arial"/>
        <family val="2"/>
      </rPr>
      <t xml:space="preserve"> </t>
    </r>
    <r>
      <rPr>
        <sz val="12"/>
        <color theme="1"/>
        <rFont val="楷体_GB2312"/>
        <family val="3"/>
        <charset val="134"/>
      </rPr>
      <t>物</t>
    </r>
    <r>
      <rPr>
        <sz val="12"/>
        <color theme="1"/>
        <rFont val="Arial"/>
        <family val="2"/>
      </rPr>
      <t xml:space="preserve"> </t>
    </r>
    <r>
      <rPr>
        <sz val="12"/>
        <color theme="1"/>
        <rFont val="楷体_GB2312"/>
        <family val="3"/>
        <charset val="134"/>
      </rPr>
      <t>名</t>
    </r>
    <r>
      <rPr>
        <sz val="12"/>
        <color theme="1"/>
        <rFont val="Arial"/>
        <family val="2"/>
      </rPr>
      <t xml:space="preserve"> </t>
    </r>
    <r>
      <rPr>
        <sz val="12"/>
        <color theme="1"/>
        <rFont val="楷体_GB2312"/>
        <family val="3"/>
        <charset val="134"/>
      </rPr>
      <t>称</t>
    </r>
  </si>
  <si>
    <t>建筑面积</t>
  </si>
  <si>
    <t>分摊出让国有建设用地使用权面积</t>
  </si>
  <si>
    <t>房地产价值</t>
  </si>
  <si>
    <r>
      <t>总</t>
    </r>
    <r>
      <rPr>
        <sz val="12"/>
        <color theme="1"/>
        <rFont val="Arial"/>
        <family val="2"/>
      </rPr>
      <t xml:space="preserve"> </t>
    </r>
    <r>
      <rPr>
        <sz val="12"/>
        <color theme="1"/>
        <rFont val="楷体_GB2312"/>
        <family val="3"/>
        <charset val="134"/>
      </rPr>
      <t>价</t>
    </r>
  </si>
  <si>
    <t>综合楼面单价</t>
  </si>
  <si>
    <r>
      <t>北京市丰台区马家堡东路</t>
    </r>
    <r>
      <rPr>
        <sz val="12"/>
        <color theme="1"/>
        <rFont val="Arial"/>
        <family val="2"/>
      </rPr>
      <t>168</t>
    </r>
    <r>
      <rPr>
        <sz val="12"/>
        <color theme="1"/>
        <rFont val="楷体_GB2312"/>
        <family val="3"/>
        <charset val="134"/>
      </rPr>
      <t>号院</t>
    </r>
    <r>
      <rPr>
        <sz val="12"/>
        <color theme="1"/>
        <rFont val="Arial"/>
        <family val="2"/>
      </rPr>
      <t>6</t>
    </r>
    <r>
      <rPr>
        <sz val="12"/>
        <color theme="1"/>
        <rFont val="楷体_GB2312"/>
        <family val="3"/>
        <charset val="134"/>
      </rPr>
      <t>号楼及</t>
    </r>
    <r>
      <rPr>
        <sz val="12"/>
        <color theme="1"/>
        <rFont val="Arial"/>
        <family val="2"/>
      </rPr>
      <t>10</t>
    </r>
    <r>
      <rPr>
        <sz val="12"/>
        <color theme="1"/>
        <rFont val="楷体_GB2312"/>
        <family val="3"/>
        <charset val="134"/>
      </rPr>
      <t>号楼共</t>
    </r>
    <r>
      <rPr>
        <sz val="12"/>
        <color theme="1"/>
        <rFont val="Arial"/>
        <family val="2"/>
      </rPr>
      <t>33</t>
    </r>
    <r>
      <rPr>
        <sz val="12"/>
        <color theme="1"/>
        <rFont val="楷体_GB2312"/>
        <family val="3"/>
        <charset val="134"/>
      </rPr>
      <t>套商业用房房地产</t>
    </r>
  </si>
  <si>
    <t>大写金额</t>
  </si>
  <si>
    <t>贰亿柒仟壹佰捌拾贰万元整</t>
  </si>
  <si>
    <t>顺致</t>
  </si>
  <si>
    <t>商祺</t>
  </si>
  <si>
    <r>
      <t xml:space="preserve">                              </t>
    </r>
    <r>
      <rPr>
        <sz val="14"/>
        <color theme="1"/>
        <rFont val="楷体_GB2312"/>
        <family val="3"/>
        <charset val="134"/>
      </rPr>
      <t>北京康正宏基房地产评估有限公司</t>
    </r>
    <r>
      <rPr>
        <sz val="14"/>
        <color theme="1"/>
        <rFont val="Arial"/>
        <family val="2"/>
      </rPr>
      <t xml:space="preserve"> </t>
    </r>
  </si>
  <si>
    <t xml:space="preserve">                          </t>
  </si>
  <si>
    <r>
      <t xml:space="preserve">                                      </t>
    </r>
    <r>
      <rPr>
        <sz val="14"/>
        <color theme="1"/>
        <rFont val="楷体_GB2312"/>
        <family val="3"/>
        <charset val="134"/>
      </rPr>
      <t>二</t>
    </r>
    <r>
      <rPr>
        <sz val="14"/>
        <color theme="1"/>
        <rFont val="宋体"/>
        <family val="3"/>
        <charset val="134"/>
        <scheme val="minor"/>
      </rPr>
      <t>〇</t>
    </r>
    <r>
      <rPr>
        <sz val="14"/>
        <color theme="1"/>
        <rFont val="楷体_GB2312"/>
        <family val="3"/>
        <charset val="134"/>
      </rPr>
      <t>一七年六月二十九日</t>
    </r>
  </si>
  <si>
    <t>出租</t>
    <phoneticPr fontId="3" type="noConversion"/>
  </si>
  <si>
    <t>未出租</t>
  </si>
  <si>
    <t>已出租</t>
  </si>
  <si>
    <t>已出租</t>
    <phoneticPr fontId="3" type="noConversion"/>
  </si>
  <si>
    <t>未出租</t>
    <phoneticPr fontId="7" type="noConversion"/>
  </si>
  <si>
    <t>成新度</t>
  </si>
  <si>
    <t>需扣减承租人权益</t>
  </si>
  <si>
    <t>房号</t>
    <phoneticPr fontId="143" type="noConversion"/>
  </si>
  <si>
    <t>建筑面积</t>
    <phoneticPr fontId="143" type="noConversion"/>
  </si>
  <si>
    <t>年租金</t>
    <phoneticPr fontId="143" type="noConversion"/>
  </si>
  <si>
    <t>终止年限</t>
    <phoneticPr fontId="143" type="noConversion"/>
  </si>
  <si>
    <r>
      <t>1</t>
    </r>
    <r>
      <rPr>
        <sz val="11"/>
        <color theme="1"/>
        <rFont val="宋体"/>
        <family val="3"/>
        <charset val="134"/>
        <scheme val="minor"/>
      </rPr>
      <t>-2</t>
    </r>
    <phoneticPr fontId="143" type="noConversion"/>
  </si>
  <si>
    <t xml:space="preserve"> </t>
    <phoneticPr fontId="143" type="noConversion"/>
  </si>
  <si>
    <t>楼层</t>
    <phoneticPr fontId="143" type="noConversion"/>
  </si>
  <si>
    <t>市场租金</t>
    <phoneticPr fontId="143" type="noConversion"/>
  </si>
  <si>
    <t>建筑面积</t>
    <phoneticPr fontId="143" type="noConversion"/>
  </si>
  <si>
    <t>1层</t>
    <phoneticPr fontId="143" type="noConversion"/>
  </si>
  <si>
    <t>2层</t>
    <phoneticPr fontId="143" type="noConversion"/>
  </si>
  <si>
    <t>1层</t>
    <phoneticPr fontId="143" type="noConversion"/>
  </si>
  <si>
    <t>市场租金</t>
    <phoneticPr fontId="143" type="noConversion"/>
  </si>
  <si>
    <t>综合租金</t>
    <phoneticPr fontId="143" type="noConversion"/>
  </si>
  <si>
    <t>收益法-已出租</t>
  </si>
  <si>
    <t>收益法-已出租</t>
    <phoneticPr fontId="16" type="noConversion"/>
  </si>
  <si>
    <t>收益法-未出租</t>
  </si>
  <si>
    <t>收益法-未出租</t>
    <phoneticPr fontId="16" type="noConversion"/>
  </si>
  <si>
    <t>收益法（汇总）</t>
  </si>
  <si>
    <t>典型户型修正</t>
  </si>
  <si>
    <t>典型户型修正</t>
    <phoneticPr fontId="16" type="noConversion"/>
  </si>
  <si>
    <t>项目局部</t>
  </si>
  <si>
    <t xml:space="preserve">2018-1-0069-F01DYGJ1 </t>
    <phoneticPr fontId="6" type="noConversion"/>
  </si>
  <si>
    <r>
      <rPr>
        <sz val="12"/>
        <color theme="9" tint="-0.249977111117893"/>
        <rFont val="宋体"/>
        <family val="3"/>
        <charset val="134"/>
      </rPr>
      <t>丰台区马家堡东路</t>
    </r>
    <r>
      <rPr>
        <sz val="12"/>
        <color theme="9" tint="-0.249977111117893"/>
        <rFont val="Arial"/>
        <family val="2"/>
      </rPr>
      <t>168</t>
    </r>
    <r>
      <rPr>
        <sz val="12"/>
        <color theme="9" tint="-0.249977111117893"/>
        <rFont val="宋体"/>
        <family val="3"/>
        <charset val="134"/>
      </rPr>
      <t>号院</t>
    </r>
    <r>
      <rPr>
        <sz val="12"/>
        <color theme="9" tint="-0.249977111117893"/>
        <rFont val="Arial"/>
        <family val="2"/>
      </rPr>
      <t>6</t>
    </r>
    <r>
      <rPr>
        <sz val="12"/>
        <color theme="9" tint="-0.249977111117893"/>
        <rFont val="宋体"/>
        <family val="3"/>
        <charset val="134"/>
      </rPr>
      <t>号楼</t>
    </r>
    <phoneticPr fontId="6" type="noConversion"/>
  </si>
  <si>
    <t>土地面积</t>
  </si>
  <si>
    <t>建筑物价值</t>
  </si>
  <si>
    <t>自定义</t>
  </si>
  <si>
    <t>双面临街</t>
  </si>
  <si>
    <t>双面临街</t>
    <phoneticPr fontId="3" type="noConversion"/>
  </si>
  <si>
    <t>单面临街</t>
    <phoneticPr fontId="25" type="noConversion"/>
  </si>
  <si>
    <t>押三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</si>
</sst>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color theme="9" tint="-0.249977111117893"/>
      <name val="楷体_GB2312"/>
      <family val="3"/>
      <charset val="134"/>
    </font>
    <font>
      <sz val="11"/>
      <color theme="9" tint="-0.249977111117893"/>
      <name val="楷体_GB2312"/>
      <family val="3"/>
      <charset val="134"/>
    </font>
    <font>
      <sz val="10"/>
      <color rgb="FFFF0000"/>
      <name val="楷体_GB2312"/>
      <family val="3"/>
      <charset val="134"/>
    </font>
    <font>
      <sz val="12"/>
      <color indexed="8"/>
      <name val="仿宋_GB2312"/>
      <family val="3"/>
      <charset val="134"/>
    </font>
    <font>
      <b/>
      <sz val="14"/>
      <color theme="1"/>
      <name val="楷体_GB2312"/>
      <family val="3"/>
      <charset val="134"/>
    </font>
    <font>
      <sz val="10.5"/>
      <color theme="1"/>
      <name val="楷体_GB2312"/>
      <family val="3"/>
      <charset val="134"/>
    </font>
    <font>
      <sz val="10.5"/>
      <color theme="1"/>
      <name val="Arial"/>
      <family val="2"/>
    </font>
    <font>
      <sz val="14"/>
      <color theme="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79998168889431442"/>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dotted">
        <color indexed="64"/>
      </left>
      <right style="dotted">
        <color indexed="64"/>
      </right>
      <top style="double">
        <color indexed="64"/>
      </top>
      <bottom/>
      <diagonal/>
    </border>
    <border>
      <left style="dotted">
        <color indexed="64"/>
      </left>
      <right style="dotted">
        <color indexed="64"/>
      </right>
      <top/>
      <bottom style="dotted">
        <color indexed="64"/>
      </bottom>
      <diagonal/>
    </border>
    <border>
      <left/>
      <right style="dotted">
        <color indexed="64"/>
      </right>
      <top style="double">
        <color indexed="64"/>
      </top>
      <bottom style="dotted">
        <color indexed="64"/>
      </bottom>
      <diagonal/>
    </border>
    <border>
      <left/>
      <right style="dotted">
        <color indexed="64"/>
      </right>
      <top/>
      <bottom style="dotted">
        <color indexed="64"/>
      </bottom>
      <diagonal/>
    </border>
    <border>
      <left style="dotted">
        <color indexed="64"/>
      </left>
      <right/>
      <top style="double">
        <color indexed="64"/>
      </top>
      <bottom style="dotted">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dotted">
        <color indexed="64"/>
      </right>
      <top style="dotted">
        <color indexed="64"/>
      </top>
      <bottom style="double">
        <color indexed="64"/>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5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64" fillId="10" borderId="0" xfId="0" applyFont="1" applyFill="1" applyBorder="1" applyAlignment="1" applyProtection="1">
      <alignment vertical="center"/>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184" fontId="254" fillId="0" borderId="24" xfId="0" applyNumberFormat="1" applyFont="1" applyFill="1" applyBorder="1" applyAlignment="1" applyProtection="1">
      <alignment horizontal="left" vertical="center" shrinkToFit="1"/>
      <protection locked="0"/>
    </xf>
    <xf numFmtId="0" fontId="254" fillId="0" borderId="24" xfId="0" applyFont="1" applyFill="1" applyBorder="1" applyAlignment="1" applyProtection="1">
      <alignment horizontal="left" vertical="center" wrapText="1"/>
      <protection locked="0"/>
    </xf>
    <xf numFmtId="0" fontId="23" fillId="5" borderId="1" xfId="0" applyNumberFormat="1" applyFont="1" applyFill="1" applyBorder="1" applyAlignment="1" applyProtection="1">
      <alignment horizontal="center" vertical="center" wrapText="1"/>
      <protection locked="0"/>
    </xf>
    <xf numFmtId="0" fontId="23" fillId="5" borderId="78" xfId="0" applyNumberFormat="1"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102" fillId="2" borderId="3" xfId="0" applyFont="1" applyFill="1" applyBorder="1" applyAlignment="1" applyProtection="1">
      <alignment horizontal="center" vertical="center"/>
      <protection locked="0"/>
    </xf>
    <xf numFmtId="49" fontId="255" fillId="0" borderId="10" xfId="0" applyNumberFormat="1" applyFont="1" applyFill="1" applyBorder="1" applyAlignment="1" applyProtection="1">
      <alignment horizontal="center" vertical="center" wrapText="1"/>
      <protection locked="0"/>
    </xf>
    <xf numFmtId="49" fontId="255" fillId="0" borderId="24" xfId="0" applyNumberFormat="1" applyFont="1" applyFill="1" applyBorder="1" applyAlignment="1" applyProtection="1">
      <alignment horizontal="center" vertical="center" wrapText="1"/>
      <protection locked="0"/>
    </xf>
    <xf numFmtId="0" fontId="255" fillId="0" borderId="24" xfId="0" applyFont="1" applyBorder="1" applyAlignment="1" applyProtection="1">
      <alignment horizontal="center" vertical="center" wrapText="1"/>
      <protection locked="0"/>
    </xf>
    <xf numFmtId="0" fontId="255" fillId="0" borderId="49" xfId="0" applyFont="1" applyBorder="1" applyAlignment="1" applyProtection="1">
      <alignment horizontal="center" vertical="center"/>
      <protection locked="0"/>
    </xf>
    <xf numFmtId="0" fontId="137" fillId="0" borderId="51"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49" fontId="22"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7" fillId="6" borderId="44" xfId="0" applyNumberFormat="1" applyFont="1" applyFill="1" applyBorder="1" applyAlignment="1" applyProtection="1">
      <alignment horizontal="center" vertical="center" wrapText="1"/>
      <protection locked="0"/>
    </xf>
    <xf numFmtId="49" fontId="63" fillId="0" borderId="1" xfId="0" applyNumberFormat="1" applyFont="1" applyFill="1" applyBorder="1" applyAlignment="1" applyProtection="1">
      <alignment horizontal="center" vertical="center"/>
      <protection locked="0"/>
    </xf>
    <xf numFmtId="0" fontId="254" fillId="0" borderId="109" xfId="0" applyNumberFormat="1" applyFont="1" applyFill="1" applyBorder="1" applyAlignment="1" applyProtection="1">
      <alignment horizontal="center" vertical="center" wrapText="1"/>
      <protection locked="0"/>
    </xf>
    <xf numFmtId="0" fontId="80" fillId="0" borderId="110" xfId="0" applyNumberFormat="1" applyFont="1" applyFill="1" applyBorder="1" applyAlignment="1" applyProtection="1">
      <alignment horizontal="center" vertical="center" wrapText="1"/>
      <protection locked="0"/>
    </xf>
    <xf numFmtId="0" fontId="80" fillId="0" borderId="111" xfId="0" applyNumberFormat="1" applyFont="1" applyFill="1" applyBorder="1" applyAlignment="1" applyProtection="1">
      <alignment horizontal="center" vertical="center" wrapText="1"/>
      <protection locked="0"/>
    </xf>
    <xf numFmtId="0" fontId="130" fillId="0" borderId="111"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center" vertical="center" wrapText="1"/>
      <protection locked="0"/>
    </xf>
    <xf numFmtId="0" fontId="120" fillId="5" borderId="41" xfId="0" applyNumberFormat="1" applyFont="1" applyFill="1" applyBorder="1" applyAlignment="1" applyProtection="1">
      <alignment horizontal="center" vertical="center" wrapText="1"/>
      <protection locked="0"/>
    </xf>
    <xf numFmtId="49" fontId="120" fillId="5" borderId="2" xfId="0" applyNumberFormat="1" applyFont="1" applyFill="1" applyBorder="1" applyAlignment="1" applyProtection="1">
      <alignment horizontal="center" vertical="center" wrapText="1"/>
      <protection locked="0"/>
    </xf>
    <xf numFmtId="0" fontId="80" fillId="0" borderId="41" xfId="0" applyNumberFormat="1" applyFont="1" applyFill="1" applyBorder="1" applyAlignment="1" applyProtection="1">
      <alignment horizontal="center" vertical="center" wrapText="1"/>
      <protection locked="0"/>
    </xf>
    <xf numFmtId="0" fontId="256" fillId="5" borderId="109" xfId="0" applyNumberFormat="1" applyFont="1" applyFill="1" applyBorder="1" applyAlignment="1" applyProtection="1">
      <alignment horizontal="center" vertical="center" wrapText="1"/>
      <protection locked="0"/>
    </xf>
    <xf numFmtId="184" fontId="257" fillId="0" borderId="1" xfId="0" applyNumberFormat="1"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protection locked="0"/>
    </xf>
    <xf numFmtId="0" fontId="11" fillId="2" borderId="54"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258" fillId="0" borderId="0" xfId="0" applyFont="1" applyAlignment="1">
      <alignment horizontal="center" vertical="center"/>
    </xf>
    <xf numFmtId="0" fontId="259" fillId="0" borderId="0" xfId="0" applyFont="1" applyAlignment="1">
      <alignment horizontal="right" vertical="center"/>
    </xf>
    <xf numFmtId="0" fontId="103" fillId="0" borderId="159" xfId="0" applyFont="1" applyBorder="1" applyAlignment="1">
      <alignment horizontal="center" vertical="center" wrapText="1"/>
    </xf>
    <xf numFmtId="0" fontId="103" fillId="0" borderId="157" xfId="0" applyFont="1" applyBorder="1" applyAlignment="1">
      <alignment horizontal="justify" vertical="center" wrapText="1"/>
    </xf>
    <xf numFmtId="0" fontId="133" fillId="0" borderId="159" xfId="0" applyFont="1" applyBorder="1" applyAlignment="1">
      <alignment horizontal="center" vertical="center" wrapText="1"/>
    </xf>
    <xf numFmtId="0" fontId="139" fillId="0" borderId="0" xfId="0" applyFont="1" applyAlignment="1">
      <alignment horizontal="left" vertical="center" indent="15"/>
    </xf>
    <xf numFmtId="0" fontId="261" fillId="0" borderId="0" xfId="0" applyFont="1" applyAlignment="1">
      <alignment horizontal="left" vertical="center" indent="15"/>
    </xf>
    <xf numFmtId="0" fontId="261" fillId="0" borderId="0" xfId="0" applyFont="1">
      <alignment vertical="center"/>
    </xf>
    <xf numFmtId="0" fontId="139" fillId="0" borderId="0" xfId="0" applyFont="1" applyAlignment="1">
      <alignment horizontal="center" vertical="center"/>
    </xf>
    <xf numFmtId="177" fontId="80" fillId="0" borderId="1" xfId="1" applyNumberFormat="1" applyFont="1" applyFill="1" applyBorder="1" applyAlignment="1" applyProtection="1">
      <alignment vertical="center"/>
      <protection locked="0" hidden="1"/>
    </xf>
    <xf numFmtId="0" fontId="80" fillId="17" borderId="1" xfId="0" applyFont="1" applyFill="1" applyBorder="1" applyAlignment="1" applyProtection="1">
      <alignment horizontal="center" vertical="center" wrapText="1"/>
      <protection locked="0"/>
    </xf>
    <xf numFmtId="49" fontId="47" fillId="17" borderId="2" xfId="0" applyNumberFormat="1" applyFont="1" applyFill="1" applyBorder="1" applyAlignment="1" applyProtection="1">
      <alignment horizontal="center" vertical="center" wrapText="1"/>
      <protection locked="0"/>
    </xf>
    <xf numFmtId="176" fontId="50" fillId="17" borderId="1" xfId="0" applyNumberFormat="1" applyFont="1" applyFill="1" applyBorder="1" applyAlignment="1" applyProtection="1">
      <alignment horizontal="center" vertical="center" wrapText="1"/>
    </xf>
    <xf numFmtId="176" fontId="50" fillId="17" borderId="2" xfId="0" applyNumberFormat="1" applyFont="1" applyFill="1" applyBorder="1" applyAlignment="1" applyProtection="1">
      <alignment horizontal="center" vertical="center" wrapText="1"/>
      <protection locked="0"/>
    </xf>
    <xf numFmtId="176" fontId="50" fillId="17" borderId="2" xfId="0" applyNumberFormat="1" applyFont="1" applyFill="1" applyBorder="1" applyAlignment="1" applyProtection="1">
      <alignment horizontal="center" vertical="center" wrapText="1"/>
    </xf>
    <xf numFmtId="176" fontId="50" fillId="17" borderId="13" xfId="0" applyNumberFormat="1" applyFont="1" applyFill="1" applyBorder="1" applyAlignment="1" applyProtection="1">
      <alignment horizontal="center" vertical="center" wrapText="1"/>
    </xf>
    <xf numFmtId="176" fontId="47" fillId="17" borderId="1" xfId="0" applyNumberFormat="1" applyFont="1" applyFill="1" applyBorder="1" applyAlignment="1" applyProtection="1">
      <alignment horizontal="center" vertical="center" wrapText="1"/>
      <protection locked="0"/>
    </xf>
    <xf numFmtId="0" fontId="137" fillId="17" borderId="2" xfId="0" applyFont="1" applyFill="1" applyBorder="1" applyAlignment="1" applyProtection="1">
      <alignment horizontal="center" vertical="center" wrapText="1"/>
      <protection locked="0"/>
    </xf>
    <xf numFmtId="176" fontId="47" fillId="17" borderId="1" xfId="0" applyNumberFormat="1" applyFont="1" applyFill="1" applyBorder="1" applyAlignment="1" applyProtection="1">
      <alignment horizontal="center" vertical="center" wrapText="1"/>
    </xf>
    <xf numFmtId="176" fontId="47" fillId="17" borderId="2" xfId="0" applyNumberFormat="1" applyFont="1" applyFill="1" applyBorder="1" applyAlignment="1" applyProtection="1">
      <alignment horizontal="center" vertical="center" wrapText="1"/>
      <protection locked="0"/>
    </xf>
    <xf numFmtId="176" fontId="47" fillId="17" borderId="2" xfId="0" applyNumberFormat="1" applyFont="1" applyFill="1" applyBorder="1" applyAlignment="1" applyProtection="1">
      <alignment horizontal="center" vertical="center" wrapText="1"/>
    </xf>
    <xf numFmtId="176" fontId="47" fillId="17" borderId="13" xfId="0" applyNumberFormat="1" applyFont="1" applyFill="1" applyBorder="1" applyAlignment="1" applyProtection="1">
      <alignment horizontal="center" vertical="center" wrapText="1"/>
    </xf>
    <xf numFmtId="0" fontId="99" fillId="0" borderId="0" xfId="0" applyFont="1">
      <alignment vertical="center"/>
    </xf>
    <xf numFmtId="14" fontId="0" fillId="0" borderId="0" xfId="0" applyNumberFormat="1">
      <alignment vertical="center"/>
    </xf>
    <xf numFmtId="14" fontId="0" fillId="0" borderId="0" xfId="0" applyNumberFormat="1" applyProtection="1">
      <alignment vertical="center"/>
      <protection locked="0"/>
    </xf>
    <xf numFmtId="49" fontId="99" fillId="0" borderId="0" xfId="0" applyNumberFormat="1" applyFont="1">
      <alignment vertical="center"/>
    </xf>
    <xf numFmtId="177" fontId="11" fillId="0" borderId="0" xfId="1" applyNumberFormat="1" applyFont="1" applyFill="1" applyBorder="1" applyAlignment="1" applyProtection="1">
      <alignment vertical="center"/>
      <protection locked="0" hidden="1"/>
    </xf>
    <xf numFmtId="0" fontId="48" fillId="6" borderId="1" xfId="0" applyFont="1" applyFill="1" applyBorder="1" applyAlignment="1" applyProtection="1">
      <alignment horizontal="center" vertical="center"/>
      <protection locked="0"/>
    </xf>
    <xf numFmtId="0" fontId="80" fillId="0" borderId="2"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3"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03" fillId="0" borderId="156" xfId="0" applyFont="1" applyBorder="1" applyAlignment="1">
      <alignment horizontal="center" vertical="center" wrapText="1"/>
    </xf>
    <xf numFmtId="0" fontId="103" fillId="0" borderId="157" xfId="0" applyFont="1" applyBorder="1" applyAlignment="1">
      <alignment horizontal="center" vertical="center" wrapText="1"/>
    </xf>
    <xf numFmtId="0" fontId="103" fillId="0" borderId="160" xfId="0" applyFont="1" applyBorder="1" applyAlignment="1">
      <alignment horizontal="center" vertical="center" wrapText="1"/>
    </xf>
    <xf numFmtId="0" fontId="103" fillId="0" borderId="158" xfId="0" applyFont="1" applyBorder="1" applyAlignment="1">
      <alignment horizontal="center" vertical="center" wrapText="1"/>
    </xf>
    <xf numFmtId="0" fontId="103" fillId="0" borderId="161" xfId="0" applyFont="1" applyBorder="1" applyAlignment="1">
      <alignment horizontal="center" vertical="center" wrapText="1"/>
    </xf>
    <xf numFmtId="0" fontId="103" fillId="0" borderId="162" xfId="0" applyFont="1" applyBorder="1" applyAlignment="1">
      <alignment horizontal="center" vertical="center" wrapText="1"/>
    </xf>
    <xf numFmtId="0" fontId="103" fillId="0" borderId="163" xfId="0" applyFont="1" applyBorder="1" applyAlignment="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3">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30</xdr:row>
      <xdr:rowOff>94596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419048" cy="5238096"/>
        </a:xfrm>
        <a:prstGeom prst="rect">
          <a:avLst/>
        </a:prstGeom>
      </xdr:spPr>
    </xdr:pic>
    <xdr:clientData/>
  </xdr:twoCellAnchor>
  <xdr:twoCellAnchor editAs="oneCell">
    <xdr:from>
      <xdr:col>0</xdr:col>
      <xdr:colOff>0</xdr:colOff>
      <xdr:row>31</xdr:row>
      <xdr:rowOff>0</xdr:rowOff>
    </xdr:from>
    <xdr:to>
      <xdr:col>13</xdr:col>
      <xdr:colOff>151267</xdr:colOff>
      <xdr:row>73</xdr:row>
      <xdr:rowOff>84815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314950"/>
          <a:ext cx="9066667" cy="7285715"/>
        </a:xfrm>
        <a:prstGeom prst="rect">
          <a:avLst/>
        </a:prstGeom>
      </xdr:spPr>
    </xdr:pic>
    <xdr:clientData/>
  </xdr:twoCellAnchor>
  <xdr:twoCellAnchor editAs="oneCell">
    <xdr:from>
      <xdr:col>0</xdr:col>
      <xdr:colOff>0</xdr:colOff>
      <xdr:row>74</xdr:row>
      <xdr:rowOff>0</xdr:rowOff>
    </xdr:from>
    <xdr:to>
      <xdr:col>11</xdr:col>
      <xdr:colOff>189534</xdr:colOff>
      <xdr:row>94</xdr:row>
      <xdr:rowOff>18619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2687300"/>
          <a:ext cx="7733334" cy="3447619"/>
        </a:xfrm>
        <a:prstGeom prst="rect">
          <a:avLst/>
        </a:prstGeom>
      </xdr:spPr>
    </xdr:pic>
    <xdr:clientData/>
  </xdr:twoCellAnchor>
  <xdr:twoCellAnchor editAs="oneCell">
    <xdr:from>
      <xdr:col>0</xdr:col>
      <xdr:colOff>0</xdr:colOff>
      <xdr:row>172</xdr:row>
      <xdr:rowOff>0</xdr:rowOff>
    </xdr:from>
    <xdr:to>
      <xdr:col>12</xdr:col>
      <xdr:colOff>179924</xdr:colOff>
      <xdr:row>199</xdr:row>
      <xdr:rowOff>47041</xdr:rowOff>
    </xdr:to>
    <xdr:pic>
      <xdr:nvPicPr>
        <xdr:cNvPr id="8" name="图片 7"/>
        <xdr:cNvPicPr>
          <a:picLocks noChangeAspect="1"/>
        </xdr:cNvPicPr>
      </xdr:nvPicPr>
      <xdr:blipFill>
        <a:blip xmlns:r="http://schemas.openxmlformats.org/officeDocument/2006/relationships" r:embed="rId4"/>
        <a:stretch>
          <a:fillRect/>
        </a:stretch>
      </xdr:blipFill>
      <xdr:spPr>
        <a:xfrm>
          <a:off x="0" y="29489400"/>
          <a:ext cx="8409524" cy="4676191"/>
        </a:xfrm>
        <a:prstGeom prst="rect">
          <a:avLst/>
        </a:prstGeom>
      </xdr:spPr>
    </xdr:pic>
    <xdr:clientData/>
  </xdr:twoCellAnchor>
  <xdr:twoCellAnchor editAs="oneCell">
    <xdr:from>
      <xdr:col>0</xdr:col>
      <xdr:colOff>0</xdr:colOff>
      <xdr:row>200</xdr:row>
      <xdr:rowOff>0</xdr:rowOff>
    </xdr:from>
    <xdr:to>
      <xdr:col>12</xdr:col>
      <xdr:colOff>684686</xdr:colOff>
      <xdr:row>221</xdr:row>
      <xdr:rowOff>132884</xdr:rowOff>
    </xdr:to>
    <xdr:pic>
      <xdr:nvPicPr>
        <xdr:cNvPr id="9" name="图片 8"/>
        <xdr:cNvPicPr>
          <a:picLocks noChangeAspect="1"/>
        </xdr:cNvPicPr>
      </xdr:nvPicPr>
      <xdr:blipFill>
        <a:blip xmlns:r="http://schemas.openxmlformats.org/officeDocument/2006/relationships" r:embed="rId5"/>
        <a:stretch>
          <a:fillRect/>
        </a:stretch>
      </xdr:blipFill>
      <xdr:spPr>
        <a:xfrm>
          <a:off x="0" y="34290000"/>
          <a:ext cx="8914286" cy="3733334"/>
        </a:xfrm>
        <a:prstGeom prst="rect">
          <a:avLst/>
        </a:prstGeom>
      </xdr:spPr>
    </xdr:pic>
    <xdr:clientData/>
  </xdr:twoCellAnchor>
  <xdr:twoCellAnchor editAs="oneCell">
    <xdr:from>
      <xdr:col>0</xdr:col>
      <xdr:colOff>0</xdr:colOff>
      <xdr:row>95</xdr:row>
      <xdr:rowOff>0</xdr:rowOff>
    </xdr:from>
    <xdr:to>
      <xdr:col>12</xdr:col>
      <xdr:colOff>522782</xdr:colOff>
      <xdr:row>126</xdr:row>
      <xdr:rowOff>104098</xdr:rowOff>
    </xdr:to>
    <xdr:pic>
      <xdr:nvPicPr>
        <xdr:cNvPr id="10" name="图片 9"/>
        <xdr:cNvPicPr>
          <a:picLocks noChangeAspect="1"/>
        </xdr:cNvPicPr>
      </xdr:nvPicPr>
      <xdr:blipFill>
        <a:blip xmlns:r="http://schemas.openxmlformats.org/officeDocument/2006/relationships" r:embed="rId6"/>
        <a:stretch>
          <a:fillRect/>
        </a:stretch>
      </xdr:blipFill>
      <xdr:spPr>
        <a:xfrm>
          <a:off x="0" y="16287750"/>
          <a:ext cx="8752382" cy="5419048"/>
        </a:xfrm>
        <a:prstGeom prst="rect">
          <a:avLst/>
        </a:prstGeom>
      </xdr:spPr>
    </xdr:pic>
    <xdr:clientData/>
  </xdr:twoCellAnchor>
  <xdr:twoCellAnchor editAs="oneCell">
    <xdr:from>
      <xdr:col>0</xdr:col>
      <xdr:colOff>0</xdr:colOff>
      <xdr:row>127</xdr:row>
      <xdr:rowOff>0</xdr:rowOff>
    </xdr:from>
    <xdr:to>
      <xdr:col>13</xdr:col>
      <xdr:colOff>113172</xdr:colOff>
      <xdr:row>154</xdr:row>
      <xdr:rowOff>75612</xdr:rowOff>
    </xdr:to>
    <xdr:pic>
      <xdr:nvPicPr>
        <xdr:cNvPr id="11" name="图片 10"/>
        <xdr:cNvPicPr>
          <a:picLocks noChangeAspect="1"/>
        </xdr:cNvPicPr>
      </xdr:nvPicPr>
      <xdr:blipFill>
        <a:blip xmlns:r="http://schemas.openxmlformats.org/officeDocument/2006/relationships" r:embed="rId7"/>
        <a:stretch>
          <a:fillRect/>
        </a:stretch>
      </xdr:blipFill>
      <xdr:spPr>
        <a:xfrm>
          <a:off x="0" y="21774150"/>
          <a:ext cx="9028572" cy="4704762"/>
        </a:xfrm>
        <a:prstGeom prst="rect">
          <a:avLst/>
        </a:prstGeom>
      </xdr:spPr>
    </xdr:pic>
    <xdr:clientData/>
  </xdr:twoCellAnchor>
  <xdr:twoCellAnchor editAs="oneCell">
    <xdr:from>
      <xdr:col>0</xdr:col>
      <xdr:colOff>0</xdr:colOff>
      <xdr:row>155</xdr:row>
      <xdr:rowOff>0</xdr:rowOff>
    </xdr:from>
    <xdr:to>
      <xdr:col>11</xdr:col>
      <xdr:colOff>322867</xdr:colOff>
      <xdr:row>174</xdr:row>
      <xdr:rowOff>123403</xdr:rowOff>
    </xdr:to>
    <xdr:pic>
      <xdr:nvPicPr>
        <xdr:cNvPr id="12" name="图片 11"/>
        <xdr:cNvPicPr>
          <a:picLocks noChangeAspect="1"/>
        </xdr:cNvPicPr>
      </xdr:nvPicPr>
      <xdr:blipFill>
        <a:blip xmlns:r="http://schemas.openxmlformats.org/officeDocument/2006/relationships" r:embed="rId8"/>
        <a:stretch>
          <a:fillRect/>
        </a:stretch>
      </xdr:blipFill>
      <xdr:spPr>
        <a:xfrm>
          <a:off x="0" y="26574750"/>
          <a:ext cx="7866667" cy="33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3" customWidth="1"/>
    <col min="2" max="2" width="81" style="1600" customWidth="1"/>
    <col min="3" max="16384" width="9" style="1598"/>
  </cols>
  <sheetData>
    <row r="1" spans="1:2" s="1586" customFormat="1" ht="16.5" thickBot="1">
      <c r="A1" s="1585" t="s">
        <v>1219</v>
      </c>
      <c r="B1" s="1584" t="s">
        <v>1298</v>
      </c>
    </row>
    <row r="2" spans="1:2" s="1589" customFormat="1" ht="15" thickTop="1">
      <c r="A2" s="1587" t="s">
        <v>1220</v>
      </c>
      <c r="B2" s="1588" t="str">
        <f>'预评函-封皮'!B37:I37</f>
        <v>北京市丰台区马家堡东路168号院6号楼房地产抵押价值预评估</v>
      </c>
    </row>
    <row r="3" spans="1:2" s="1592" customFormat="1">
      <c r="A3" s="1590" t="s">
        <v>1221</v>
      </c>
      <c r="B3" s="1591" t="str">
        <f>'预评函-封皮'!B40</f>
        <v>北京匠心置业有限公司</v>
      </c>
    </row>
    <row r="4" spans="1:2" s="1592" customFormat="1">
      <c r="A4" s="1590" t="s">
        <v>1222</v>
      </c>
      <c r="B4" s="1591" t="str">
        <f ca="1">'预评函-封皮'!B46</f>
        <v>欧红伟（注册号：1120000080)、崔锴（注册号：1120100036)</v>
      </c>
    </row>
    <row r="5" spans="1:2" s="1586" customFormat="1" ht="15" thickBot="1">
      <c r="A5" s="1593" t="s">
        <v>1223</v>
      </c>
      <c r="B5" s="1594" t="str">
        <f>'预评函-封皮'!B49</f>
        <v>康正预评字2018-1-0069-F01DYGJ1 号</v>
      </c>
    </row>
    <row r="6" spans="1:2" s="1589" customFormat="1" ht="15" thickTop="1">
      <c r="A6" s="1587" t="s">
        <v>1224</v>
      </c>
      <c r="B6" s="1588" t="str">
        <f>'预评函-1'!A4</f>
        <v>受贵公司委托，我公司对北京市丰台区马家堡东路168号院6号楼房地产抵押价值进行了预评估。</v>
      </c>
    </row>
    <row r="7" spans="1:2" s="1592" customFormat="1">
      <c r="A7" s="1590" t="s">
        <v>1264</v>
      </c>
      <c r="B7" s="1591" t="str">
        <f>'预评函-1'!A7</f>
        <v>估价对象为北京市丰台区马家堡东路168号院6号楼房地产，为北京匠心置业有限公司所有。根据《国有土地使用证》、《北京匠心置业有限公司丰台区马家堡东路168号院面积分摊计算说明》，估价对象（分摊）出让国有建设用地使用权面积为1606.66平方米。根据《房屋所有权证》，估价对象建筑面积为4163.47平方米。</v>
      </c>
    </row>
    <row r="8" spans="1:2" s="1592" customFormat="1">
      <c r="A8" s="1590" t="s">
        <v>1265</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1266</v>
      </c>
      <c r="B9" s="1591" t="str">
        <f>'预评函-1'!A10</f>
        <v>估价对象为北京市丰台区马家堡东路168号院6号楼房地产,属北京匠心置业有限公司开发建设的商业项目，该项目尚在开发建设中。根据《国有土地使用证》、《北京匠心置业有限公司丰台区马家堡东路168号院面积分摊计算说明》，估价对象（分摊）出让国有建设用地使用权面积为1606.66平方米。根据《房屋所有权证》，估价对象规划建筑面积为4163.47平方米。</v>
      </c>
    </row>
    <row r="10" spans="1:2" s="1592" customFormat="1">
      <c r="A10" s="1590" t="s">
        <v>1267</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1225</v>
      </c>
      <c r="B11" s="1591" t="str">
        <f>'预评函-1'!A13</f>
        <v>为估价委托人在向中国建设银行股份有限公司江苏分行太仓支行办理贷款手续过程中，确定房地产抵押贷款额度提供参考依据而评估房地产抵押价值。</v>
      </c>
    </row>
    <row r="12" spans="1:2" s="1592" customFormat="1">
      <c r="A12" s="1590" t="s">
        <v>1226</v>
      </c>
      <c r="B12" s="1591" t="str">
        <f>'预评函-1'!A15</f>
        <v>2018年2月1日（评估专业人员实地查勘之日）</v>
      </c>
    </row>
    <row r="13" spans="1:2" s="1592" customFormat="1">
      <c r="A13" s="1590" t="s">
        <v>1227</v>
      </c>
      <c r="B13" s="1591" t="str">
        <f>'预评函-1'!A18</f>
        <v>本次估价的“房地产价值”是指在正常市场情况下，在价值时点2018年2月1日，估价对象规划用途为，土地取得方式为出让，出让国有建设用地使用权剩余土地使用年限为，假定未设立法定优先受偿款下的房地产市场价值。</v>
      </c>
    </row>
    <row r="14" spans="1:2" s="1592" customFormat="1">
      <c r="A14" s="1590" t="s">
        <v>1228</v>
      </c>
      <c r="B14" s="1591"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2" customFormat="1">
      <c r="A15" s="1590" t="s">
        <v>1229</v>
      </c>
      <c r="B15" s="1591" t="str">
        <f>'预评函-1'!A20</f>
        <v>本次估价的“房地产抵押价值”是指估价对象在价值时点的“房地产价值”扣减估价师于价值时点所知悉的法定优先受偿款后的余额。</v>
      </c>
    </row>
    <row r="16" spans="1:2" s="1592" customFormat="1">
      <c r="A16" s="1590" t="s">
        <v>1230</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1231</v>
      </c>
      <c r="B17" s="159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6" customFormat="1" ht="15" thickBot="1">
      <c r="A18" s="1593" t="s">
        <v>1232</v>
      </c>
      <c r="B18" s="1594" t="str">
        <f>'预评函-1'!A24</f>
        <v>本次评估采用的主估价方法为基准地价系数修正法和收益法。</v>
      </c>
    </row>
    <row r="19" spans="1:2" s="1589" customFormat="1" ht="15" thickTop="1">
      <c r="A19" s="1587" t="s">
        <v>1233</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1234</v>
      </c>
      <c r="B20" s="1591">
        <f ca="1">'预评函-2'!D5</f>
        <v>16817</v>
      </c>
    </row>
    <row r="21" spans="1:2" s="1592" customFormat="1">
      <c r="A21" s="1590" t="s">
        <v>1235</v>
      </c>
      <c r="B21" s="1591">
        <f ca="1">'预评函-2'!D7</f>
        <v>40392</v>
      </c>
    </row>
    <row r="22" spans="1:2" s="1592" customFormat="1">
      <c r="A22" s="1590" t="s">
        <v>1236</v>
      </c>
      <c r="B22" s="1591" t="str">
        <f ca="1">'预评函-2'!D6</f>
        <v>壹亿陆仟捌佰壹拾柒万元整</v>
      </c>
    </row>
    <row r="23" spans="1:2" s="1592" customFormat="1">
      <c r="A23" s="1590" t="s">
        <v>1287</v>
      </c>
      <c r="B23" s="1591" t="str">
        <f>'预评函-2'!B8</f>
        <v>2.估价师知悉的法定优先受偿款</v>
      </c>
    </row>
    <row r="24" spans="1:2" s="1592" customFormat="1">
      <c r="A24" s="1590" t="s">
        <v>1293</v>
      </c>
      <c r="B24" s="1591">
        <f>'预评函-2'!D8</f>
        <v>0</v>
      </c>
    </row>
    <row r="25" spans="1:2" s="1592" customFormat="1">
      <c r="A25" s="1590" t="s">
        <v>1237</v>
      </c>
      <c r="B25" s="1591" t="str">
        <f>'预评函-2'!D9</f>
        <v>零元整</v>
      </c>
    </row>
    <row r="26" spans="1:2" s="1592" customFormat="1">
      <c r="A26" s="1590" t="s">
        <v>1238</v>
      </c>
      <c r="B26" s="1591">
        <f>'预评函-2'!D10</f>
        <v>0</v>
      </c>
    </row>
    <row r="27" spans="1:2" s="1592" customFormat="1">
      <c r="A27" s="1590" t="s">
        <v>1239</v>
      </c>
      <c r="B27" s="1591">
        <f>'预评函-2'!D11</f>
        <v>0</v>
      </c>
    </row>
    <row r="28" spans="1:2" s="1592" customFormat="1">
      <c r="A28" s="1590" t="s">
        <v>1240</v>
      </c>
      <c r="B28" s="1591">
        <f>'预评函-2'!D12</f>
        <v>0</v>
      </c>
    </row>
    <row r="29" spans="1:2" s="1592" customFormat="1">
      <c r="A29" s="1590" t="s">
        <v>1291</v>
      </c>
      <c r="B29" s="1591" t="str">
        <f>'预评函-2'!B13</f>
        <v>3.房地产抵押价值</v>
      </c>
    </row>
    <row r="30" spans="1:2" s="1592" customFormat="1">
      <c r="A30" s="1590" t="s">
        <v>1292</v>
      </c>
      <c r="B30" s="1591">
        <f ca="1">'预评函-2'!D13</f>
        <v>16817</v>
      </c>
    </row>
    <row r="31" spans="1:2" s="1592" customFormat="1">
      <c r="A31" s="1590" t="s">
        <v>1274</v>
      </c>
      <c r="B31" s="1591">
        <f ca="1">'预评函-2'!D15</f>
        <v>40392</v>
      </c>
    </row>
    <row r="32" spans="1:2" s="1592" customFormat="1">
      <c r="A32" s="1590" t="s">
        <v>1241</v>
      </c>
      <c r="B32" s="1591" t="str">
        <f ca="1">'预评函-2'!D14</f>
        <v>壹亿陆仟捌佰壹拾柒万元整</v>
      </c>
    </row>
    <row r="33" spans="1:2" s="1592" customFormat="1">
      <c r="A33" s="1590" t="s">
        <v>1276</v>
      </c>
      <c r="B33" s="1591" t="str">
        <f>'预评函-2'!B16</f>
        <v>——</v>
      </c>
    </row>
    <row r="34" spans="1:2" s="1592" customFormat="1">
      <c r="A34" s="1590" t="s">
        <v>1294</v>
      </c>
      <c r="B34" s="1591" t="str">
        <f>'预评函-2'!D16</f>
        <v>——</v>
      </c>
    </row>
    <row r="35" spans="1:2" s="1592" customFormat="1">
      <c r="A35" s="1590" t="s">
        <v>1275</v>
      </c>
      <c r="B35" s="1591" t="str">
        <f>'预评函-2'!D18</f>
        <v>——</v>
      </c>
    </row>
    <row r="36" spans="1:2" s="1592" customFormat="1">
      <c r="A36" s="1590" t="s">
        <v>1242</v>
      </c>
      <c r="B36" s="1591" t="e">
        <f>'预评函-2'!D17</f>
        <v>#VALUE!</v>
      </c>
    </row>
    <row r="37" spans="1:2" s="1592" customFormat="1">
      <c r="A37" s="1590" t="s">
        <v>1277</v>
      </c>
      <c r="B37" s="1591" t="str">
        <f>'预评函-2'!B19</f>
        <v>——</v>
      </c>
    </row>
    <row r="38" spans="1:2" s="1592" customFormat="1">
      <c r="A38" s="1590" t="s">
        <v>1295</v>
      </c>
      <c r="B38" s="1591" t="str">
        <f>'预评函-2'!D19</f>
        <v>——</v>
      </c>
    </row>
    <row r="39" spans="1:2" s="1592" customFormat="1">
      <c r="A39" s="1590" t="s">
        <v>1243</v>
      </c>
      <c r="B39" s="1591" t="str">
        <f>'预评函-2'!D21</f>
        <v>——</v>
      </c>
    </row>
    <row r="40" spans="1:2" s="1592" customFormat="1">
      <c r="A40" s="1590" t="s">
        <v>1244</v>
      </c>
      <c r="B40" s="1591" t="e">
        <f>'预评函-2'!D20</f>
        <v>#VALUE!</v>
      </c>
    </row>
    <row r="41" spans="1:2" s="1592" customFormat="1">
      <c r="A41" s="1590" t="s">
        <v>1290</v>
      </c>
      <c r="B41" s="1591" t="str">
        <f>'预评函-3'!A4</f>
        <v>北京市丰台区马家堡东路168号院6号楼房地产</v>
      </c>
    </row>
    <row r="42" spans="1:2" s="1592" customFormat="1">
      <c r="A42" s="1590" t="s">
        <v>1288</v>
      </c>
      <c r="B42" s="1591" t="str">
        <f>'预评函-3'!B2</f>
        <v>建筑面积</v>
      </c>
    </row>
    <row r="43" spans="1:2" s="1592" customFormat="1">
      <c r="A43" s="1590" t="s">
        <v>1289</v>
      </c>
      <c r="B43" s="1591">
        <f>'预评函-3'!B4</f>
        <v>4163.47</v>
      </c>
    </row>
    <row r="44" spans="1:2" s="1592" customFormat="1">
      <c r="A44" s="1590" t="s">
        <v>1273</v>
      </c>
      <c r="B44" s="1591" t="str">
        <f>'预评函-3'!C2</f>
        <v>(分摊)土地面积</v>
      </c>
    </row>
    <row r="45" spans="1:2" s="1592" customFormat="1">
      <c r="A45" s="1590" t="s">
        <v>1245</v>
      </c>
      <c r="B45" s="1591">
        <f>'预评函-3'!C4</f>
        <v>1606.66</v>
      </c>
    </row>
    <row r="46" spans="1:2" s="1592" customFormat="1">
      <c r="A46" s="1590" t="s">
        <v>1271</v>
      </c>
      <c r="B46" s="1591" t="str">
        <f>'预评函-3'!D2</f>
        <v>出让国有建设用地使用权价值</v>
      </c>
    </row>
    <row r="47" spans="1:2" s="1592" customFormat="1">
      <c r="A47" s="1590" t="s">
        <v>1246</v>
      </c>
      <c r="B47" s="1591">
        <f ca="1">'预评函-3'!D4</f>
        <v>15161</v>
      </c>
    </row>
    <row r="48" spans="1:2" s="1592" customFormat="1">
      <c r="A48" s="1590" t="s">
        <v>1247</v>
      </c>
      <c r="B48" s="1591">
        <f ca="1">'预评函-3'!E4</f>
        <v>36414</v>
      </c>
    </row>
    <row r="49" spans="1:2" s="1592" customFormat="1">
      <c r="A49" s="1590" t="s">
        <v>1248</v>
      </c>
      <c r="B49" s="1591" t="str">
        <f ca="1">'预评函-3'!D5</f>
        <v>壹亿伍仟壹佰陆拾壹万元整</v>
      </c>
    </row>
    <row r="50" spans="1:2" s="1592" customFormat="1">
      <c r="A50" s="1590" t="s">
        <v>1272</v>
      </c>
      <c r="B50" s="1591" t="str">
        <f>'预评函-3'!F2</f>
        <v>建筑物价值</v>
      </c>
    </row>
    <row r="51" spans="1:2" s="1592" customFormat="1">
      <c r="A51" s="1590" t="s">
        <v>1249</v>
      </c>
      <c r="B51" s="1591">
        <f ca="1">'预评函-3'!F4</f>
        <v>1656</v>
      </c>
    </row>
    <row r="52" spans="1:2" s="1592" customFormat="1">
      <c r="A52" s="1590" t="s">
        <v>1250</v>
      </c>
      <c r="B52" s="1591">
        <f ca="1">'预评函-3'!G4</f>
        <v>3977</v>
      </c>
    </row>
    <row r="53" spans="1:2" s="1592" customFormat="1">
      <c r="A53" s="1590" t="s">
        <v>1278</v>
      </c>
      <c r="B53" s="1591" t="str">
        <f ca="1">'预评函-3'!F5</f>
        <v>壹仟陆佰伍拾陆万元整</v>
      </c>
    </row>
    <row r="54" spans="1:2" s="1592" customFormat="1">
      <c r="A54" s="1590" t="s">
        <v>1296</v>
      </c>
      <c r="B54" s="1591" t="str">
        <f>'预评函-3'!A8</f>
        <v>房地产抵押价值</v>
      </c>
    </row>
    <row r="55" spans="1:2" s="1592" customFormat="1">
      <c r="A55" s="1590" t="s">
        <v>1279</v>
      </c>
      <c r="B55" s="1591" t="str">
        <f>'预评函-3'!A10</f>
        <v/>
      </c>
    </row>
    <row r="56" spans="1:2" s="1592" customFormat="1">
      <c r="A56" s="1590" t="s">
        <v>1280</v>
      </c>
      <c r="B56" s="1591" t="str">
        <f>'预评函-3'!A12</f>
        <v/>
      </c>
    </row>
    <row r="57" spans="1:2" s="1586" customFormat="1" ht="15" thickBot="1">
      <c r="A57" s="1593" t="s">
        <v>1297</v>
      </c>
      <c r="B57" s="1594" t="str">
        <f>'预评函-3'!A6</f>
        <v>估价师知悉的法定优先受偿款</v>
      </c>
    </row>
    <row r="58" spans="1:2" s="1589" customFormat="1" ht="15" thickTop="1">
      <c r="A58" s="1587" t="s">
        <v>1251</v>
      </c>
      <c r="B58" s="1588" t="str">
        <f>'预评函-4'!A12</f>
        <v>2.本《评估意见函》仅供金融机构进行内部审核使用，不做其他目的之用。</v>
      </c>
    </row>
    <row r="59" spans="1:2" s="1592" customFormat="1">
      <c r="A59" s="1590" t="s">
        <v>1252</v>
      </c>
      <c r="B59" s="1591" t="str">
        <f>'预评函-4'!A13</f>
        <v>3.抵押双方在办理抵押登记手续时，应使用本公司出具的正式《房地产评估报告》，特提醒报告使用者注意。</v>
      </c>
    </row>
    <row r="60" spans="1:2" s="1592" customFormat="1">
      <c r="A60" s="1590" t="s">
        <v>1253</v>
      </c>
      <c r="B60" s="1591" t="str">
        <f>'预评函-4'!A14</f>
        <v>4.本次评估估价师所知悉的法定优先受偿款情况说明如下：</v>
      </c>
    </row>
    <row r="61" spans="1:2" s="1592" customFormat="1">
      <c r="A61" s="1590" t="s">
        <v>1254</v>
      </c>
      <c r="B61" s="1591" t="str">
        <f>'预评函-4'!A15</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1255</v>
      </c>
      <c r="B62" s="1591" t="str">
        <f>'预评函-4'!A16</f>
        <v>（2）根据《工程款支付情况说明》，截至价值时点，估价对象不存在应付未付工程款项。（只要没有施工方盖章的，均“设定”进行表述）</v>
      </c>
    </row>
    <row r="63" spans="1:2" s="1592" customFormat="1">
      <c r="A63" s="1590" t="s">
        <v>1256</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1268</v>
      </c>
      <c r="B64" s="1591" t="str">
        <f>'预评函-4'!A18</f>
        <v>故，本次评估不存在估价师知悉的法定优先受偿款</v>
      </c>
    </row>
    <row r="65" spans="1:2" s="1592" customFormat="1">
      <c r="A65" s="1590" t="s">
        <v>1257</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1258</v>
      </c>
      <c r="B66" s="1591" t="str">
        <f>'预评函-4'!A20</f>
        <v>——</v>
      </c>
    </row>
    <row r="67" spans="1:2" s="1592" customFormat="1">
      <c r="A67" s="1590" t="s">
        <v>1269</v>
      </c>
      <c r="B67" s="1591" t="str">
        <f>'预评函-4'!A21</f>
        <v>——</v>
      </c>
    </row>
    <row r="68" spans="1:2" s="1592" customFormat="1">
      <c r="A68" s="1590" t="s">
        <v>1270</v>
      </c>
      <c r="B68" s="1591" t="str">
        <f>'预评函-4'!A22</f>
        <v>8.其他需特殊说明事项：无（注意调整序号）</v>
      </c>
    </row>
    <row r="69" spans="1:2" s="1586" customFormat="1" ht="15" thickBot="1">
      <c r="A69" s="1593" t="s">
        <v>1259</v>
      </c>
      <c r="B69" s="1595">
        <f>'预评函-4'!C31</f>
        <v>42551</v>
      </c>
    </row>
    <row r="70" spans="1:2" ht="15" thickTop="1">
      <c r="A70" s="1596" t="s">
        <v>1260</v>
      </c>
      <c r="B70" s="1597" t="str">
        <f>'预评函-4'!A4</f>
        <v>欧红伟</v>
      </c>
    </row>
    <row r="71" spans="1:2">
      <c r="A71" s="1590" t="s">
        <v>1261</v>
      </c>
      <c r="B71" s="1591">
        <f ca="1">'预评函-4'!B4</f>
        <v>1120000080</v>
      </c>
    </row>
    <row r="72" spans="1:2">
      <c r="A72" s="1590" t="s">
        <v>1262</v>
      </c>
      <c r="B72" s="1599" t="str">
        <f>'预评函-4'!A5</f>
        <v>崔锴</v>
      </c>
    </row>
    <row r="73" spans="1:2" s="1586" customFormat="1" ht="15" thickBot="1">
      <c r="A73" s="1593" t="s">
        <v>1263</v>
      </c>
      <c r="B73" s="1594">
        <f ca="1">'预评函-4'!B5</f>
        <v>1120100036</v>
      </c>
    </row>
    <row r="74" spans="1:2" ht="15" thickTop="1">
      <c r="A74" s="1583" t="s">
        <v>1299</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7" sqref="B17:B19"/>
    </sheetView>
  </sheetViews>
  <sheetFormatPr defaultRowHeight="13.5"/>
  <cols>
    <col min="1" max="1" width="13.5" style="2022" customWidth="1"/>
    <col min="2" max="2" width="23.25" style="1973" customWidth="1"/>
    <col min="3" max="3" width="13" style="2017" hidden="1" customWidth="1"/>
    <col min="4" max="4" width="5.75" style="2014" hidden="1" customWidth="1"/>
    <col min="5" max="5" width="7.125" style="2014" hidden="1" customWidth="1"/>
    <col min="6" max="6" width="10.625" style="2014" hidden="1" customWidth="1"/>
    <col min="7" max="7" width="7.5" style="2014" hidden="1" customWidth="1"/>
    <col min="8" max="8" width="9" style="2017" hidden="1" customWidth="1"/>
    <col min="9" max="9" width="11.625" style="2017" hidden="1" customWidth="1"/>
    <col min="10" max="10" width="9" style="2017" hidden="1" customWidth="1"/>
    <col min="11" max="19" width="9" style="2014" hidden="1" customWidth="1"/>
    <col min="20" max="22" width="9" style="2017" hidden="1" customWidth="1"/>
    <col min="23" max="23" width="9" style="2017" customWidth="1"/>
    <col min="24" max="24" width="21.125" style="1973" customWidth="1"/>
    <col min="25" max="16384" width="9" style="1973"/>
  </cols>
  <sheetData>
    <row r="1" spans="1:23" s="2011" customFormat="1" ht="27">
      <c r="A1" s="2005" t="s">
        <v>71</v>
      </c>
      <c r="B1" s="2006" t="s">
        <v>1690</v>
      </c>
      <c r="C1" s="2007" t="s">
        <v>759</v>
      </c>
      <c r="D1" s="2008" t="s">
        <v>1691</v>
      </c>
      <c r="E1" s="2008" t="s">
        <v>1692</v>
      </c>
      <c r="F1" s="2008" t="s">
        <v>1693</v>
      </c>
      <c r="G1" s="2008" t="s">
        <v>1694</v>
      </c>
      <c r="H1" s="2008" t="s">
        <v>1695</v>
      </c>
      <c r="I1" s="2008" t="s">
        <v>1696</v>
      </c>
      <c r="J1" s="2008" t="s">
        <v>1697</v>
      </c>
      <c r="K1" s="2008" t="s">
        <v>1698</v>
      </c>
      <c r="L1" s="2008" t="s">
        <v>1699</v>
      </c>
      <c r="M1" s="2008" t="s">
        <v>1700</v>
      </c>
      <c r="N1" s="2008" t="s">
        <v>1701</v>
      </c>
      <c r="O1" s="2008" t="s">
        <v>1702</v>
      </c>
      <c r="P1" s="2009" t="s">
        <v>753</v>
      </c>
      <c r="Q1" s="2009" t="s">
        <v>1144</v>
      </c>
      <c r="R1" s="2008" t="s">
        <v>1138</v>
      </c>
      <c r="S1" s="2008" t="s">
        <v>1703</v>
      </c>
      <c r="T1" s="2010" t="s">
        <v>1704</v>
      </c>
      <c r="U1" s="2008" t="s">
        <v>1705</v>
      </c>
      <c r="V1" s="2008" t="s">
        <v>1706</v>
      </c>
      <c r="W1" s="2008" t="s">
        <v>755</v>
      </c>
    </row>
    <row r="2" spans="1:23">
      <c r="A2" s="2012" t="s">
        <v>22</v>
      </c>
      <c r="B2" s="2012" t="s">
        <v>1707</v>
      </c>
      <c r="C2" s="2013" t="s">
        <v>760</v>
      </c>
      <c r="D2" s="2014" t="s">
        <v>1708</v>
      </c>
      <c r="E2" s="2014" t="s">
        <v>1709</v>
      </c>
      <c r="F2" s="2014" t="s">
        <v>1710</v>
      </c>
      <c r="G2" s="2014">
        <v>40</v>
      </c>
      <c r="H2" s="2014" t="s">
        <v>1710</v>
      </c>
      <c r="I2" s="2014" t="s">
        <v>1711</v>
      </c>
      <c r="J2" s="2014" t="s">
        <v>1712</v>
      </c>
      <c r="K2" s="2014" t="s">
        <v>1713</v>
      </c>
      <c r="L2" s="2014" t="s">
        <v>1713</v>
      </c>
      <c r="M2" s="2014" t="s">
        <v>1713</v>
      </c>
      <c r="N2" s="2014" t="s">
        <v>1713</v>
      </c>
      <c r="O2" s="2014" t="s">
        <v>1713</v>
      </c>
      <c r="P2" s="2014" t="s">
        <v>1713</v>
      </c>
      <c r="Q2" s="2014" t="s">
        <v>1713</v>
      </c>
      <c r="R2" s="2014" t="s">
        <v>1140</v>
      </c>
      <c r="S2" s="2014" t="s">
        <v>1713</v>
      </c>
      <c r="T2" s="2014" t="s">
        <v>1714</v>
      </c>
      <c r="U2" s="2014" t="s">
        <v>1713</v>
      </c>
      <c r="V2" s="2014" t="s">
        <v>1715</v>
      </c>
      <c r="W2" s="2014" t="s">
        <v>1713</v>
      </c>
    </row>
    <row r="3" spans="1:23">
      <c r="A3" s="2012" t="s">
        <v>1716</v>
      </c>
      <c r="B3" s="2015" t="s">
        <v>1145</v>
      </c>
      <c r="C3" s="2016" t="s">
        <v>761</v>
      </c>
      <c r="D3" s="2014" t="s">
        <v>1717</v>
      </c>
      <c r="E3" s="2014" t="s">
        <v>16</v>
      </c>
      <c r="F3" s="2014" t="s">
        <v>1718</v>
      </c>
      <c r="G3" s="2014">
        <v>50</v>
      </c>
      <c r="H3" s="2014" t="s">
        <v>1718</v>
      </c>
      <c r="I3" s="2014" t="s">
        <v>1719</v>
      </c>
      <c r="J3" s="2014" t="s">
        <v>1720</v>
      </c>
      <c r="K3" s="2014" t="s">
        <v>1721</v>
      </c>
      <c r="L3" s="2014" t="s">
        <v>1721</v>
      </c>
      <c r="M3" s="2014" t="s">
        <v>1721</v>
      </c>
      <c r="N3" s="2014" t="s">
        <v>1721</v>
      </c>
      <c r="O3" s="2014" t="s">
        <v>1721</v>
      </c>
      <c r="P3" s="2014" t="s">
        <v>1721</v>
      </c>
      <c r="Q3" s="2014" t="s">
        <v>1721</v>
      </c>
      <c r="R3" s="2014" t="s">
        <v>1139</v>
      </c>
      <c r="S3" s="2014" t="s">
        <v>1721</v>
      </c>
      <c r="T3" s="2014" t="s">
        <v>1722</v>
      </c>
      <c r="U3" s="2014" t="s">
        <v>1721</v>
      </c>
      <c r="V3" s="2014" t="s">
        <v>1723</v>
      </c>
      <c r="W3" s="2014" t="s">
        <v>1721</v>
      </c>
    </row>
    <row r="4" spans="1:23">
      <c r="A4" s="2012" t="s">
        <v>1724</v>
      </c>
      <c r="B4" s="2012" t="s">
        <v>1725</v>
      </c>
      <c r="C4" s="2013" t="s">
        <v>762</v>
      </c>
      <c r="D4" s="2014" t="s">
        <v>868</v>
      </c>
      <c r="E4" s="2014" t="s">
        <v>1726</v>
      </c>
      <c r="F4" s="2014" t="s">
        <v>1727</v>
      </c>
      <c r="G4" s="2014">
        <v>70</v>
      </c>
      <c r="H4" s="2014" t="s">
        <v>1727</v>
      </c>
      <c r="I4" s="2014" t="s">
        <v>1728</v>
      </c>
      <c r="K4" s="2014" t="s">
        <v>1729</v>
      </c>
      <c r="L4" s="2014" t="s">
        <v>1729</v>
      </c>
      <c r="M4" s="2014" t="s">
        <v>1729</v>
      </c>
      <c r="N4" s="2014" t="s">
        <v>1729</v>
      </c>
      <c r="O4" s="2014" t="s">
        <v>1729</v>
      </c>
      <c r="P4" s="2014" t="s">
        <v>1729</v>
      </c>
      <c r="Q4" s="2014" t="s">
        <v>1729</v>
      </c>
      <c r="R4" s="2014" t="s">
        <v>1141</v>
      </c>
      <c r="S4" s="2014" t="s">
        <v>1729</v>
      </c>
      <c r="T4" s="2014" t="s">
        <v>1730</v>
      </c>
      <c r="U4" s="2014" t="s">
        <v>1729</v>
      </c>
      <c r="W4" s="2014" t="s">
        <v>1729</v>
      </c>
    </row>
    <row r="5" spans="1:23">
      <c r="A5" s="2012" t="s">
        <v>1731</v>
      </c>
      <c r="B5" s="2012" t="s">
        <v>1732</v>
      </c>
      <c r="C5" s="2013" t="s">
        <v>763</v>
      </c>
      <c r="F5" s="2014" t="s">
        <v>1733</v>
      </c>
      <c r="H5" s="2014" t="s">
        <v>1734</v>
      </c>
      <c r="I5" s="2014" t="s">
        <v>1735</v>
      </c>
      <c r="K5" s="2014" t="s">
        <v>1736</v>
      </c>
      <c r="L5" s="2014" t="s">
        <v>1736</v>
      </c>
      <c r="M5" s="2014" t="s">
        <v>1736</v>
      </c>
      <c r="N5" s="2014" t="s">
        <v>1736</v>
      </c>
      <c r="O5" s="2014" t="s">
        <v>1736</v>
      </c>
      <c r="P5" s="2014" t="s">
        <v>1736</v>
      </c>
      <c r="Q5" s="2014" t="s">
        <v>1736</v>
      </c>
      <c r="R5" s="2014" t="s">
        <v>1142</v>
      </c>
      <c r="S5" s="2014" t="s">
        <v>1736</v>
      </c>
      <c r="T5" s="2014" t="s">
        <v>1737</v>
      </c>
      <c r="U5" s="2014" t="s">
        <v>1736</v>
      </c>
      <c r="W5" s="2014" t="s">
        <v>1736</v>
      </c>
    </row>
    <row r="6" spans="1:23">
      <c r="A6" s="2012" t="s">
        <v>1738</v>
      </c>
      <c r="B6" s="2015" t="s">
        <v>1146</v>
      </c>
      <c r="C6" s="2018" t="s">
        <v>30</v>
      </c>
      <c r="F6" s="2014" t="s">
        <v>1734</v>
      </c>
      <c r="H6" s="2014" t="s">
        <v>1739</v>
      </c>
      <c r="I6" s="2014" t="s">
        <v>1740</v>
      </c>
      <c r="K6" s="2014" t="s">
        <v>1741</v>
      </c>
      <c r="L6" s="2014" t="s">
        <v>1741</v>
      </c>
      <c r="M6" s="2014" t="s">
        <v>1741</v>
      </c>
      <c r="N6" s="2014" t="s">
        <v>1741</v>
      </c>
      <c r="O6" s="2014" t="s">
        <v>1741</v>
      </c>
      <c r="P6" s="2014" t="s">
        <v>1741</v>
      </c>
      <c r="Q6" s="2014" t="s">
        <v>1741</v>
      </c>
      <c r="R6" s="2014" t="s">
        <v>1143</v>
      </c>
      <c r="S6" s="2014" t="s">
        <v>1741</v>
      </c>
      <c r="T6" s="2014"/>
      <c r="U6" s="2014" t="s">
        <v>1741</v>
      </c>
      <c r="W6" s="2014" t="s">
        <v>1741</v>
      </c>
    </row>
    <row r="7" spans="1:23">
      <c r="A7" s="2012" t="s">
        <v>1742</v>
      </c>
      <c r="B7" s="2015" t="s">
        <v>1147</v>
      </c>
      <c r="C7" s="2013" t="s">
        <v>31</v>
      </c>
      <c r="F7" s="2014" t="s">
        <v>1743</v>
      </c>
      <c r="H7" s="2014" t="s">
        <v>1744</v>
      </c>
      <c r="I7" s="2014" t="s">
        <v>1745</v>
      </c>
    </row>
    <row r="8" spans="1:23">
      <c r="A8" s="2012" t="s">
        <v>1746</v>
      </c>
      <c r="B8" s="2012" t="s">
        <v>1747</v>
      </c>
      <c r="C8" s="2013" t="s">
        <v>764</v>
      </c>
      <c r="F8" s="2014" t="s">
        <v>1748</v>
      </c>
      <c r="H8" s="2014"/>
      <c r="I8" s="2014" t="s">
        <v>1749</v>
      </c>
    </row>
    <row r="9" spans="1:23">
      <c r="A9" s="2012" t="s">
        <v>1750</v>
      </c>
      <c r="B9" s="2012" t="s">
        <v>1751</v>
      </c>
      <c r="C9" s="2013" t="s">
        <v>765</v>
      </c>
      <c r="F9" s="2014" t="s">
        <v>1752</v>
      </c>
      <c r="H9" s="2014"/>
    </row>
    <row r="10" spans="1:23">
      <c r="A10" s="2012" t="s">
        <v>1753</v>
      </c>
      <c r="B10" s="2012" t="s">
        <v>1754</v>
      </c>
      <c r="C10" s="2013" t="s">
        <v>766</v>
      </c>
      <c r="F10" s="2014" t="s">
        <v>16</v>
      </c>
    </row>
    <row r="11" spans="1:23">
      <c r="A11" s="2012" t="s">
        <v>1755</v>
      </c>
      <c r="B11" s="2012" t="s">
        <v>1756</v>
      </c>
      <c r="C11" s="2013" t="s">
        <v>767</v>
      </c>
    </row>
    <row r="12" spans="1:23">
      <c r="A12" s="2012" t="s">
        <v>1757</v>
      </c>
      <c r="B12" s="2012" t="s">
        <v>1758</v>
      </c>
      <c r="C12" s="2013" t="s">
        <v>768</v>
      </c>
    </row>
    <row r="13" spans="1:23">
      <c r="A13" s="2012" t="s">
        <v>1759</v>
      </c>
      <c r="B13" s="2012" t="s">
        <v>1760</v>
      </c>
      <c r="C13" s="2013" t="s">
        <v>769</v>
      </c>
    </row>
    <row r="14" spans="1:23">
      <c r="A14" s="2012" t="s">
        <v>1761</v>
      </c>
      <c r="B14" s="2012" t="s">
        <v>1762</v>
      </c>
      <c r="C14" s="2014" t="s">
        <v>16</v>
      </c>
    </row>
    <row r="15" spans="1:23">
      <c r="A15" s="2012" t="s">
        <v>1763</v>
      </c>
      <c r="B15" s="2012" t="s">
        <v>1764</v>
      </c>
      <c r="C15" s="2013"/>
    </row>
    <row r="16" spans="1:23">
      <c r="A16" s="2012" t="s">
        <v>1765</v>
      </c>
      <c r="B16" s="2012" t="s">
        <v>756</v>
      </c>
      <c r="C16" s="2013"/>
    </row>
    <row r="17" spans="1:3">
      <c r="A17" s="2012" t="s">
        <v>1766</v>
      </c>
      <c r="B17" s="2012" t="s">
        <v>3202</v>
      </c>
      <c r="C17" s="2013"/>
    </row>
    <row r="18" spans="1:3">
      <c r="A18" s="2012" t="s">
        <v>1767</v>
      </c>
      <c r="B18" s="2012" t="s">
        <v>3204</v>
      </c>
      <c r="C18" s="2013"/>
    </row>
    <row r="19" spans="1:3">
      <c r="A19" s="2012" t="s">
        <v>1768</v>
      </c>
      <c r="B19" s="2012" t="s">
        <v>3207</v>
      </c>
      <c r="C19" s="2013"/>
    </row>
    <row r="20" spans="1:3">
      <c r="A20" s="2012" t="s">
        <v>1769</v>
      </c>
      <c r="B20" s="2012" t="s">
        <v>757</v>
      </c>
      <c r="C20" s="2013"/>
    </row>
    <row r="21" spans="1:3">
      <c r="A21" s="2012" t="s">
        <v>1770</v>
      </c>
      <c r="B21" s="2012" t="s">
        <v>757</v>
      </c>
      <c r="C21" s="2013"/>
    </row>
    <row r="22" spans="1:3">
      <c r="A22" s="2012" t="s">
        <v>1771</v>
      </c>
      <c r="B22" s="2012" t="s">
        <v>757</v>
      </c>
      <c r="C22" s="2013"/>
    </row>
    <row r="23" spans="1:3">
      <c r="A23" s="2012" t="s">
        <v>1772</v>
      </c>
      <c r="B23" s="2012" t="s">
        <v>757</v>
      </c>
      <c r="C23" s="2013"/>
    </row>
    <row r="24" spans="1:3">
      <c r="A24" s="2012" t="s">
        <v>1773</v>
      </c>
      <c r="B24" s="2012" t="s">
        <v>757</v>
      </c>
      <c r="C24" s="2013"/>
    </row>
    <row r="25" spans="1:3">
      <c r="A25" s="2012" t="s">
        <v>1774</v>
      </c>
      <c r="B25" s="2012" t="s">
        <v>757</v>
      </c>
      <c r="C25" s="2013"/>
    </row>
    <row r="26" spans="1:3">
      <c r="A26" s="2012" t="s">
        <v>1775</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857</v>
      </c>
      <c r="B51" s="2020" t="str">
        <f>"为估价委托人在向"&amp;项目基本情况!B6&amp;"办理贷款手续过程中，确定房地产抵押贷款额度提供参考依据而评估房地产抵押价值。"</f>
        <v>为估价委托人在向中国建设银行股份有限公司江苏分行太仓支行办理贷款手续过程中，确定房地产抵押贷款额度提供参考依据而评估房地产抵押价值。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匠心置业有限公司拟使用北京市丰台区马家堡东路168号院6号楼房地产作为抵押担保物，向中国建设银行股份有限公司江苏分行太仓支行办理贷款手续。中国建设银行股份有限公司江苏分行太仓支行特委托北京康正宏基房地产评估有限公司对上述抵押物进行评估。本次评估为确定房地产抵押贷款额度提供参考依据而评估房地产抵押价值。</v>
      </c>
      <c r="D51" s="2020" t="s">
        <v>1284</v>
      </c>
    </row>
    <row r="52" spans="1:4">
      <c r="A52" s="2019" t="s">
        <v>858</v>
      </c>
      <c r="B52" s="2019" t="s">
        <v>859</v>
      </c>
      <c r="C52" s="2017" t="s">
        <v>860</v>
      </c>
      <c r="D52" s="2017" t="s">
        <v>861</v>
      </c>
    </row>
    <row r="53" spans="1:4">
      <c r="A53" s="3059" t="s">
        <v>862</v>
      </c>
      <c r="B53" s="2020" t="s">
        <v>863</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2月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59"/>
      <c r="B54" s="2020" t="s">
        <v>864</v>
      </c>
      <c r="C54" s="2017" t="s">
        <v>1281</v>
      </c>
    </row>
    <row r="55" spans="1:4">
      <c r="A55" s="3059"/>
      <c r="B55" s="2020" t="s">
        <v>865</v>
      </c>
      <c r="C55" s="2017" t="s">
        <v>1282</v>
      </c>
    </row>
    <row r="56" spans="1:4">
      <c r="A56" s="3059"/>
      <c r="B56" s="2020" t="s">
        <v>866</v>
      </c>
      <c r="C56" s="2017" t="s">
        <v>1286</v>
      </c>
    </row>
    <row r="57" spans="1:4">
      <c r="A57" s="3059"/>
      <c r="B57" s="2020" t="s">
        <v>867</v>
      </c>
      <c r="C57" s="2017" t="s">
        <v>1283</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3" sqref="E13"/>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5" customWidth="1"/>
    <col min="10" max="10" width="10" style="2030" customWidth="1"/>
    <col min="11" max="11" width="10" style="2156" customWidth="1"/>
    <col min="12" max="13" width="10" style="2157" customWidth="1"/>
    <col min="14" max="14" width="10" style="2030" customWidth="1"/>
    <col min="15" max="15" width="10" style="2155" customWidth="1"/>
    <col min="16" max="17" width="10" style="2030"/>
    <col min="18" max="18" width="10" style="2030" customWidth="1"/>
    <col min="19" max="16384" width="10" style="2030"/>
  </cols>
  <sheetData>
    <row r="1" spans="1:19" ht="38.25" customHeight="1" thickBot="1">
      <c r="A1" s="2023" t="s">
        <v>1776</v>
      </c>
      <c r="B1" s="3060" t="str">
        <f>IF(B10="北京市","北京市",C10)&amp;F10&amp;IF(结果表!G1="在建","出让国有建设用地使用权及在建建筑物",IF(结果表!G1="土地","出让国有建设用地使用权",))&amp;B9&amp;"预评估"</f>
        <v>北京市丰台区马家堡东路168号院6号楼房地产抵押价值预评估</v>
      </c>
      <c r="C1" s="3061"/>
      <c r="D1" s="3061"/>
      <c r="E1" s="3061"/>
      <c r="F1" s="3061"/>
      <c r="G1" s="3061"/>
      <c r="H1" s="3061"/>
      <c r="I1" s="3062"/>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北京市丰台区马家堡东路168号院6号楼房地产抵押价值</v>
      </c>
    </row>
    <row r="2" spans="1:19" ht="18" customHeight="1">
      <c r="A2" s="2024" t="s">
        <v>1777</v>
      </c>
      <c r="B2" s="2942" t="s">
        <v>3209</v>
      </c>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北京市丰台区马家堡东路168号院6号楼房地产</v>
      </c>
    </row>
    <row r="3" spans="1:19" ht="18" customHeight="1">
      <c r="A3" s="2033" t="s">
        <v>1778</v>
      </c>
      <c r="B3" s="2034">
        <v>43132</v>
      </c>
      <c r="C3" s="2035" t="s">
        <v>1779</v>
      </c>
      <c r="D3" s="2034">
        <v>43132</v>
      </c>
      <c r="E3" s="2024"/>
      <c r="F3" s="2024"/>
      <c r="G3" s="2024"/>
      <c r="H3" s="2024"/>
      <c r="I3" s="2024"/>
      <c r="J3" s="2024"/>
      <c r="K3" s="2025"/>
      <c r="L3" s="2026"/>
      <c r="M3" s="2026"/>
      <c r="N3" s="2027"/>
      <c r="O3" s="2028"/>
      <c r="P3" s="2027"/>
      <c r="Q3" s="2027"/>
      <c r="R3" s="2027"/>
      <c r="S3" s="2029"/>
    </row>
    <row r="4" spans="1:19" ht="18" customHeight="1" thickBot="1">
      <c r="A4" s="2036" t="s">
        <v>1780</v>
      </c>
      <c r="B4" s="2037" t="s">
        <v>3027</v>
      </c>
      <c r="C4" s="1039">
        <f ca="1">SUMIF(注册房地产估价师,B4,估价师及机构信息!B3:B24)</f>
        <v>1120000080</v>
      </c>
      <c r="D4" s="2037" t="s">
        <v>3028</v>
      </c>
      <c r="E4" s="1040">
        <f ca="1">SUMIF(注册房地产估价师,D4,估价师及机构信息!B3:B24)</f>
        <v>1120100036</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欧红伟（注册号：1120000080)、崔锴（注册号：1120100036)</v>
      </c>
      <c r="L4" s="2026"/>
      <c r="M4" s="2026"/>
      <c r="N4" s="2027"/>
      <c r="O4" s="2028"/>
      <c r="P4" s="2027"/>
      <c r="Q4" s="2027"/>
      <c r="R4" s="2027"/>
      <c r="S4" s="2029"/>
    </row>
    <row r="5" spans="1:19" ht="18" customHeight="1" thickTop="1">
      <c r="A5" s="2042" t="s">
        <v>1781</v>
      </c>
      <c r="B5" s="2943" t="s">
        <v>3029</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1782</v>
      </c>
      <c r="B6" s="2944" t="s">
        <v>3030</v>
      </c>
      <c r="C6" s="2046"/>
      <c r="D6" s="2047"/>
      <c r="E6" s="2032"/>
      <c r="F6" s="2040"/>
      <c r="G6" s="2040"/>
      <c r="H6" s="2040"/>
      <c r="I6" s="2040"/>
      <c r="J6" s="2040"/>
      <c r="K6" s="2048" t="str">
        <f>IF(COUNTIF(B6,"*上海银行*"),"上海银行","")</f>
        <v/>
      </c>
      <c r="L6" s="2026"/>
      <c r="M6" s="2026"/>
      <c r="N6" s="2027"/>
      <c r="O6" s="2028"/>
      <c r="P6" s="2027"/>
      <c r="Q6" s="2027"/>
      <c r="R6" s="2027"/>
    </row>
    <row r="7" spans="1:19" ht="18" customHeight="1">
      <c r="A7" s="2045" t="s">
        <v>1783</v>
      </c>
      <c r="B7" s="2049" t="str">
        <f>B5</f>
        <v>北京匠心置业有限公司</v>
      </c>
      <c r="C7" s="2046"/>
      <c r="D7" s="2047"/>
      <c r="E7" s="2032"/>
      <c r="F7" s="2040"/>
      <c r="G7" s="2040"/>
      <c r="H7" s="2040"/>
      <c r="I7" s="2040"/>
      <c r="J7" s="2040"/>
      <c r="K7" s="2050"/>
      <c r="L7" s="2026"/>
      <c r="M7" s="2026"/>
      <c r="N7" s="2027"/>
      <c r="O7" s="2028"/>
      <c r="P7" s="2027"/>
      <c r="Q7" s="2027"/>
      <c r="R7" s="2027"/>
    </row>
    <row r="8" spans="1:19" ht="18" customHeight="1">
      <c r="A8" s="2045" t="s">
        <v>1784</v>
      </c>
      <c r="B8" s="2051" t="s">
        <v>3031</v>
      </c>
      <c r="C8" s="2052"/>
      <c r="D8" s="3063" t="s">
        <v>1785</v>
      </c>
      <c r="E8" s="2053" t="s">
        <v>3032</v>
      </c>
      <c r="F8" s="2054"/>
      <c r="G8" s="2024"/>
      <c r="H8" s="2024"/>
      <c r="I8" s="2024"/>
      <c r="J8" s="2040"/>
      <c r="K8" s="2041"/>
      <c r="L8" s="2026"/>
      <c r="M8" s="2026"/>
      <c r="N8" s="2027"/>
      <c r="O8" s="2028"/>
      <c r="P8" s="2027"/>
      <c r="Q8" s="2027"/>
      <c r="R8" s="2027"/>
    </row>
    <row r="9" spans="1:19" ht="18" customHeight="1" thickBot="1">
      <c r="A9" s="2038" t="s">
        <v>1786</v>
      </c>
      <c r="B9" s="2055" t="s">
        <v>3032</v>
      </c>
      <c r="C9" s="2056"/>
      <c r="D9" s="3064"/>
      <c r="E9" s="2055"/>
      <c r="F9" s="2057"/>
      <c r="G9" s="2058"/>
      <c r="H9" s="2058"/>
      <c r="I9" s="2058"/>
      <c r="J9" s="2040"/>
      <c r="K9" s="2050"/>
      <c r="L9" s="2026"/>
      <c r="M9" s="2026"/>
      <c r="N9" s="2027"/>
      <c r="O9" s="2028"/>
      <c r="P9" s="2027"/>
      <c r="Q9" s="2027"/>
      <c r="R9" s="2027"/>
    </row>
    <row r="10" spans="1:19" ht="18" customHeight="1" thickTop="1">
      <c r="A10" s="2059" t="s">
        <v>1787</v>
      </c>
      <c r="B10" s="2060" t="s">
        <v>3033</v>
      </c>
      <c r="C10" s="2061"/>
      <c r="D10" s="2044"/>
      <c r="E10" s="2062" t="s">
        <v>1788</v>
      </c>
      <c r="F10" s="2063" t="s">
        <v>3210</v>
      </c>
      <c r="G10" s="2064"/>
      <c r="H10" s="2065"/>
      <c r="I10" s="2044"/>
      <c r="J10" s="2040"/>
      <c r="K10" s="2050"/>
      <c r="L10" s="2026"/>
      <c r="M10" s="2026"/>
      <c r="N10" s="2027"/>
      <c r="O10" s="2028"/>
      <c r="P10" s="2027"/>
      <c r="Q10" s="2027"/>
      <c r="R10" s="2027"/>
    </row>
    <row r="11" spans="1:19" ht="18" customHeight="1">
      <c r="A11" s="2066" t="s">
        <v>1789</v>
      </c>
      <c r="B11" s="2067" t="s">
        <v>3034</v>
      </c>
      <c r="C11" s="2068" t="str">
        <f>B7</f>
        <v>北京匠心置业有限公司</v>
      </c>
      <c r="D11" s="2069"/>
      <c r="E11" s="2040"/>
      <c r="F11" s="2040"/>
      <c r="G11" s="2040"/>
      <c r="H11" s="2040"/>
      <c r="I11" s="2040"/>
      <c r="J11" s="2040"/>
      <c r="K11" s="2050"/>
      <c r="L11" s="2026"/>
      <c r="M11" s="2026"/>
      <c r="N11" s="2027"/>
      <c r="O11" s="2028"/>
      <c r="P11" s="2027"/>
      <c r="Q11" s="2027"/>
      <c r="R11" s="2027"/>
    </row>
    <row r="12" spans="1:19" ht="18" customHeight="1">
      <c r="A12" s="2070" t="s">
        <v>1790</v>
      </c>
      <c r="B12" s="2067" t="s">
        <v>3035</v>
      </c>
      <c r="C12" s="2071" t="s">
        <v>1791</v>
      </c>
      <c r="D12" s="2072" t="s">
        <v>1792</v>
      </c>
      <c r="E12" s="2072" t="s">
        <v>1793</v>
      </c>
      <c r="F12" s="2072" t="s">
        <v>1794</v>
      </c>
      <c r="G12" s="2072" t="s">
        <v>1795</v>
      </c>
      <c r="H12" s="2072" t="s">
        <v>1796</v>
      </c>
      <c r="I12" s="2072" t="s">
        <v>1797</v>
      </c>
      <c r="J12" s="2040"/>
      <c r="K12" s="2050"/>
      <c r="L12" s="2026"/>
      <c r="M12" s="2026"/>
      <c r="N12" s="2027"/>
      <c r="O12" s="2028"/>
      <c r="P12" s="2027"/>
      <c r="Q12" s="2027"/>
      <c r="R12" s="2027"/>
    </row>
    <row r="13" spans="1:19" ht="18" customHeight="1">
      <c r="A13" s="2073"/>
      <c r="B13" s="2074"/>
      <c r="C13" s="2075" t="s">
        <v>1798</v>
      </c>
      <c r="D13" s="2076"/>
      <c r="E13" s="2975">
        <v>54071</v>
      </c>
      <c r="F13" s="2076"/>
      <c r="G13" s="2076"/>
      <c r="H13" s="2076"/>
      <c r="I13" s="3011">
        <v>44210</v>
      </c>
      <c r="J13" s="2040"/>
      <c r="K13" s="2050"/>
      <c r="L13" s="2026"/>
      <c r="M13" s="2026"/>
      <c r="N13" s="2027"/>
      <c r="O13" s="2028"/>
      <c r="P13" s="2027"/>
      <c r="Q13" s="2027"/>
      <c r="R13" s="2027"/>
    </row>
    <row r="14" spans="1:19" ht="18" customHeight="1">
      <c r="A14" s="2073"/>
      <c r="B14" s="2074"/>
      <c r="C14" s="2075" t="s">
        <v>1799</v>
      </c>
      <c r="D14" s="1050"/>
      <c r="E14" s="1050">
        <v>40</v>
      </c>
      <c r="F14" s="1050"/>
      <c r="G14" s="1050"/>
      <c r="H14" s="1050"/>
      <c r="I14" s="1050"/>
      <c r="J14" s="2040"/>
      <c r="K14" s="2077"/>
      <c r="L14" s="2026"/>
      <c r="M14" s="2026"/>
      <c r="N14" s="2027"/>
      <c r="O14" s="2028"/>
      <c r="P14" s="2027"/>
      <c r="Q14" s="2027"/>
      <c r="R14" s="2027"/>
    </row>
    <row r="15" spans="1:19" ht="18" customHeight="1">
      <c r="A15" s="2059"/>
      <c r="B15" s="2078"/>
      <c r="C15" s="2075" t="s">
        <v>1800</v>
      </c>
      <c r="D15" s="1049" t="str">
        <f>IF(B12="出让",IF(D13="","",ROUNDDOWN(MIN((D13-$D$3)/365,D14),2)),D14)</f>
        <v/>
      </c>
      <c r="E15" s="1049">
        <f>IF(B12="出让",IF(E13="","",ROUNDDOWN(MIN((E13-$D$3)/365,E14),2)),E14)</f>
        <v>29.96</v>
      </c>
      <c r="F15" s="1049" t="str">
        <f>IF(B12="出让",IF(F13="","",ROUNDDOWN(MIN((F13-$D$3)/365,F14),2)),F14)</f>
        <v/>
      </c>
      <c r="G15" s="1049" t="str">
        <f>IF(B12="出让",IF(G13="","",ROUNDDOWN(MIN((G13-$D$3)/365,G14),2)),G14)</f>
        <v/>
      </c>
      <c r="H15" s="1049" t="str">
        <f>IF(B12="出让",IF(H13="","",ROUNDDOWN(MIN((H13-$D$3)/365,H14),2)),H14)</f>
        <v/>
      </c>
      <c r="I15" s="1049">
        <f>IF(B12="出让",IF(I13="","",ROUNDDOWN(MIN((I13-$D$3)/365,I14),2)),I14)</f>
        <v>2.95</v>
      </c>
      <c r="J15" s="2040"/>
      <c r="K15" s="2079"/>
      <c r="L15" s="2080"/>
      <c r="M15" s="2080"/>
      <c r="N15" s="2081"/>
      <c r="O15" s="2080"/>
      <c r="P15" s="2081"/>
      <c r="Q15" s="2027"/>
      <c r="R15" s="2027"/>
    </row>
    <row r="16" spans="1:19" ht="30.75" customHeight="1">
      <c r="A16" s="2062" t="s">
        <v>1801</v>
      </c>
      <c r="B16" s="3070"/>
      <c r="C16" s="3071"/>
      <c r="D16" s="3072"/>
      <c r="E16" s="2082" t="s">
        <v>1802</v>
      </c>
      <c r="F16" s="3073"/>
      <c r="G16" s="3074"/>
      <c r="H16" s="3074"/>
      <c r="I16" s="3075"/>
      <c r="J16" s="2027"/>
      <c r="K16" s="2079"/>
      <c r="L16" s="2080"/>
      <c r="M16" s="2080"/>
      <c r="N16" s="2081"/>
      <c r="O16" s="2080"/>
      <c r="P16" s="2081"/>
      <c r="Q16" s="2027"/>
      <c r="R16" s="2027"/>
    </row>
    <row r="17" spans="1:22" ht="18" customHeight="1">
      <c r="A17" s="2083" t="s">
        <v>1803</v>
      </c>
      <c r="B17" s="2033" t="s">
        <v>1804</v>
      </c>
      <c r="C17" s="1054">
        <f>'数据-汇总表'!E3</f>
        <v>4163.47</v>
      </c>
      <c r="D17" s="2084" t="s">
        <v>1805</v>
      </c>
      <c r="E17" s="3076" t="s">
        <v>3036</v>
      </c>
      <c r="F17" s="3077"/>
      <c r="G17" s="3077"/>
      <c r="H17" s="3077"/>
      <c r="I17" s="3078"/>
      <c r="J17" s="2027"/>
      <c r="K17" s="2085"/>
      <c r="L17" s="2080"/>
      <c r="M17" s="2080"/>
      <c r="N17" s="2081"/>
      <c r="O17" s="2080"/>
      <c r="P17" s="2081"/>
      <c r="Q17" s="2027"/>
      <c r="R17" s="2027"/>
      <c r="S17" s="2027"/>
      <c r="T17" s="2027"/>
      <c r="U17" s="2027"/>
      <c r="V17" s="2027"/>
    </row>
    <row r="18" spans="1:22" ht="36" customHeight="1" thickBot="1">
      <c r="A18" s="2086" t="s">
        <v>70</v>
      </c>
      <c r="B18" s="2036" t="s">
        <v>1806</v>
      </c>
      <c r="C18" s="1443">
        <f>'数据-汇总表'!D3</f>
        <v>1606.66</v>
      </c>
      <c r="D18" s="2087" t="s">
        <v>1805</v>
      </c>
      <c r="E18" s="3079" t="s">
        <v>3043</v>
      </c>
      <c r="F18" s="3080"/>
      <c r="G18" s="3080"/>
      <c r="H18" s="3080"/>
      <c r="I18" s="3081"/>
      <c r="J18" s="2027"/>
      <c r="K18" s="2085"/>
      <c r="L18" s="2080"/>
      <c r="M18" s="2080"/>
      <c r="N18" s="2081"/>
      <c r="O18" s="2080"/>
      <c r="P18" s="2081"/>
      <c r="Q18" s="2027"/>
      <c r="R18" s="2027"/>
      <c r="S18" s="2027"/>
      <c r="T18" s="2027"/>
      <c r="U18" s="2027"/>
      <c r="V18" s="2027"/>
    </row>
    <row r="19" spans="1:22" ht="37.5" customHeight="1" thickTop="1" thickBot="1">
      <c r="A19" s="373" t="s">
        <v>1807</v>
      </c>
      <c r="B19" s="352" t="s">
        <v>1808</v>
      </c>
      <c r="C19" s="2088" t="s">
        <v>3037</v>
      </c>
      <c r="D19" s="2089" t="s">
        <v>1809</v>
      </c>
      <c r="E19" s="2090" t="s">
        <v>70</v>
      </c>
      <c r="F19" s="2091" t="str">
        <f>IF(AND(C19="是",E19="否"),"是否提供他项权证或相关说明","")</f>
        <v/>
      </c>
      <c r="G19" s="2092" t="s">
        <v>70</v>
      </c>
      <c r="H19" s="2040"/>
      <c r="I19" s="2040"/>
      <c r="J19" s="2040"/>
      <c r="K19" s="2050"/>
      <c r="L19" s="2026"/>
      <c r="M19" s="2026"/>
      <c r="N19" s="2081"/>
      <c r="O19" s="2080"/>
      <c r="P19" s="2081"/>
      <c r="Q19" s="2027"/>
      <c r="R19" s="2027"/>
      <c r="S19" s="2027"/>
      <c r="T19" s="2027"/>
      <c r="U19" s="2027"/>
      <c r="V19" s="2027"/>
    </row>
    <row r="20" spans="1:22" ht="18" customHeight="1">
      <c r="A20" s="2093" t="s">
        <v>1810</v>
      </c>
      <c r="B20" s="3066" t="s">
        <v>1811</v>
      </c>
      <c r="C20" s="3067"/>
      <c r="D20" s="3068" t="s">
        <v>1812</v>
      </c>
      <c r="E20" s="3069"/>
      <c r="F20" s="2094" t="s">
        <v>1813</v>
      </c>
      <c r="G20" s="2040"/>
      <c r="H20" s="2040"/>
      <c r="I20" s="2040"/>
      <c r="J20" s="2040"/>
      <c r="K20" s="3065" t="s">
        <v>1814</v>
      </c>
      <c r="L20" s="747"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26"/>
      <c r="N20" s="2081"/>
      <c r="O20" s="2080"/>
      <c r="P20" s="2081"/>
      <c r="Q20" s="2027"/>
      <c r="R20" s="2027"/>
      <c r="S20" s="2027"/>
      <c r="T20" s="2027"/>
      <c r="U20" s="2027"/>
      <c r="V20" s="2027"/>
    </row>
    <row r="21" spans="1:22" ht="24.75" customHeight="1">
      <c r="A21" s="2093"/>
      <c r="B21" s="2095" t="s">
        <v>1815</v>
      </c>
      <c r="C21" s="2096" t="s">
        <v>1816</v>
      </c>
      <c r="D21" s="2097"/>
      <c r="E21" s="2098" t="s">
        <v>70</v>
      </c>
      <c r="F21" s="2099"/>
      <c r="G21" s="2040"/>
      <c r="H21" s="2040"/>
      <c r="I21" s="2040"/>
      <c r="J21" s="2040"/>
      <c r="K21" s="3065"/>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81"/>
      <c r="O21" s="2080"/>
      <c r="P21" s="2081"/>
      <c r="Q21" s="2027"/>
      <c r="R21" s="2027"/>
      <c r="S21" s="2027"/>
      <c r="T21" s="2027"/>
      <c r="U21" s="2027"/>
      <c r="V21" s="2027"/>
    </row>
    <row r="22" spans="1:22" ht="24.75" customHeight="1" thickBot="1">
      <c r="A22" s="2093"/>
      <c r="B22" s="2100" t="s">
        <v>1817</v>
      </c>
      <c r="C22" s="2096" t="s">
        <v>3038</v>
      </c>
      <c r="D22" s="2024"/>
      <c r="E22" s="2024"/>
      <c r="F22" s="2101"/>
      <c r="G22" s="2040"/>
      <c r="H22" s="2040"/>
      <c r="I22" s="2040"/>
      <c r="J22" s="2040"/>
      <c r="K22" s="3065"/>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1"/>
      <c r="O22" s="2080"/>
      <c r="P22" s="2081"/>
      <c r="Q22" s="2027"/>
      <c r="R22" s="2027"/>
      <c r="S22" s="2027"/>
      <c r="T22" s="2027"/>
      <c r="U22" s="2027"/>
      <c r="V22" s="2027"/>
    </row>
    <row r="23" spans="1:22" ht="18" customHeight="1">
      <c r="A23" s="2102" t="s">
        <v>1818</v>
      </c>
      <c r="B23" s="183" t="s">
        <v>1819</v>
      </c>
      <c r="C23" s="2945">
        <v>41793</v>
      </c>
      <c r="D23" s="2103" t="s">
        <v>1819</v>
      </c>
      <c r="E23" s="2104"/>
      <c r="F23" s="2101"/>
      <c r="G23" s="2040"/>
      <c r="H23" s="2040"/>
      <c r="I23" s="2040"/>
      <c r="J23" s="2040"/>
      <c r="K23" s="2105"/>
      <c r="L23" s="747"/>
      <c r="M23" s="2026"/>
      <c r="N23" s="2081"/>
      <c r="O23" s="2080"/>
      <c r="P23" s="2081"/>
      <c r="Q23" s="2027"/>
      <c r="R23" s="2027"/>
      <c r="S23" s="2027"/>
      <c r="T23" s="2027"/>
      <c r="U23" s="2027"/>
      <c r="V23" s="2027"/>
    </row>
    <row r="24" spans="1:22" ht="18" customHeight="1">
      <c r="A24" s="2106"/>
      <c r="B24" s="183" t="s">
        <v>1820</v>
      </c>
      <c r="C24" s="2946" t="s">
        <v>3044</v>
      </c>
      <c r="D24" s="2102" t="s">
        <v>1820</v>
      </c>
      <c r="E24" s="2108"/>
      <c r="F24" s="2101"/>
      <c r="G24" s="2040"/>
      <c r="H24" s="2040"/>
      <c r="I24" s="2040"/>
      <c r="J24" s="2040"/>
      <c r="K24" s="2105"/>
      <c r="L24" s="747"/>
      <c r="M24" s="2026"/>
      <c r="N24" s="2081"/>
      <c r="O24" s="2080"/>
      <c r="P24" s="2081"/>
      <c r="Q24" s="2027"/>
      <c r="R24" s="2027"/>
      <c r="S24" s="2027"/>
      <c r="T24" s="2027"/>
      <c r="U24" s="2027"/>
      <c r="V24" s="2027"/>
    </row>
    <row r="25" spans="1:22" ht="18" customHeight="1">
      <c r="A25" s="2106"/>
      <c r="B25" s="183" t="s">
        <v>1821</v>
      </c>
      <c r="C25" s="2107"/>
      <c r="D25" s="2102" t="s">
        <v>1821</v>
      </c>
      <c r="E25" s="2108"/>
      <c r="F25" s="2101"/>
      <c r="G25" s="2040"/>
      <c r="H25" s="2040"/>
      <c r="I25" s="2040"/>
      <c r="J25" s="2040"/>
      <c r="K25" s="2050"/>
      <c r="L25" s="2026"/>
      <c r="M25" s="2026"/>
      <c r="N25" s="2081"/>
      <c r="O25" s="2080"/>
      <c r="P25" s="2081"/>
      <c r="Q25" s="2027"/>
      <c r="R25" s="2027"/>
      <c r="S25" s="2027"/>
      <c r="T25" s="2027"/>
      <c r="U25" s="2027"/>
      <c r="V25" s="2027"/>
    </row>
    <row r="26" spans="1:22" ht="18" customHeight="1" thickBot="1">
      <c r="A26" s="2109"/>
      <c r="B26" s="2110" t="s">
        <v>1822</v>
      </c>
      <c r="C26" s="2111"/>
      <c r="D26" s="2112" t="s">
        <v>1823</v>
      </c>
      <c r="E26" s="2113"/>
      <c r="F26" s="2114"/>
      <c r="G26" s="2058"/>
      <c r="H26" s="2058"/>
      <c r="I26" s="2058"/>
      <c r="J26" s="2040"/>
      <c r="K26" s="2050"/>
      <c r="L26" s="2026"/>
      <c r="M26" s="2026"/>
      <c r="N26" s="2081"/>
      <c r="O26" s="2080"/>
      <c r="P26" s="2081"/>
      <c r="Q26" s="2027"/>
      <c r="R26" s="2027"/>
      <c r="S26" s="2027"/>
      <c r="T26" s="2027"/>
      <c r="U26" s="2027"/>
      <c r="V26" s="2027"/>
    </row>
    <row r="27" spans="1:22" ht="18" customHeight="1" thickTop="1">
      <c r="A27" s="3083" t="s">
        <v>1824</v>
      </c>
      <c r="B27" s="2059" t="s">
        <v>1825</v>
      </c>
      <c r="C27" s="2115" t="s">
        <v>3039</v>
      </c>
      <c r="D27" s="2116"/>
      <c r="E27" s="2040"/>
      <c r="F27" s="2040"/>
      <c r="G27" s="2040"/>
      <c r="H27" s="2040"/>
      <c r="I27" s="2040"/>
      <c r="J27" s="2027"/>
      <c r="K27" s="2079"/>
      <c r="L27" s="2080"/>
      <c r="M27" s="2080"/>
      <c r="N27" s="2081"/>
      <c r="O27" s="2080"/>
      <c r="P27" s="2081"/>
      <c r="Q27" s="2027"/>
      <c r="R27" s="2027"/>
      <c r="S27" s="2027"/>
      <c r="T27" s="2027"/>
      <c r="U27" s="2027"/>
      <c r="V27" s="2027"/>
    </row>
    <row r="28" spans="1:22" ht="18" customHeight="1">
      <c r="A28" s="3083"/>
      <c r="B28" s="2033" t="s">
        <v>1826</v>
      </c>
      <c r="C28" s="2117" t="s">
        <v>3040</v>
      </c>
      <c r="D28" s="2118"/>
      <c r="E28" s="2040"/>
      <c r="F28" s="2040"/>
      <c r="G28" s="2040"/>
      <c r="H28" s="2040"/>
      <c r="I28" s="2040"/>
      <c r="J28" s="2027"/>
      <c r="K28" s="2119"/>
      <c r="L28" s="2026"/>
      <c r="M28" s="2026"/>
      <c r="N28" s="2027"/>
      <c r="O28" s="2028"/>
      <c r="P28" s="2027"/>
      <c r="Q28" s="2027"/>
      <c r="R28" s="2027"/>
      <c r="S28" s="2027"/>
      <c r="T28" s="2027"/>
      <c r="U28" s="2027"/>
      <c r="V28" s="2027"/>
    </row>
    <row r="29" spans="1:22" ht="18" customHeight="1">
      <c r="A29" s="3083"/>
      <c r="B29" s="2033" t="s">
        <v>1827</v>
      </c>
      <c r="C29" s="2120" t="s">
        <v>3041</v>
      </c>
      <c r="D29" s="2121"/>
      <c r="E29" s="2040"/>
      <c r="F29" s="2040"/>
      <c r="G29" s="2040"/>
      <c r="H29" s="2040"/>
      <c r="I29" s="2040"/>
      <c r="J29" s="2027"/>
      <c r="K29" s="2119"/>
      <c r="L29" s="2026"/>
      <c r="M29" s="2026"/>
      <c r="N29" s="2027"/>
      <c r="O29" s="2028"/>
      <c r="P29" s="2027"/>
      <c r="Q29" s="2027"/>
      <c r="R29" s="2027"/>
      <c r="S29" s="2027"/>
      <c r="T29" s="2027"/>
      <c r="U29" s="2027"/>
      <c r="V29" s="2027"/>
    </row>
    <row r="30" spans="1:22" ht="18" customHeight="1">
      <c r="A30" s="3084"/>
      <c r="B30" s="2033" t="s">
        <v>1828</v>
      </c>
      <c r="C30" s="3085"/>
      <c r="D30" s="3086"/>
      <c r="E30" s="2040"/>
      <c r="F30" s="2040"/>
      <c r="G30" s="2040"/>
      <c r="H30" s="2040"/>
      <c r="I30" s="2040"/>
      <c r="J30" s="2027"/>
      <c r="K30" s="2119"/>
      <c r="L30" s="2026"/>
      <c r="M30" s="2026"/>
      <c r="N30" s="2027"/>
      <c r="O30" s="2028"/>
      <c r="P30" s="2027"/>
      <c r="Q30" s="2027"/>
      <c r="R30" s="2027"/>
      <c r="S30" s="2027"/>
      <c r="T30" s="2027"/>
      <c r="U30" s="2027"/>
      <c r="V30" s="2027"/>
    </row>
    <row r="31" spans="1:22" ht="18" customHeight="1">
      <c r="A31" s="3087" t="s">
        <v>1829</v>
      </c>
      <c r="B31" s="2122" t="s">
        <v>3042</v>
      </c>
      <c r="C31" s="2123" t="str">
        <f>IF(B31="现房","成新及维护状况正常否",IF(B31="在建","工程状态是否正常",IF(B31="土地","是否闲置","-")))</f>
        <v>成新及维护状况正常否</v>
      </c>
      <c r="D31" s="2124"/>
      <c r="E31" s="2125"/>
      <c r="F31" s="2040"/>
      <c r="G31" s="2040"/>
      <c r="H31" s="2040"/>
      <c r="I31" s="2040"/>
      <c r="J31" s="2040"/>
      <c r="K31" s="2048"/>
      <c r="L31" s="2026"/>
      <c r="M31" s="2026"/>
      <c r="N31" s="2027"/>
      <c r="O31" s="2028"/>
      <c r="P31" s="2027"/>
      <c r="Q31" s="2027"/>
      <c r="R31" s="2027"/>
      <c r="S31" s="2027"/>
      <c r="T31" s="2027"/>
      <c r="U31" s="2027"/>
      <c r="V31" s="2027"/>
    </row>
    <row r="32" spans="1:22" ht="18" customHeight="1">
      <c r="A32" s="3088"/>
      <c r="B32" s="2122"/>
      <c r="C32" s="2123" t="str">
        <f>IF(B32="现房","成新及维护状况是否正常",IF(B32="在建","工程状态是否正常",IF(B32="土地","是否闲置","-")))</f>
        <v>-</v>
      </c>
      <c r="D32" s="2124"/>
      <c r="E32" s="2125"/>
      <c r="F32" s="2040"/>
      <c r="G32" s="2040"/>
      <c r="H32" s="2040"/>
      <c r="I32" s="2040"/>
      <c r="J32" s="2040"/>
      <c r="K32" s="2050"/>
      <c r="L32" s="2026"/>
      <c r="M32" s="2026"/>
      <c r="N32" s="2027"/>
      <c r="O32" s="2028"/>
      <c r="P32" s="2027"/>
      <c r="Q32" s="2027"/>
      <c r="R32" s="2027"/>
      <c r="S32" s="2027"/>
      <c r="T32" s="2027"/>
      <c r="U32" s="2027"/>
      <c r="V32" s="2027"/>
    </row>
    <row r="33" spans="1:22" ht="18" customHeight="1">
      <c r="A33" s="3088"/>
      <c r="B33" s="2126"/>
      <c r="C33" s="2066" t="str">
        <f>IF(B33="现房","成新及维护状况是否正常",IF(B33="在建","工程状态是否正常",IF(B33="土地","是否闲置","-")))</f>
        <v>-</v>
      </c>
      <c r="D33" s="2127"/>
      <c r="E33" s="2128"/>
      <c r="F33" s="2040"/>
      <c r="G33" s="2040"/>
      <c r="H33" s="2040"/>
      <c r="I33" s="2040"/>
      <c r="J33" s="2040"/>
      <c r="K33" s="2050"/>
      <c r="L33" s="2026"/>
      <c r="M33" s="2026"/>
      <c r="N33" s="2027"/>
      <c r="O33" s="2028"/>
      <c r="P33" s="2027"/>
      <c r="Q33" s="2027"/>
      <c r="R33" s="2027"/>
      <c r="S33" s="2027"/>
      <c r="T33" s="2027"/>
      <c r="U33" s="2027"/>
      <c r="V33" s="2027"/>
    </row>
    <row r="34" spans="1:22" ht="18" customHeight="1">
      <c r="A34" s="2033" t="s">
        <v>1830</v>
      </c>
      <c r="B34" s="2129" t="s">
        <v>3045</v>
      </c>
      <c r="C34" s="2129" t="s">
        <v>3046</v>
      </c>
      <c r="D34" s="2129" t="s">
        <v>3047</v>
      </c>
      <c r="E34" s="2129" t="s">
        <v>3048</v>
      </c>
      <c r="F34" s="2129" t="s">
        <v>3049</v>
      </c>
      <c r="G34" s="2129" t="s">
        <v>3050</v>
      </c>
      <c r="H34" s="2129"/>
      <c r="I34" s="2040"/>
      <c r="J34" s="2040"/>
      <c r="K34" s="1793">
        <f>COUNTIF(B34:H34,"——")</f>
        <v>0</v>
      </c>
      <c r="L34" s="2071" t="s">
        <v>1831</v>
      </c>
      <c r="M34" s="2071" t="s">
        <v>1832</v>
      </c>
      <c r="N34" s="2071" t="s">
        <v>1833</v>
      </c>
      <c r="O34" s="2071" t="s">
        <v>1834</v>
      </c>
      <c r="P34" s="2071" t="s">
        <v>1835</v>
      </c>
      <c r="Q34" s="2071" t="s">
        <v>1836</v>
      </c>
      <c r="R34" s="2071" t="s">
        <v>1837</v>
      </c>
      <c r="S34" s="3082" t="s">
        <v>1838</v>
      </c>
      <c r="T34" s="2130" t="str">
        <f>NUMBERSTRING(7-K34,1)&amp;"通"</f>
        <v>七通</v>
      </c>
      <c r="U34" s="2027"/>
      <c r="V34" s="2027"/>
    </row>
    <row r="35" spans="1:22" ht="18" customHeight="1">
      <c r="A35" s="2131"/>
      <c r="B35" s="3089" t="s">
        <v>1839</v>
      </c>
      <c r="C35" s="3089"/>
      <c r="D35" s="3089"/>
      <c r="E35" s="3089"/>
      <c r="F35" s="2132">
        <f>C10</f>
        <v>0</v>
      </c>
      <c r="G35" s="2040"/>
      <c r="H35" s="2040"/>
      <c r="I35" s="2040"/>
      <c r="J35" s="2040"/>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82"/>
      <c r="T35" s="48" t="str">
        <f>IF(T34="一通",L35,IF(T34="二通",M35,IF(T34="三通",N35,IF(T34="四通",O35,IF(T34="五通",P35,IF(T34="六通",Q35,R35))))))</f>
        <v>通路、通电、通讯、通上水、通下水、燃气、</v>
      </c>
      <c r="U35" s="2027"/>
      <c r="V35" s="2027"/>
    </row>
    <row r="36" spans="1:22" ht="18" customHeight="1">
      <c r="A36" s="2133"/>
      <c r="B36" s="2132" t="s">
        <v>1840</v>
      </c>
      <c r="C36" s="2132" t="s">
        <v>1841</v>
      </c>
      <c r="D36" s="2132" t="s">
        <v>1842</v>
      </c>
      <c r="E36" s="2132" t="s">
        <v>1843</v>
      </c>
      <c r="F36" s="2134"/>
      <c r="G36" s="2040"/>
      <c r="H36" s="2040"/>
      <c r="I36" s="2040"/>
      <c r="J36" s="2040"/>
      <c r="K36" s="2050"/>
      <c r="L36" s="2026"/>
      <c r="M36" s="2026"/>
      <c r="N36" s="2027"/>
      <c r="O36" s="2028"/>
      <c r="P36" s="2027"/>
      <c r="Q36" s="2027"/>
      <c r="R36" s="2027"/>
      <c r="S36" s="2027"/>
      <c r="T36" s="2027"/>
      <c r="U36" s="2027"/>
      <c r="V36" s="2027"/>
    </row>
    <row r="37" spans="1:22" ht="18" customHeight="1">
      <c r="A37" s="2135" t="s">
        <v>1844</v>
      </c>
      <c r="B37" s="2947" t="s">
        <v>523</v>
      </c>
      <c r="C37" s="2136"/>
      <c r="D37" s="2136"/>
      <c r="E37" s="2136"/>
      <c r="F37" s="2134"/>
      <c r="G37" s="2040"/>
      <c r="H37" s="2040"/>
      <c r="I37" s="2040"/>
      <c r="J37" s="2040"/>
      <c r="K37" s="2050"/>
      <c r="L37" s="2026"/>
      <c r="M37" s="2026"/>
      <c r="N37" s="2027"/>
      <c r="O37" s="2028"/>
      <c r="P37" s="2027"/>
      <c r="Q37" s="2027"/>
      <c r="R37" s="2027"/>
      <c r="S37" s="2027"/>
      <c r="T37" s="2027"/>
      <c r="U37" s="2027"/>
      <c r="V37" s="2027"/>
    </row>
    <row r="38" spans="1:22" ht="18" customHeight="1" thickBot="1">
      <c r="A38" s="2137" t="s">
        <v>1845</v>
      </c>
      <c r="B38" s="2948" t="s">
        <v>356</v>
      </c>
      <c r="C38" s="2138"/>
      <c r="D38" s="2138"/>
      <c r="E38" s="2138"/>
      <c r="F38" s="2139"/>
      <c r="G38" s="2058"/>
      <c r="H38" s="2058"/>
      <c r="I38" s="2058"/>
      <c r="J38" s="2040"/>
      <c r="K38" s="2050"/>
      <c r="L38" s="2026"/>
      <c r="M38" s="2026"/>
      <c r="N38" s="2027"/>
      <c r="O38" s="2028"/>
      <c r="P38" s="2027"/>
      <c r="Q38" s="2027"/>
      <c r="R38" s="2027"/>
      <c r="S38" s="2027"/>
      <c r="T38" s="2027"/>
      <c r="U38" s="2027"/>
      <c r="V38" s="2027"/>
    </row>
    <row r="39" spans="1:22" s="2144" customFormat="1" ht="18" customHeight="1" thickTop="1" thickBot="1">
      <c r="A39" s="2140" t="s">
        <v>1846</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7"/>
      <c r="B40" s="2027"/>
      <c r="C40" s="2027"/>
      <c r="D40" s="2027"/>
      <c r="E40" s="2027"/>
      <c r="F40" s="2027"/>
      <c r="G40" s="2027"/>
      <c r="H40" s="2027"/>
      <c r="I40" s="2145"/>
      <c r="J40" s="2081"/>
      <c r="K40" s="666"/>
      <c r="L40" s="2080"/>
      <c r="M40" s="2080"/>
      <c r="N40" s="2081"/>
      <c r="O40" s="2080"/>
      <c r="P40" s="2027"/>
      <c r="Q40" s="2027"/>
      <c r="R40" s="2027"/>
      <c r="S40" s="2027"/>
      <c r="T40" s="2027"/>
      <c r="U40" s="2027"/>
      <c r="V40" s="2027"/>
    </row>
    <row r="41" spans="1:22" ht="18" customHeight="1">
      <c r="A41" s="8" t="s">
        <v>1847</v>
      </c>
      <c r="B41" s="2146"/>
      <c r="C41" s="2147"/>
      <c r="D41" s="2027"/>
      <c r="E41" s="2027"/>
      <c r="F41" s="2027"/>
      <c r="G41" s="2027"/>
      <c r="H41" s="2027"/>
      <c r="I41" s="2028"/>
      <c r="J41" s="2027"/>
      <c r="K41" s="2119"/>
      <c r="L41" s="2026"/>
      <c r="M41" s="2026"/>
      <c r="N41" s="2027"/>
      <c r="O41" s="2028"/>
      <c r="P41" s="2027"/>
      <c r="Q41" s="2027"/>
      <c r="R41" s="2027"/>
      <c r="S41" s="2027"/>
      <c r="T41" s="2027"/>
      <c r="U41" s="2027"/>
      <c r="V41" s="2027"/>
    </row>
    <row r="42" spans="1:22" ht="18" customHeight="1">
      <c r="A42" s="2071" t="s">
        <v>1848</v>
      </c>
      <c r="B42" s="1793" t="s">
        <v>1849</v>
      </c>
      <c r="C42" s="1793" t="s">
        <v>1850</v>
      </c>
      <c r="D42" s="1793" t="s">
        <v>1851</v>
      </c>
      <c r="E42" s="1793" t="s">
        <v>1852</v>
      </c>
      <c r="F42" s="1793" t="s">
        <v>1853</v>
      </c>
      <c r="G42" s="1793" t="s">
        <v>1854</v>
      </c>
      <c r="H42" s="1793" t="s">
        <v>1855</v>
      </c>
      <c r="I42" s="1793" t="s">
        <v>1856</v>
      </c>
      <c r="J42" s="2148" t="s">
        <v>1857</v>
      </c>
      <c r="K42" s="2072" t="s">
        <v>1858</v>
      </c>
      <c r="L42" s="2072" t="s">
        <v>1859</v>
      </c>
      <c r="M42" s="2072" t="s">
        <v>1860</v>
      </c>
      <c r="N42" s="1793" t="s">
        <v>1861</v>
      </c>
      <c r="O42" s="1793" t="s">
        <v>1862</v>
      </c>
      <c r="P42" s="1793" t="s">
        <v>1863</v>
      </c>
      <c r="Q42" s="2071" t="s">
        <v>1864</v>
      </c>
      <c r="R42" s="2071" t="s">
        <v>1865</v>
      </c>
      <c r="S42" s="2027"/>
      <c r="T42" s="2027"/>
      <c r="U42" s="2027"/>
      <c r="V42" s="2027"/>
    </row>
    <row r="43" spans="1:22" s="2153" customFormat="1" ht="18" customHeight="1">
      <c r="A43" s="2149"/>
      <c r="B43" s="1271"/>
      <c r="C43" s="1271"/>
      <c r="D43" s="1271"/>
      <c r="E43" s="1271"/>
      <c r="F43" s="1271"/>
      <c r="G43" s="1271"/>
      <c r="H43" s="9"/>
      <c r="I43" s="9"/>
      <c r="J43" s="2150"/>
      <c r="K43" s="2151"/>
      <c r="L43" s="2151"/>
      <c r="M43" s="9"/>
      <c r="N43" s="1271"/>
      <c r="O43" s="9"/>
      <c r="P43" s="1271"/>
      <c r="Q43" s="1271"/>
      <c r="R43" s="1271"/>
      <c r="S43" s="2152"/>
      <c r="T43" s="2152"/>
      <c r="U43" s="2152"/>
      <c r="V43" s="2152"/>
    </row>
    <row r="44" spans="1:22" s="2153" customFormat="1" ht="18" customHeight="1">
      <c r="A44" s="2149"/>
      <c r="B44" s="2149"/>
      <c r="C44" s="1271"/>
      <c r="D44" s="1271"/>
      <c r="E44" s="1271"/>
      <c r="F44" s="1271"/>
      <c r="G44" s="1271"/>
      <c r="H44" s="9"/>
      <c r="I44" s="9"/>
      <c r="J44" s="2150"/>
      <c r="K44" s="2151"/>
      <c r="L44" s="2151"/>
      <c r="M44" s="9"/>
      <c r="N44" s="1271"/>
      <c r="O44" s="9"/>
      <c r="P44" s="1271"/>
      <c r="Q44" s="1271"/>
      <c r="R44" s="1271"/>
      <c r="S44" s="2152"/>
      <c r="T44" s="2152"/>
      <c r="U44" s="2152"/>
      <c r="V44" s="2152"/>
    </row>
    <row r="45" spans="1:22" s="2153" customFormat="1" ht="18" customHeight="1">
      <c r="A45" s="2149"/>
      <c r="B45" s="2149"/>
      <c r="C45" s="1271"/>
      <c r="D45" s="1271"/>
      <c r="E45" s="1271"/>
      <c r="F45" s="1271"/>
      <c r="G45" s="1271"/>
      <c r="H45" s="9"/>
      <c r="I45" s="9"/>
      <c r="J45" s="2150"/>
      <c r="K45" s="2151"/>
      <c r="L45" s="2151"/>
      <c r="M45" s="9"/>
      <c r="N45" s="1271"/>
      <c r="O45" s="9"/>
      <c r="P45" s="1271"/>
      <c r="Q45" s="1271"/>
      <c r="R45" s="1271"/>
      <c r="S45" s="2152"/>
      <c r="T45" s="2152"/>
      <c r="U45" s="2152"/>
      <c r="V45" s="2152"/>
    </row>
    <row r="46" spans="1:22" s="2153" customFormat="1" ht="18" customHeight="1">
      <c r="A46" s="2149"/>
      <c r="B46" s="2149"/>
      <c r="C46" s="1271"/>
      <c r="D46" s="1271"/>
      <c r="E46" s="1271"/>
      <c r="F46" s="1271"/>
      <c r="G46" s="1271"/>
      <c r="H46" s="9"/>
      <c r="I46" s="9"/>
      <c r="J46" s="2150"/>
      <c r="K46" s="2151"/>
      <c r="L46" s="2151"/>
      <c r="M46" s="9"/>
      <c r="N46" s="1271"/>
      <c r="O46" s="9"/>
      <c r="P46" s="1271"/>
      <c r="Q46" s="1271"/>
      <c r="R46" s="1271"/>
      <c r="S46" s="2152"/>
      <c r="T46" s="2152"/>
      <c r="U46" s="2152"/>
      <c r="V46" s="2152"/>
    </row>
    <row r="47" spans="1:22" s="2153" customFormat="1" ht="18" customHeight="1">
      <c r="A47" s="2149"/>
      <c r="B47" s="2149"/>
      <c r="C47" s="1271"/>
      <c r="D47" s="1271"/>
      <c r="E47" s="1271"/>
      <c r="F47" s="1271"/>
      <c r="G47" s="1271"/>
      <c r="H47" s="9"/>
      <c r="I47" s="9"/>
      <c r="J47" s="2150"/>
      <c r="K47" s="2151"/>
      <c r="L47" s="2151"/>
      <c r="M47" s="9"/>
      <c r="N47" s="1271"/>
      <c r="O47" s="9"/>
      <c r="P47" s="1271"/>
      <c r="Q47" s="1271"/>
      <c r="R47" s="1271"/>
      <c r="S47" s="2152"/>
      <c r="T47" s="2152"/>
      <c r="U47" s="2152"/>
      <c r="V47" s="2152"/>
    </row>
    <row r="48" spans="1:22" s="2153" customFormat="1" ht="18" customHeight="1">
      <c r="A48" s="2149"/>
      <c r="B48" s="2149"/>
      <c r="C48" s="1271"/>
      <c r="D48" s="1271"/>
      <c r="E48" s="1271"/>
      <c r="F48" s="1271"/>
      <c r="G48" s="1271"/>
      <c r="H48" s="9"/>
      <c r="I48" s="9"/>
      <c r="J48" s="2150"/>
      <c r="K48" s="2151"/>
      <c r="L48" s="2151"/>
      <c r="M48" s="9"/>
      <c r="N48" s="1271"/>
      <c r="O48" s="9"/>
      <c r="P48" s="1271"/>
      <c r="Q48" s="1271"/>
      <c r="R48" s="1271"/>
      <c r="S48" s="2152"/>
      <c r="T48" s="2152"/>
      <c r="U48" s="2152"/>
      <c r="V48" s="2152"/>
    </row>
    <row r="49" spans="1:22" s="2153" customFormat="1" ht="18" customHeight="1">
      <c r="A49" s="2149"/>
      <c r="B49" s="2149"/>
      <c r="C49" s="1271"/>
      <c r="D49" s="1271"/>
      <c r="E49" s="1271"/>
      <c r="F49" s="1271"/>
      <c r="G49" s="1271"/>
      <c r="H49" s="9"/>
      <c r="I49" s="9"/>
      <c r="J49" s="2150"/>
      <c r="K49" s="2151"/>
      <c r="L49" s="2151"/>
      <c r="M49" s="9"/>
      <c r="N49" s="1271"/>
      <c r="O49" s="9"/>
      <c r="P49" s="1271"/>
      <c r="Q49" s="1271"/>
      <c r="R49" s="1271"/>
      <c r="S49" s="2152"/>
      <c r="T49" s="2152"/>
      <c r="U49" s="2152"/>
      <c r="V49" s="2152"/>
    </row>
    <row r="50" spans="1:22" s="2153" customFormat="1" ht="18" customHeight="1">
      <c r="A50" s="2149"/>
      <c r="B50" s="2149"/>
      <c r="C50" s="1271"/>
      <c r="D50" s="1271"/>
      <c r="E50" s="1271"/>
      <c r="F50" s="1271"/>
      <c r="G50" s="1271"/>
      <c r="H50" s="9"/>
      <c r="I50" s="9"/>
      <c r="J50" s="2150"/>
      <c r="K50" s="2151"/>
      <c r="L50" s="2151"/>
      <c r="M50" s="9"/>
      <c r="N50" s="1271"/>
      <c r="O50" s="9"/>
      <c r="P50" s="1271"/>
      <c r="Q50" s="1271"/>
      <c r="R50" s="1271"/>
      <c r="S50" s="2152"/>
      <c r="T50" s="2152"/>
      <c r="U50" s="2152"/>
      <c r="V50" s="2152"/>
    </row>
    <row r="51" spans="1:22" s="2153" customFormat="1" ht="18" customHeight="1">
      <c r="A51" s="2149"/>
      <c r="B51" s="2149"/>
      <c r="C51" s="1271"/>
      <c r="D51" s="1271"/>
      <c r="E51" s="1271"/>
      <c r="F51" s="1271"/>
      <c r="G51" s="1271"/>
      <c r="H51" s="9"/>
      <c r="I51" s="9"/>
      <c r="J51" s="2150"/>
      <c r="K51" s="2151"/>
      <c r="L51" s="2151"/>
      <c r="M51" s="9"/>
      <c r="N51" s="1271"/>
      <c r="O51" s="9"/>
      <c r="P51" s="1271"/>
      <c r="Q51" s="1271"/>
      <c r="R51" s="1271"/>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28" activePane="bottomRight" state="frozen"/>
      <selection activeCell="C50" sqref="C50"/>
      <selection pane="topRight" activeCell="C50" sqref="C50"/>
      <selection pane="bottomLeft" activeCell="C50" sqref="C50"/>
      <selection pane="bottomRight" activeCell="I34" sqref="I34"/>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7"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1866</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9" t="s">
        <v>1867</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3" customFormat="1" ht="24">
      <c r="A2" s="11" t="s">
        <v>1868</v>
      </c>
      <c r="B2" s="11" t="s">
        <v>1869</v>
      </c>
      <c r="C2" s="11" t="s">
        <v>1870</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8" t="s">
        <v>1871</v>
      </c>
      <c r="AZ2" s="1269" t="s">
        <v>1872</v>
      </c>
      <c r="BA2" s="11" t="s">
        <v>1873</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1606.66</v>
      </c>
      <c r="B3" s="14">
        <f>IF(C3="否",G5-AT5,G5)</f>
        <v>4163.47</v>
      </c>
      <c r="C3" s="2164" t="s">
        <v>1874</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0"/>
      <c r="AZ3" s="1271"/>
      <c r="BA3" s="1272"/>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1875</v>
      </c>
      <c r="B5" s="1801"/>
      <c r="C5" s="1801"/>
      <c r="D5" s="1804"/>
      <c r="E5" s="16" t="s">
        <v>1</v>
      </c>
      <c r="F5" s="16">
        <f>SUM(F13:F587)</f>
        <v>0</v>
      </c>
      <c r="G5" s="16">
        <f>SUM(G13:G587)</f>
        <v>4163.47</v>
      </c>
      <c r="H5" s="16">
        <f t="shared" ref="H5:AT5" si="0">SUM(H13:H656)</f>
        <v>4163.47</v>
      </c>
      <c r="I5" s="16">
        <f t="shared" si="0"/>
        <v>4163.47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1875</v>
      </c>
      <c r="AW5" s="1801"/>
      <c r="AX5" s="1801"/>
      <c r="AY5" s="17" t="s">
        <v>3</v>
      </c>
      <c r="AZ5" s="18">
        <f t="shared" ref="AZ5:BT5" si="1">SUM(AZ13:AZ656)</f>
        <v>4163.47</v>
      </c>
      <c r="BA5" s="18">
        <f t="shared" si="1"/>
        <v>4163.47</v>
      </c>
      <c r="BB5" s="18">
        <f t="shared" si="1"/>
        <v>4163.47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1876</v>
      </c>
      <c r="B6" s="2170"/>
      <c r="C6" s="2170"/>
      <c r="D6" s="2171"/>
      <c r="E6" s="16">
        <f>H6+AC6+AT6</f>
        <v>1606.66</v>
      </c>
      <c r="F6" s="16" t="s">
        <v>1</v>
      </c>
      <c r="G6" s="16" t="s">
        <v>2</v>
      </c>
      <c r="H6" s="20">
        <f>SUMIF(I$12:AB$12,"总值",I6:AB6)</f>
        <v>1606.66</v>
      </c>
      <c r="I6" s="16">
        <f t="shared" ref="I6:AB6" si="2">ROUND($A$3*I5/$B$3,2)</f>
        <v>1606.66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1876</v>
      </c>
      <c r="AW6" s="2170"/>
      <c r="AX6" s="2170"/>
      <c r="AY6" s="21">
        <f>IF(AY3&gt;0,AY3,ROUND($A$3*AZ5/$B$3,2))</f>
        <v>1606.66</v>
      </c>
      <c r="AZ6" s="16" t="s">
        <v>3</v>
      </c>
      <c r="BA6" s="16">
        <f>ROUND($AY$6*BA5/$AZ$5,2)</f>
        <v>1606.66</v>
      </c>
      <c r="BB6" s="16">
        <f>ROUND($AY$6*BB5/$AZ$5,2)</f>
        <v>1606.66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1877</v>
      </c>
      <c r="B7" s="2105" t="s">
        <v>1878</v>
      </c>
      <c r="C7" s="2105" t="s">
        <v>1879</v>
      </c>
      <c r="D7" s="2105" t="s">
        <v>1880</v>
      </c>
      <c r="E7" s="2105" t="s">
        <v>1881</v>
      </c>
      <c r="F7" s="2105" t="s">
        <v>1882</v>
      </c>
      <c r="G7" s="2174" t="s">
        <v>1883</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4"/>
      <c r="AU7" s="2175" t="s">
        <v>1884</v>
      </c>
      <c r="AV7" s="23" t="s">
        <v>1885</v>
      </c>
      <c r="AW7" s="2162" t="s">
        <v>1886</v>
      </c>
      <c r="AX7" s="23" t="s">
        <v>1879</v>
      </c>
      <c r="AY7" s="1801" t="s">
        <v>1887</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1888</v>
      </c>
      <c r="H8" s="2180" t="s">
        <v>1889</v>
      </c>
      <c r="I8" s="2181"/>
      <c r="J8" s="1816"/>
      <c r="K8" s="1816"/>
      <c r="L8" s="1816"/>
      <c r="M8" s="1816"/>
      <c r="N8" s="1816"/>
      <c r="O8" s="1816"/>
      <c r="P8" s="1816"/>
      <c r="Q8" s="1816"/>
      <c r="R8" s="1816"/>
      <c r="S8" s="1816"/>
      <c r="T8" s="1816"/>
      <c r="U8" s="1816"/>
      <c r="V8" s="2182"/>
      <c r="W8" s="1816"/>
      <c r="X8" s="1816"/>
      <c r="Y8" s="1816"/>
      <c r="Z8" s="1816"/>
      <c r="AA8" s="2182"/>
      <c r="AB8" s="2183"/>
      <c r="AC8" s="983" t="s">
        <v>1890</v>
      </c>
      <c r="AD8" s="2184"/>
      <c r="AE8" s="2176"/>
      <c r="AF8" s="1816"/>
      <c r="AG8" s="1816"/>
      <c r="AH8" s="1816"/>
      <c r="AI8" s="1816"/>
      <c r="AJ8" s="1816"/>
      <c r="AK8" s="1816"/>
      <c r="AL8" s="1816"/>
      <c r="AM8" s="1816"/>
      <c r="AN8" s="1816"/>
      <c r="AO8" s="1816"/>
      <c r="AP8" s="1816"/>
      <c r="AQ8" s="1816"/>
      <c r="AR8" s="1816"/>
      <c r="AS8" s="1816"/>
      <c r="AT8" s="1291" t="s">
        <v>1891</v>
      </c>
      <c r="AU8" s="2178" t="s">
        <v>1892</v>
      </c>
      <c r="AV8" s="1291"/>
      <c r="AW8" s="2161"/>
      <c r="AX8" s="1291"/>
      <c r="AY8" s="2162" t="s">
        <v>1893</v>
      </c>
      <c r="AZ8" s="1815" t="s">
        <v>1894</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5" customFormat="1" ht="12.75">
      <c r="A9" s="2178"/>
      <c r="B9" s="2178"/>
      <c r="C9" s="2178"/>
      <c r="D9" s="2178"/>
      <c r="E9" s="2178"/>
      <c r="F9" s="2178"/>
      <c r="G9" s="1291"/>
      <c r="H9" s="2186" t="s">
        <v>1895</v>
      </c>
      <c r="I9" s="2976" t="s">
        <v>3052</v>
      </c>
      <c r="J9" s="983"/>
      <c r="K9" s="2187"/>
      <c r="L9" s="983"/>
      <c r="M9" s="2187"/>
      <c r="N9" s="983"/>
      <c r="O9" s="2187"/>
      <c r="P9" s="983"/>
      <c r="Q9" s="2187"/>
      <c r="R9" s="983"/>
      <c r="S9" s="2187"/>
      <c r="T9" s="983"/>
      <c r="U9" s="2187"/>
      <c r="V9" s="983"/>
      <c r="W9" s="2187"/>
      <c r="X9" s="2188"/>
      <c r="Y9" s="2187"/>
      <c r="Z9" s="983"/>
      <c r="AA9" s="2187"/>
      <c r="AB9" s="983"/>
      <c r="AC9" s="2179" t="s">
        <v>1895</v>
      </c>
      <c r="AD9" s="15" t="s">
        <v>1896</v>
      </c>
      <c r="AE9" s="1297"/>
      <c r="AF9" s="15" t="s">
        <v>1897</v>
      </c>
      <c r="AG9" s="1297"/>
      <c r="AH9" s="15" t="s">
        <v>1896</v>
      </c>
      <c r="AI9" s="1297"/>
      <c r="AJ9" s="15" t="s">
        <v>1897</v>
      </c>
      <c r="AK9" s="1297"/>
      <c r="AL9" s="15" t="s">
        <v>1896</v>
      </c>
      <c r="AM9" s="1297"/>
      <c r="AN9" s="15" t="s">
        <v>1897</v>
      </c>
      <c r="AO9" s="1297"/>
      <c r="AP9" s="15" t="s">
        <v>1896</v>
      </c>
      <c r="AQ9" s="1297"/>
      <c r="AR9" s="15" t="s">
        <v>1897</v>
      </c>
      <c r="AS9" s="2189"/>
      <c r="AT9" s="2178"/>
      <c r="AU9" s="2178" t="s">
        <v>1898</v>
      </c>
      <c r="AV9" s="1291"/>
      <c r="AW9" s="2161"/>
      <c r="AX9" s="1291"/>
      <c r="AY9" s="28"/>
      <c r="AZ9" s="28" t="s">
        <v>1888</v>
      </c>
      <c r="BA9" s="2190" t="s">
        <v>1899</v>
      </c>
      <c r="BB9" s="2191"/>
      <c r="BC9" s="1337"/>
      <c r="BD9" s="1337"/>
      <c r="BE9" s="1337"/>
      <c r="BF9" s="1337"/>
      <c r="BG9" s="1337"/>
      <c r="BH9" s="1337"/>
      <c r="BI9" s="1337"/>
      <c r="BJ9" s="1337"/>
      <c r="BK9" s="2192"/>
      <c r="BL9" s="15" t="s">
        <v>1900</v>
      </c>
      <c r="BM9" s="1816"/>
      <c r="BN9" s="2181"/>
      <c r="BO9" s="1816"/>
      <c r="BP9" s="1816"/>
      <c r="BQ9" s="1816"/>
      <c r="BR9" s="1816"/>
      <c r="BS9" s="1816"/>
      <c r="BT9" s="26"/>
    </row>
    <row r="10" spans="1:72" s="2185" customFormat="1" ht="12.75">
      <c r="A10" s="2178"/>
      <c r="B10" s="2178"/>
      <c r="C10" s="2178"/>
      <c r="D10" s="2178"/>
      <c r="E10" s="2178"/>
      <c r="F10" s="2178"/>
      <c r="G10" s="1291"/>
      <c r="H10" s="28"/>
      <c r="I10" s="2976" t="s">
        <v>1377</v>
      </c>
      <c r="J10" s="983"/>
      <c r="K10" s="2193"/>
      <c r="L10" s="983"/>
      <c r="M10" s="2193"/>
      <c r="N10" s="983"/>
      <c r="O10" s="2193"/>
      <c r="P10" s="983"/>
      <c r="Q10" s="2193"/>
      <c r="R10" s="983"/>
      <c r="S10" s="2193"/>
      <c r="T10" s="983"/>
      <c r="U10" s="2193"/>
      <c r="V10" s="983"/>
      <c r="W10" s="2193"/>
      <c r="X10" s="983"/>
      <c r="Y10" s="2193"/>
      <c r="Z10" s="983"/>
      <c r="AA10" s="2193"/>
      <c r="AB10" s="983"/>
      <c r="AC10" s="1291"/>
      <c r="AD10" s="15" t="s">
        <v>1901</v>
      </c>
      <c r="AE10" s="2194"/>
      <c r="AF10" s="15" t="s">
        <v>1901</v>
      </c>
      <c r="AG10" s="2194"/>
      <c r="AH10" s="15" t="s">
        <v>1902</v>
      </c>
      <c r="AI10" s="2194"/>
      <c r="AJ10" s="15" t="s">
        <v>1902</v>
      </c>
      <c r="AK10" s="2194"/>
      <c r="AL10" s="15" t="s">
        <v>1903</v>
      </c>
      <c r="AM10" s="1297"/>
      <c r="AN10" s="15" t="s">
        <v>1903</v>
      </c>
      <c r="AO10" s="1297"/>
      <c r="AP10" s="15" t="s">
        <v>1904</v>
      </c>
      <c r="AQ10" s="1297"/>
      <c r="AR10" s="15" t="s">
        <v>1904</v>
      </c>
      <c r="AS10" s="1297"/>
      <c r="AT10" s="2178"/>
      <c r="AU10" s="2178"/>
      <c r="AV10" s="1291"/>
      <c r="AW10" s="2161"/>
      <c r="AX10" s="1291"/>
      <c r="AY10" s="28"/>
      <c r="AZ10" s="28"/>
      <c r="BA10" s="2195" t="s">
        <v>1895</v>
      </c>
      <c r="BB10" s="2196" t="str">
        <f>I9</f>
        <v>地上</v>
      </c>
      <c r="BC10" s="29">
        <f>K9</f>
        <v>0</v>
      </c>
      <c r="BD10" s="29">
        <f>M9</f>
        <v>0</v>
      </c>
      <c r="BE10" s="29">
        <f>O9</f>
        <v>0</v>
      </c>
      <c r="BF10" s="29">
        <f>Q9</f>
        <v>0</v>
      </c>
      <c r="BG10" s="29">
        <f>S9</f>
        <v>0</v>
      </c>
      <c r="BH10" s="29">
        <f>U9</f>
        <v>0</v>
      </c>
      <c r="BI10" s="29">
        <f>W9</f>
        <v>0</v>
      </c>
      <c r="BJ10" s="29">
        <f>Y9</f>
        <v>0</v>
      </c>
      <c r="BK10" s="29">
        <f>AA9</f>
        <v>0</v>
      </c>
      <c r="BL10" s="25" t="s">
        <v>1895</v>
      </c>
      <c r="BM10" s="1815" t="str">
        <f>AD9</f>
        <v>地上</v>
      </c>
      <c r="BN10" s="29" t="str">
        <f>AF9</f>
        <v>地下</v>
      </c>
      <c r="BO10" s="1815" t="str">
        <f>AH9</f>
        <v>地上</v>
      </c>
      <c r="BP10" s="29" t="str">
        <f>AJ9</f>
        <v>地下</v>
      </c>
      <c r="BQ10" s="1815" t="str">
        <f>AL9</f>
        <v>地上</v>
      </c>
      <c r="BR10" s="29" t="str">
        <f>AN9</f>
        <v>地下</v>
      </c>
      <c r="BS10" s="1815" t="str">
        <f>AP9</f>
        <v>地上</v>
      </c>
      <c r="BT10" s="2197" t="str">
        <f>AR9</f>
        <v>地下</v>
      </c>
    </row>
    <row r="11" spans="1:72" s="2185" customFormat="1" ht="12.75">
      <c r="A11" s="2178"/>
      <c r="B11" s="2178"/>
      <c r="C11" s="2178"/>
      <c r="D11" s="2178"/>
      <c r="E11" s="2178"/>
      <c r="F11" s="2178"/>
      <c r="G11" s="1291"/>
      <c r="H11" s="2195"/>
      <c r="I11" s="2977" t="s">
        <v>3053</v>
      </c>
      <c r="J11" s="2199"/>
      <c r="K11" s="2198"/>
      <c r="L11" s="2199"/>
      <c r="M11" s="2198"/>
      <c r="N11" s="2199"/>
      <c r="O11" s="2198"/>
      <c r="P11" s="2199"/>
      <c r="Q11" s="2198"/>
      <c r="R11" s="2199"/>
      <c r="S11" s="2198"/>
      <c r="T11" s="2199"/>
      <c r="U11" s="2198"/>
      <c r="V11" s="2199"/>
      <c r="W11" s="2198"/>
      <c r="X11" s="2199"/>
      <c r="Y11" s="2198"/>
      <c r="Z11" s="2199"/>
      <c r="AA11" s="2198"/>
      <c r="AB11" s="2199"/>
      <c r="AC11" s="1291"/>
      <c r="AD11" s="2200" t="s">
        <v>1905</v>
      </c>
      <c r="AE11" s="1817"/>
      <c r="AF11" s="2200" t="s">
        <v>1905</v>
      </c>
      <c r="AG11" s="1817"/>
      <c r="AH11" s="2200" t="s">
        <v>1906</v>
      </c>
      <c r="AI11" s="2201"/>
      <c r="AJ11" s="2200" t="s">
        <v>1906</v>
      </c>
      <c r="AK11" s="1817"/>
      <c r="AL11" s="1815"/>
      <c r="AM11" s="1817"/>
      <c r="AN11" s="1815"/>
      <c r="AO11" s="1817"/>
      <c r="AP11" s="1815"/>
      <c r="AQ11" s="1817"/>
      <c r="AR11" s="1815"/>
      <c r="AS11" s="1817"/>
      <c r="AT11" s="2161"/>
      <c r="AU11" s="2178"/>
      <c r="AV11" s="1291"/>
      <c r="AW11" s="2161"/>
      <c r="AX11" s="1291"/>
      <c r="AY11" s="28"/>
      <c r="AZ11" s="28"/>
      <c r="BA11" s="28"/>
      <c r="BB11" s="2183" t="str">
        <f>I10</f>
        <v>商业</v>
      </c>
      <c r="BC11" s="2183">
        <f>K10</f>
        <v>0</v>
      </c>
      <c r="BD11" s="2183">
        <f>M10</f>
        <v>0</v>
      </c>
      <c r="BE11" s="2183">
        <f>O10</f>
        <v>0</v>
      </c>
      <c r="BF11" s="2183">
        <f>Q10</f>
        <v>0</v>
      </c>
      <c r="BG11" s="2183">
        <f>S10</f>
        <v>0</v>
      </c>
      <c r="BH11" s="2183">
        <f>U10</f>
        <v>0</v>
      </c>
      <c r="BI11" s="2183">
        <f>W10</f>
        <v>0</v>
      </c>
      <c r="BJ11" s="2183">
        <f>Y10</f>
        <v>0</v>
      </c>
      <c r="BK11" s="2183">
        <f>AA10</f>
        <v>0</v>
      </c>
      <c r="BL11" s="1291"/>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4"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0" t="s">
        <v>1908</v>
      </c>
      <c r="W12" s="11" t="s">
        <v>1907</v>
      </c>
      <c r="X12" s="11" t="s">
        <v>1908</v>
      </c>
      <c r="Y12" s="11" t="s">
        <v>1907</v>
      </c>
      <c r="Z12" s="11" t="s">
        <v>1908</v>
      </c>
      <c r="AA12" s="11" t="s">
        <v>1907</v>
      </c>
      <c r="AB12" s="11" t="s">
        <v>1908</v>
      </c>
      <c r="AC12" s="2205"/>
      <c r="AD12" s="1804"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3" t="s">
        <v>1908</v>
      </c>
      <c r="AT12" s="2206"/>
      <c r="AU12" s="2203"/>
      <c r="AV12" s="31"/>
      <c r="AW12" s="2162"/>
      <c r="AX12" s="31"/>
      <c r="AY12" s="2207"/>
      <c r="AZ12" s="28"/>
      <c r="BA12" s="2195"/>
      <c r="BB12" s="24" t="str">
        <f>I11</f>
        <v>底商</v>
      </c>
      <c r="BC12" s="2208">
        <f>K11</f>
        <v>0</v>
      </c>
      <c r="BD12" s="2208">
        <f>M11</f>
        <v>0</v>
      </c>
      <c r="BE12" s="2183">
        <f>O11</f>
        <v>0</v>
      </c>
      <c r="BF12" s="2183">
        <f>Q11</f>
        <v>0</v>
      </c>
      <c r="BG12" s="2183">
        <f>S11</f>
        <v>0</v>
      </c>
      <c r="BH12" s="2183">
        <f>U11</f>
        <v>0</v>
      </c>
      <c r="BI12" s="2183">
        <f>W11</f>
        <v>0</v>
      </c>
      <c r="BJ12" s="2183">
        <f>Y11</f>
        <v>0</v>
      </c>
      <c r="BK12" s="2183">
        <f>AA11</f>
        <v>0</v>
      </c>
      <c r="BL12" s="1291"/>
      <c r="BM12" s="1815" t="str">
        <f>AD11</f>
        <v>（住宅）</v>
      </c>
      <c r="BN12" s="1815" t="str">
        <f>AF11</f>
        <v>（住宅）</v>
      </c>
      <c r="BO12" s="24" t="str">
        <f>AH11</f>
        <v>（住宅、计出让金）</v>
      </c>
      <c r="BP12" s="24" t="str">
        <f>AJ11</f>
        <v>（住宅、计出让金）</v>
      </c>
      <c r="BQ12" s="24">
        <f>AL11</f>
        <v>0</v>
      </c>
      <c r="BR12" s="24">
        <f>AN11</f>
        <v>0</v>
      </c>
      <c r="BS12" s="25">
        <f>AP11</f>
        <v>0</v>
      </c>
      <c r="BT12" s="2202">
        <f>AR11</f>
        <v>0</v>
      </c>
    </row>
    <row r="13" spans="1:72" s="2163" customFormat="1">
      <c r="A13" s="1271" t="s">
        <v>3072</v>
      </c>
      <c r="B13" s="1271"/>
      <c r="C13" s="2950" t="s">
        <v>3128</v>
      </c>
      <c r="D13" s="2949" t="s">
        <v>3037</v>
      </c>
      <c r="E13" s="16">
        <f>IF($C$3="是",ROUND($A$3*G13/$B$3,2),ROUND($A$3*(G13-AT13)/$B$3,2))</f>
        <v>83.85</v>
      </c>
      <c r="F13" s="32"/>
      <c r="G13" s="33">
        <f>H13+AC13+AT13</f>
        <v>217.28</v>
      </c>
      <c r="H13" s="20">
        <f>SUMIF(I$12:AB$12,"总值",I13:AB13)</f>
        <v>217.28</v>
      </c>
      <c r="I13" s="40">
        <v>217.28</v>
      </c>
      <c r="J13" s="2209"/>
      <c r="K13" s="2209"/>
      <c r="L13" s="2209"/>
      <c r="M13" s="2209"/>
      <c r="N13" s="2209"/>
      <c r="O13" s="2209"/>
      <c r="P13" s="2209"/>
      <c r="Q13" s="2209"/>
      <c r="R13" s="2209"/>
      <c r="S13" s="2209"/>
      <c r="T13" s="2209"/>
      <c r="U13" s="2209"/>
      <c r="V13" s="2209"/>
      <c r="W13" s="2209"/>
      <c r="X13" s="2209"/>
      <c r="Y13" s="2209"/>
      <c r="Z13" s="2209"/>
      <c r="AA13" s="2209"/>
      <c r="AB13" s="2209"/>
      <c r="AC13" s="16">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t="str">
        <f t="shared" ref="AV13:AX17" si="6">A13</f>
        <v>1-2</v>
      </c>
      <c r="AW13" s="11">
        <f t="shared" si="6"/>
        <v>0</v>
      </c>
      <c r="AX13" s="11" t="str">
        <f t="shared" si="6"/>
        <v>1-1</v>
      </c>
      <c r="AY13" s="1804">
        <f>ROUND($AY$6*AZ13/$AZ$5,2)</f>
        <v>83.85</v>
      </c>
      <c r="AZ13" s="16">
        <f>BA13+BL13</f>
        <v>217.28</v>
      </c>
      <c r="BA13" s="16">
        <f>SUM(BB13:BK13)</f>
        <v>217.28</v>
      </c>
      <c r="BB13" s="16">
        <f>IF($D13="是",I13-J13,0)</f>
        <v>217.28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c r="A14" s="1271" t="s">
        <v>3072</v>
      </c>
      <c r="B14" s="1271"/>
      <c r="C14" s="2950" t="s">
        <v>3141</v>
      </c>
      <c r="D14" s="2949" t="s">
        <v>3037</v>
      </c>
      <c r="E14" s="16">
        <f>IF($C$3="是",ROUND($A$3*G14/$B$3,2),ROUND($A$3*(G14-AT14)/$B$3,2))</f>
        <v>80.61</v>
      </c>
      <c r="F14" s="32"/>
      <c r="G14" s="33">
        <f>H14+AC14+AT14</f>
        <v>208.88</v>
      </c>
      <c r="H14" s="20">
        <f>SUMIF(I$12:AB$12,"总值",I14:AB14)</f>
        <v>208.88</v>
      </c>
      <c r="I14" s="40">
        <v>208.88</v>
      </c>
      <c r="J14" s="2209"/>
      <c r="K14" s="2209"/>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t="str">
        <f t="shared" si="6"/>
        <v>1-2</v>
      </c>
      <c r="AW14" s="11">
        <f t="shared" si="6"/>
        <v>0</v>
      </c>
      <c r="AX14" s="11" t="str">
        <f t="shared" si="6"/>
        <v>1-2</v>
      </c>
      <c r="AY14" s="1804">
        <f>ROUND($AY$6*AZ14/$AZ$5,2)</f>
        <v>80.61</v>
      </c>
      <c r="AZ14" s="16">
        <f>BA14+BL14</f>
        <v>208.88</v>
      </c>
      <c r="BA14" s="16">
        <f>SUM(BB14:BK14)</f>
        <v>208.88</v>
      </c>
      <c r="BB14" s="16">
        <f>IF($D14="是",I14-J14,0)</f>
        <v>208.88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c r="A15" s="1271">
        <v>1</v>
      </c>
      <c r="B15" s="1271"/>
      <c r="C15" s="2950" t="s">
        <v>3142</v>
      </c>
      <c r="D15" s="2949" t="s">
        <v>3037</v>
      </c>
      <c r="E15" s="16">
        <f>IF($C$3="是",ROUND($A$3*G15/$B$3,2),ROUND($A$3*(G15-AT15)/$B$3,2))</f>
        <v>66.959999999999994</v>
      </c>
      <c r="F15" s="32"/>
      <c r="G15" s="33">
        <f>H15+AC15+AT15</f>
        <v>173.52</v>
      </c>
      <c r="H15" s="20">
        <f>SUMIF(I$12:AB$12,"总值",I15:AB15)</f>
        <v>173.52</v>
      </c>
      <c r="I15" s="40">
        <v>173.52</v>
      </c>
      <c r="J15" s="2209"/>
      <c r="K15" s="2209"/>
      <c r="L15" s="2209"/>
      <c r="M15" s="2209"/>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1</v>
      </c>
      <c r="AW15" s="11">
        <f t="shared" si="6"/>
        <v>0</v>
      </c>
      <c r="AX15" s="11" t="str">
        <f t="shared" si="6"/>
        <v>1-3</v>
      </c>
      <c r="AY15" s="1804">
        <f>ROUND($AY$6*AZ15/$AZ$5,2)</f>
        <v>66.959999999999994</v>
      </c>
      <c r="AZ15" s="16">
        <f>BA15+BL15</f>
        <v>173.52</v>
      </c>
      <c r="BA15" s="16">
        <f>SUM(BB15:BK15)</f>
        <v>173.52</v>
      </c>
      <c r="BB15" s="16">
        <f>IF($D15="是",I15-J15,0)</f>
        <v>173.52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c r="A16" s="1271" t="s">
        <v>3072</v>
      </c>
      <c r="B16" s="1271"/>
      <c r="C16" s="2950" t="s">
        <v>3143</v>
      </c>
      <c r="D16" s="2949" t="s">
        <v>3037</v>
      </c>
      <c r="E16" s="16">
        <f>IF($C$3="是",ROUND($A$3*G16/$B$3,2),ROUND($A$3*(G16-AT16)/$B$3,2))</f>
        <v>85.19</v>
      </c>
      <c r="F16" s="32"/>
      <c r="G16" s="33">
        <f>H16+AC16+AT16</f>
        <v>220.76</v>
      </c>
      <c r="H16" s="20">
        <f>SUMIF(I$12:AB$12,"总值",I16:AB16)</f>
        <v>220.76</v>
      </c>
      <c r="I16" s="40">
        <v>220.76</v>
      </c>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t="str">
        <f t="shared" si="6"/>
        <v>1-2</v>
      </c>
      <c r="AW16" s="11">
        <f t="shared" si="6"/>
        <v>0</v>
      </c>
      <c r="AX16" s="11" t="str">
        <f t="shared" si="6"/>
        <v>1-4</v>
      </c>
      <c r="AY16" s="1804">
        <f>ROUND($AY$6*AZ16/$AZ$5,2)</f>
        <v>85.19</v>
      </c>
      <c r="AZ16" s="16">
        <f>BA16+BL16</f>
        <v>220.76</v>
      </c>
      <c r="BA16" s="16">
        <f>SUM(BB16:BK16)</f>
        <v>220.76</v>
      </c>
      <c r="BB16" s="16">
        <f>IF($D16="是",I16-J16,0)</f>
        <v>220.76</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c r="A17" s="1271" t="s">
        <v>3072</v>
      </c>
      <c r="B17" s="2997" t="s">
        <v>3180</v>
      </c>
      <c r="C17" s="2998" t="s">
        <v>3144</v>
      </c>
      <c r="D17" s="2949" t="s">
        <v>3037</v>
      </c>
      <c r="E17" s="2999">
        <f>IF($C$3="是",ROUND($A$3*G17/$B$3,2),ROUND($A$3*(G17-AT17)/$B$3,2))</f>
        <v>68.09</v>
      </c>
      <c r="F17" s="3000"/>
      <c r="G17" s="3001">
        <f>H17+AC17+AT17</f>
        <v>176.46</v>
      </c>
      <c r="H17" s="3002">
        <f>SUMIF(I$12:AB$12,"总值",I17:AB17)</f>
        <v>176.46</v>
      </c>
      <c r="I17" s="3003">
        <v>176.46</v>
      </c>
      <c r="J17" s="2209"/>
      <c r="K17" s="2209"/>
      <c r="L17" s="2209"/>
      <c r="M17" s="2209"/>
      <c r="N17" s="2209"/>
      <c r="O17" s="2209"/>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t="str">
        <f t="shared" si="6"/>
        <v>1-2</v>
      </c>
      <c r="AW17" s="11" t="str">
        <f t="shared" si="6"/>
        <v>出租</v>
      </c>
      <c r="AX17" s="11" t="str">
        <f t="shared" si="6"/>
        <v>1-5</v>
      </c>
      <c r="AY17" s="1804">
        <f>ROUND($AY$6*AZ17/$AZ$5,2)</f>
        <v>68.09</v>
      </c>
      <c r="AZ17" s="16">
        <f>BA17+BL17</f>
        <v>176.46</v>
      </c>
      <c r="BA17" s="16">
        <f>SUM(BB17:BK17)</f>
        <v>176.46</v>
      </c>
      <c r="BB17" s="16">
        <f>IF($D17="是",I17-J17,0)</f>
        <v>176.46</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t="s">
        <v>3072</v>
      </c>
      <c r="B18" s="3004" t="s">
        <v>3180</v>
      </c>
      <c r="C18" s="2998" t="s">
        <v>3129</v>
      </c>
      <c r="D18" s="2949" t="s">
        <v>3037</v>
      </c>
      <c r="E18" s="3005">
        <f t="shared" ref="E18:E112" si="7">IF($C$3="是",ROUND($A$3*G18/$B$3,2),ROUND($A$3*(G18-AT18)/$B$3,2))</f>
        <v>82.92</v>
      </c>
      <c r="F18" s="3006"/>
      <c r="G18" s="3007">
        <f t="shared" ref="G18:G109" si="8">H18+AC18+AT18</f>
        <v>214.88</v>
      </c>
      <c r="H18" s="3008">
        <f t="shared" ref="H18:H109" si="9">SUMIF(I$12:AB$12,"总值",I18:AB18)</f>
        <v>214.88</v>
      </c>
      <c r="I18" s="3003">
        <v>214.88</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4"/>
      <c r="AV18" s="1793" t="str">
        <f t="shared" ref="AV18:AV112" si="11">A18</f>
        <v>1-2</v>
      </c>
      <c r="AW18" s="1793" t="str">
        <f t="shared" ref="AW18:AW112" si="12">B18</f>
        <v>出租</v>
      </c>
      <c r="AX18" s="1793" t="str">
        <f t="shared" ref="AX18:AX112" si="13">C18</f>
        <v>1-6</v>
      </c>
      <c r="AY18" s="42">
        <f t="shared" ref="AY18:AY109" si="14">ROUND($AY$6*AZ18/$AZ$5,2)</f>
        <v>82.92</v>
      </c>
      <c r="AZ18" s="35">
        <f t="shared" ref="AZ18:AZ109" si="15">BA18+BL18</f>
        <v>214.88</v>
      </c>
      <c r="BA18" s="35">
        <f t="shared" ref="BA18:BA109" si="16">SUM(BB18:BK18)</f>
        <v>214.88</v>
      </c>
      <c r="BB18" s="35">
        <f t="shared" ref="BB18:BB109" si="17">IF($D18="是",I18-J18,0)</f>
        <v>214.88</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v>1</v>
      </c>
      <c r="B19" s="34"/>
      <c r="C19" s="2950" t="s">
        <v>3145</v>
      </c>
      <c r="D19" s="2949" t="s">
        <v>3037</v>
      </c>
      <c r="E19" s="35">
        <f t="shared" si="7"/>
        <v>47.78</v>
      </c>
      <c r="F19" s="36"/>
      <c r="G19" s="37">
        <f t="shared" si="8"/>
        <v>123.82</v>
      </c>
      <c r="H19" s="38">
        <f t="shared" si="9"/>
        <v>123.82</v>
      </c>
      <c r="I19" s="40">
        <v>123.82</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3">
        <f t="shared" si="11"/>
        <v>1</v>
      </c>
      <c r="AW19" s="1793">
        <f t="shared" si="12"/>
        <v>0</v>
      </c>
      <c r="AX19" s="1793" t="str">
        <f t="shared" si="13"/>
        <v>1-7</v>
      </c>
      <c r="AY19" s="42">
        <f t="shared" si="14"/>
        <v>47.78</v>
      </c>
      <c r="AZ19" s="35">
        <f t="shared" si="15"/>
        <v>123.82</v>
      </c>
      <c r="BA19" s="35">
        <f t="shared" si="16"/>
        <v>123.82</v>
      </c>
      <c r="BB19" s="35">
        <f t="shared" si="17"/>
        <v>123.82</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t="s">
        <v>3072</v>
      </c>
      <c r="B20" s="3004" t="s">
        <v>3180</v>
      </c>
      <c r="C20" s="2998" t="s">
        <v>3146</v>
      </c>
      <c r="D20" s="2949" t="s">
        <v>3037</v>
      </c>
      <c r="E20" s="3005">
        <f t="shared" si="7"/>
        <v>100.94</v>
      </c>
      <c r="F20" s="3006"/>
      <c r="G20" s="3007">
        <f t="shared" si="8"/>
        <v>261.57</v>
      </c>
      <c r="H20" s="3008">
        <f t="shared" si="9"/>
        <v>261.57</v>
      </c>
      <c r="I20" s="3003">
        <v>261.57</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3" t="str">
        <f t="shared" si="11"/>
        <v>1-2</v>
      </c>
      <c r="AW20" s="1793" t="str">
        <f t="shared" si="12"/>
        <v>出租</v>
      </c>
      <c r="AX20" s="1793" t="str">
        <f t="shared" si="13"/>
        <v>1-8</v>
      </c>
      <c r="AY20" s="42">
        <f t="shared" si="14"/>
        <v>100.94</v>
      </c>
      <c r="AZ20" s="35">
        <f t="shared" si="15"/>
        <v>261.57</v>
      </c>
      <c r="BA20" s="35">
        <f t="shared" si="16"/>
        <v>261.57</v>
      </c>
      <c r="BB20" s="35">
        <f t="shared" si="17"/>
        <v>261.57</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v>1</v>
      </c>
      <c r="B21" s="34"/>
      <c r="C21" s="2950" t="s">
        <v>3147</v>
      </c>
      <c r="D21" s="2949" t="s">
        <v>3037</v>
      </c>
      <c r="E21" s="35">
        <f t="shared" si="7"/>
        <v>55.73</v>
      </c>
      <c r="F21" s="36"/>
      <c r="G21" s="37">
        <f t="shared" si="8"/>
        <v>144.41</v>
      </c>
      <c r="H21" s="38">
        <f t="shared" si="9"/>
        <v>144.41</v>
      </c>
      <c r="I21" s="40">
        <v>144.41</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3">
        <f t="shared" si="11"/>
        <v>1</v>
      </c>
      <c r="AW21" s="1793">
        <f t="shared" si="12"/>
        <v>0</v>
      </c>
      <c r="AX21" s="1793" t="str">
        <f t="shared" si="13"/>
        <v>1-9</v>
      </c>
      <c r="AY21" s="42">
        <f t="shared" si="14"/>
        <v>55.73</v>
      </c>
      <c r="AZ21" s="35">
        <f t="shared" si="15"/>
        <v>144.41</v>
      </c>
      <c r="BA21" s="35">
        <f t="shared" si="16"/>
        <v>144.41</v>
      </c>
      <c r="BB21" s="35">
        <f t="shared" si="17"/>
        <v>144.41</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t="s">
        <v>3072</v>
      </c>
      <c r="B22" s="34"/>
      <c r="C22" s="2950" t="s">
        <v>3148</v>
      </c>
      <c r="D22" s="2949" t="s">
        <v>3037</v>
      </c>
      <c r="E22" s="35">
        <f t="shared" si="7"/>
        <v>88.64</v>
      </c>
      <c r="F22" s="36"/>
      <c r="G22" s="37">
        <f t="shared" si="8"/>
        <v>229.71</v>
      </c>
      <c r="H22" s="38">
        <f t="shared" si="9"/>
        <v>229.71</v>
      </c>
      <c r="I22" s="40">
        <v>229.71</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3" t="str">
        <f t="shared" si="11"/>
        <v>1-2</v>
      </c>
      <c r="AW22" s="1793">
        <f t="shared" si="12"/>
        <v>0</v>
      </c>
      <c r="AX22" s="1793" t="str">
        <f t="shared" si="13"/>
        <v>1-10</v>
      </c>
      <c r="AY22" s="42">
        <f t="shared" si="14"/>
        <v>88.64</v>
      </c>
      <c r="AZ22" s="35">
        <f t="shared" si="15"/>
        <v>229.71</v>
      </c>
      <c r="BA22" s="35">
        <f t="shared" si="16"/>
        <v>229.71</v>
      </c>
      <c r="BB22" s="35">
        <f t="shared" si="17"/>
        <v>229.71</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v>1</v>
      </c>
      <c r="B23" s="3004" t="s">
        <v>3180</v>
      </c>
      <c r="C23" s="2998" t="s">
        <v>3149</v>
      </c>
      <c r="D23" s="2949" t="s">
        <v>3037</v>
      </c>
      <c r="E23" s="3005">
        <f t="shared" si="7"/>
        <v>38.479999999999997</v>
      </c>
      <c r="F23" s="3006"/>
      <c r="G23" s="3007">
        <f t="shared" si="8"/>
        <v>99.71</v>
      </c>
      <c r="H23" s="3008">
        <f t="shared" si="9"/>
        <v>99.71</v>
      </c>
      <c r="I23" s="3003">
        <v>99.71</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3">
        <f t="shared" si="11"/>
        <v>1</v>
      </c>
      <c r="AW23" s="1793" t="str">
        <f t="shared" si="12"/>
        <v>出租</v>
      </c>
      <c r="AX23" s="1793" t="str">
        <f t="shared" si="13"/>
        <v>1-11</v>
      </c>
      <c r="AY23" s="42">
        <f t="shared" si="14"/>
        <v>38.479999999999997</v>
      </c>
      <c r="AZ23" s="35">
        <f t="shared" si="15"/>
        <v>99.71</v>
      </c>
      <c r="BA23" s="35">
        <f t="shared" si="16"/>
        <v>99.71</v>
      </c>
      <c r="BB23" s="35">
        <f t="shared" si="17"/>
        <v>99.71</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v>1</v>
      </c>
      <c r="B24" s="34"/>
      <c r="C24" s="2950" t="s">
        <v>3150</v>
      </c>
      <c r="D24" s="2949" t="s">
        <v>3037</v>
      </c>
      <c r="E24" s="35">
        <f t="shared" si="7"/>
        <v>34.07</v>
      </c>
      <c r="F24" s="36"/>
      <c r="G24" s="37">
        <f t="shared" si="8"/>
        <v>88.3</v>
      </c>
      <c r="H24" s="38">
        <f t="shared" si="9"/>
        <v>88.3</v>
      </c>
      <c r="I24" s="40">
        <v>88.3</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3">
        <f t="shared" si="11"/>
        <v>1</v>
      </c>
      <c r="AW24" s="1793">
        <f t="shared" si="12"/>
        <v>0</v>
      </c>
      <c r="AX24" s="1793" t="str">
        <f t="shared" si="13"/>
        <v>1-12</v>
      </c>
      <c r="AY24" s="42">
        <f t="shared" si="14"/>
        <v>34.07</v>
      </c>
      <c r="AZ24" s="35">
        <f t="shared" si="15"/>
        <v>88.3</v>
      </c>
      <c r="BA24" s="35">
        <f t="shared" si="16"/>
        <v>88.3</v>
      </c>
      <c r="BB24" s="35">
        <f t="shared" si="17"/>
        <v>88.3</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t="s">
        <v>3072</v>
      </c>
      <c r="B25" s="34"/>
      <c r="C25" s="2950" t="s">
        <v>3151</v>
      </c>
      <c r="D25" s="2949" t="s">
        <v>3037</v>
      </c>
      <c r="E25" s="35">
        <f t="shared" si="7"/>
        <v>104.7</v>
      </c>
      <c r="F25" s="36"/>
      <c r="G25" s="37">
        <f t="shared" si="8"/>
        <v>271.33</v>
      </c>
      <c r="H25" s="38">
        <f t="shared" si="9"/>
        <v>271.33</v>
      </c>
      <c r="I25" s="40">
        <v>271.33</v>
      </c>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3" t="str">
        <f t="shared" si="11"/>
        <v>1-2</v>
      </c>
      <c r="AW25" s="1793">
        <f t="shared" si="12"/>
        <v>0</v>
      </c>
      <c r="AX25" s="1793" t="str">
        <f t="shared" si="13"/>
        <v>1-13</v>
      </c>
      <c r="AY25" s="42">
        <f t="shared" si="14"/>
        <v>104.7</v>
      </c>
      <c r="AZ25" s="35">
        <f t="shared" si="15"/>
        <v>271.33</v>
      </c>
      <c r="BA25" s="35">
        <f t="shared" si="16"/>
        <v>271.33</v>
      </c>
      <c r="BB25" s="35">
        <f t="shared" si="17"/>
        <v>271.33</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t="s">
        <v>3072</v>
      </c>
      <c r="B26" s="3004" t="s">
        <v>3180</v>
      </c>
      <c r="C26" s="2998" t="s">
        <v>3152</v>
      </c>
      <c r="D26" s="2949" t="s">
        <v>3037</v>
      </c>
      <c r="E26" s="3005">
        <f t="shared" si="7"/>
        <v>80.52</v>
      </c>
      <c r="F26" s="3006"/>
      <c r="G26" s="3007">
        <f t="shared" si="8"/>
        <v>208.67</v>
      </c>
      <c r="H26" s="3008">
        <f t="shared" si="9"/>
        <v>208.67</v>
      </c>
      <c r="I26" s="3003">
        <v>208.67</v>
      </c>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3" t="str">
        <f t="shared" si="11"/>
        <v>1-2</v>
      </c>
      <c r="AW26" s="1793" t="str">
        <f t="shared" si="12"/>
        <v>出租</v>
      </c>
      <c r="AX26" s="1793" t="str">
        <f t="shared" si="13"/>
        <v>1-14</v>
      </c>
      <c r="AY26" s="42">
        <f t="shared" si="14"/>
        <v>80.52</v>
      </c>
      <c r="AZ26" s="35">
        <f t="shared" si="15"/>
        <v>208.67</v>
      </c>
      <c r="BA26" s="35">
        <f t="shared" si="16"/>
        <v>208.67</v>
      </c>
      <c r="BB26" s="35">
        <f t="shared" si="17"/>
        <v>208.67</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v>1</v>
      </c>
      <c r="B27" s="34"/>
      <c r="C27" s="2950" t="s">
        <v>3153</v>
      </c>
      <c r="D27" s="2949" t="s">
        <v>3037</v>
      </c>
      <c r="E27" s="35">
        <f t="shared" si="7"/>
        <v>54.97</v>
      </c>
      <c r="F27" s="36"/>
      <c r="G27" s="37">
        <f t="shared" si="8"/>
        <v>142.46</v>
      </c>
      <c r="H27" s="38">
        <f t="shared" si="9"/>
        <v>142.46</v>
      </c>
      <c r="I27" s="40">
        <v>142.46</v>
      </c>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3">
        <f t="shared" si="11"/>
        <v>1</v>
      </c>
      <c r="AW27" s="1793">
        <f t="shared" si="12"/>
        <v>0</v>
      </c>
      <c r="AX27" s="1793" t="str">
        <f t="shared" si="13"/>
        <v>1-15</v>
      </c>
      <c r="AY27" s="42">
        <f t="shared" si="14"/>
        <v>54.97</v>
      </c>
      <c r="AZ27" s="35">
        <f t="shared" si="15"/>
        <v>142.46</v>
      </c>
      <c r="BA27" s="35">
        <f t="shared" si="16"/>
        <v>142.46</v>
      </c>
      <c r="BB27" s="35">
        <f t="shared" si="17"/>
        <v>142.46</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t="s">
        <v>3072</v>
      </c>
      <c r="B28" s="34"/>
      <c r="C28" s="2950" t="s">
        <v>3154</v>
      </c>
      <c r="D28" s="2949" t="s">
        <v>3037</v>
      </c>
      <c r="E28" s="35">
        <f t="shared" si="7"/>
        <v>101.63</v>
      </c>
      <c r="F28" s="36"/>
      <c r="G28" s="37">
        <f t="shared" si="8"/>
        <v>263.36</v>
      </c>
      <c r="H28" s="38">
        <f t="shared" si="9"/>
        <v>263.36</v>
      </c>
      <c r="I28" s="40">
        <v>263.36</v>
      </c>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3" t="str">
        <f t="shared" si="11"/>
        <v>1-2</v>
      </c>
      <c r="AW28" s="1793">
        <f t="shared" si="12"/>
        <v>0</v>
      </c>
      <c r="AX28" s="1793" t="str">
        <f t="shared" si="13"/>
        <v>1-16</v>
      </c>
      <c r="AY28" s="42">
        <f t="shared" si="14"/>
        <v>101.63</v>
      </c>
      <c r="AZ28" s="35">
        <f t="shared" si="15"/>
        <v>263.36</v>
      </c>
      <c r="BA28" s="35">
        <f t="shared" si="16"/>
        <v>263.36</v>
      </c>
      <c r="BB28" s="35">
        <f t="shared" si="17"/>
        <v>263.36</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v>1</v>
      </c>
      <c r="B29" s="34"/>
      <c r="C29" s="2950" t="s">
        <v>3155</v>
      </c>
      <c r="D29" s="2949" t="s">
        <v>3037</v>
      </c>
      <c r="E29" s="35">
        <f t="shared" si="7"/>
        <v>56.13</v>
      </c>
      <c r="F29" s="36"/>
      <c r="G29" s="37">
        <f t="shared" si="8"/>
        <v>145.44999999999999</v>
      </c>
      <c r="H29" s="38">
        <f t="shared" si="9"/>
        <v>145.44999999999999</v>
      </c>
      <c r="I29" s="40">
        <v>145.44999999999999</v>
      </c>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3">
        <f t="shared" si="11"/>
        <v>1</v>
      </c>
      <c r="AW29" s="1793">
        <f t="shared" si="12"/>
        <v>0</v>
      </c>
      <c r="AX29" s="1793" t="str">
        <f t="shared" si="13"/>
        <v>1-17</v>
      </c>
      <c r="AY29" s="42">
        <f t="shared" si="14"/>
        <v>56.13</v>
      </c>
      <c r="AZ29" s="35">
        <f t="shared" si="15"/>
        <v>145.44999999999999</v>
      </c>
      <c r="BA29" s="35">
        <f t="shared" si="16"/>
        <v>145.44999999999999</v>
      </c>
      <c r="BB29" s="35">
        <f t="shared" si="17"/>
        <v>145.44999999999999</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t="s">
        <v>3072</v>
      </c>
      <c r="B30" s="34"/>
      <c r="C30" s="2950" t="s">
        <v>3156</v>
      </c>
      <c r="D30" s="2949" t="s">
        <v>3037</v>
      </c>
      <c r="E30" s="35">
        <f t="shared" si="7"/>
        <v>88.89</v>
      </c>
      <c r="F30" s="36"/>
      <c r="G30" s="37">
        <f t="shared" si="8"/>
        <v>230.35</v>
      </c>
      <c r="H30" s="38">
        <f t="shared" si="9"/>
        <v>230.35</v>
      </c>
      <c r="I30" s="40">
        <v>230.35</v>
      </c>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3" t="str">
        <f t="shared" si="11"/>
        <v>1-2</v>
      </c>
      <c r="AW30" s="1793">
        <f t="shared" si="12"/>
        <v>0</v>
      </c>
      <c r="AX30" s="1793" t="str">
        <f t="shared" si="13"/>
        <v>1-18</v>
      </c>
      <c r="AY30" s="42">
        <f t="shared" si="14"/>
        <v>88.89</v>
      </c>
      <c r="AZ30" s="35">
        <f t="shared" si="15"/>
        <v>230.35</v>
      </c>
      <c r="BA30" s="35">
        <f t="shared" si="16"/>
        <v>230.35</v>
      </c>
      <c r="BB30" s="35">
        <f t="shared" si="17"/>
        <v>230.35</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v>1</v>
      </c>
      <c r="B31" s="34"/>
      <c r="C31" s="2950" t="s">
        <v>3157</v>
      </c>
      <c r="D31" s="2949" t="s">
        <v>3037</v>
      </c>
      <c r="E31" s="35">
        <f t="shared" si="7"/>
        <v>37.89</v>
      </c>
      <c r="F31" s="36"/>
      <c r="G31" s="37">
        <f t="shared" si="8"/>
        <v>98.19</v>
      </c>
      <c r="H31" s="38">
        <f t="shared" si="9"/>
        <v>98.19</v>
      </c>
      <c r="I31" s="40">
        <v>98.19</v>
      </c>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3">
        <f t="shared" si="11"/>
        <v>1</v>
      </c>
      <c r="AW31" s="1793">
        <f t="shared" si="12"/>
        <v>0</v>
      </c>
      <c r="AX31" s="1793" t="str">
        <f t="shared" si="13"/>
        <v>1-19</v>
      </c>
      <c r="AY31" s="42">
        <f t="shared" si="14"/>
        <v>37.89</v>
      </c>
      <c r="AZ31" s="35">
        <f t="shared" si="15"/>
        <v>98.19</v>
      </c>
      <c r="BA31" s="35">
        <f t="shared" si="16"/>
        <v>98.19</v>
      </c>
      <c r="BB31" s="35">
        <f t="shared" si="17"/>
        <v>98.19</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v>1</v>
      </c>
      <c r="B32" s="34"/>
      <c r="C32" s="2950" t="s">
        <v>3158</v>
      </c>
      <c r="D32" s="2949" t="s">
        <v>3037</v>
      </c>
      <c r="E32" s="35">
        <f t="shared" si="7"/>
        <v>44.67</v>
      </c>
      <c r="F32" s="36"/>
      <c r="G32" s="37">
        <f t="shared" si="8"/>
        <v>115.76</v>
      </c>
      <c r="H32" s="38">
        <f t="shared" si="9"/>
        <v>115.76</v>
      </c>
      <c r="I32" s="40">
        <v>115.76</v>
      </c>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3">
        <f t="shared" si="11"/>
        <v>1</v>
      </c>
      <c r="AW32" s="1793">
        <f t="shared" si="12"/>
        <v>0</v>
      </c>
      <c r="AX32" s="1793" t="str">
        <f t="shared" si="13"/>
        <v>1-20</v>
      </c>
      <c r="AY32" s="42">
        <f t="shared" si="14"/>
        <v>44.67</v>
      </c>
      <c r="AZ32" s="35">
        <f t="shared" si="15"/>
        <v>115.76</v>
      </c>
      <c r="BA32" s="35">
        <f t="shared" si="16"/>
        <v>115.76</v>
      </c>
      <c r="BB32" s="35">
        <f t="shared" si="17"/>
        <v>115.76</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t="s">
        <v>3072</v>
      </c>
      <c r="B33" s="3004" t="s">
        <v>3180</v>
      </c>
      <c r="C33" s="2998" t="s">
        <v>3159</v>
      </c>
      <c r="D33" s="2949" t="s">
        <v>3037</v>
      </c>
      <c r="E33" s="3005">
        <f t="shared" si="7"/>
        <v>93.37</v>
      </c>
      <c r="F33" s="3006"/>
      <c r="G33" s="3007">
        <f t="shared" si="8"/>
        <v>241.95</v>
      </c>
      <c r="H33" s="3008">
        <f t="shared" si="9"/>
        <v>241.95</v>
      </c>
      <c r="I33" s="3003">
        <v>241.95</v>
      </c>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3" t="str">
        <f t="shared" si="11"/>
        <v>1-2</v>
      </c>
      <c r="AW33" s="1793" t="str">
        <f t="shared" si="12"/>
        <v>出租</v>
      </c>
      <c r="AX33" s="1793" t="str">
        <f t="shared" si="13"/>
        <v>1-21</v>
      </c>
      <c r="AY33" s="42">
        <f t="shared" si="14"/>
        <v>93.37</v>
      </c>
      <c r="AZ33" s="35">
        <f t="shared" si="15"/>
        <v>241.95</v>
      </c>
      <c r="BA33" s="35">
        <f t="shared" si="16"/>
        <v>241.95</v>
      </c>
      <c r="BB33" s="35">
        <f t="shared" si="17"/>
        <v>241.95</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t="s">
        <v>3072</v>
      </c>
      <c r="B34" s="3004" t="s">
        <v>3180</v>
      </c>
      <c r="C34" s="2998" t="s">
        <v>3160</v>
      </c>
      <c r="D34" s="2949" t="s">
        <v>3037</v>
      </c>
      <c r="E34" s="3005">
        <f t="shared" si="7"/>
        <v>110.62</v>
      </c>
      <c r="F34" s="3006"/>
      <c r="G34" s="3007">
        <f t="shared" si="8"/>
        <v>286.64999999999998</v>
      </c>
      <c r="H34" s="3008">
        <f t="shared" si="9"/>
        <v>286.64999999999998</v>
      </c>
      <c r="I34" s="3003">
        <v>286.64999999999998</v>
      </c>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3" t="str">
        <f t="shared" si="11"/>
        <v>1-2</v>
      </c>
      <c r="AW34" s="1793" t="str">
        <f t="shared" si="12"/>
        <v>出租</v>
      </c>
      <c r="AX34" s="1793" t="str">
        <f t="shared" si="13"/>
        <v>1-22</v>
      </c>
      <c r="AY34" s="42">
        <f t="shared" si="14"/>
        <v>110.62</v>
      </c>
      <c r="AZ34" s="35">
        <f t="shared" si="15"/>
        <v>286.64999999999998</v>
      </c>
      <c r="BA34" s="35">
        <f t="shared" si="16"/>
        <v>286.64999999999998</v>
      </c>
      <c r="BB34" s="35">
        <f t="shared" si="17"/>
        <v>286.64999999999998</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90" t="s">
        <v>0</v>
      </c>
      <c r="B1" s="3090" t="s">
        <v>4</v>
      </c>
      <c r="C1" s="3090" t="s">
        <v>5</v>
      </c>
      <c r="D1" s="3091" t="s">
        <v>53</v>
      </c>
      <c r="E1" s="3091" t="s">
        <v>54</v>
      </c>
      <c r="F1" s="3091"/>
      <c r="G1" s="3091"/>
      <c r="H1" s="3091"/>
      <c r="I1" s="3091"/>
      <c r="J1" s="3091"/>
      <c r="K1" s="3091"/>
      <c r="L1" s="3091"/>
      <c r="M1" s="3091"/>
    </row>
    <row r="2" spans="1:13" ht="27" customHeight="1">
      <c r="A2" s="3090"/>
      <c r="B2" s="3090"/>
      <c r="C2" s="3090"/>
      <c r="D2" s="3091"/>
      <c r="E2" s="3091" t="s">
        <v>37</v>
      </c>
      <c r="F2" s="3091" t="s">
        <v>38</v>
      </c>
      <c r="G2" s="3091"/>
      <c r="H2" s="3091"/>
      <c r="I2" s="3091"/>
      <c r="J2" s="3091" t="s">
        <v>39</v>
      </c>
      <c r="K2" s="3091"/>
      <c r="L2" s="3091"/>
      <c r="M2" s="3091"/>
    </row>
    <row r="3" spans="1:13" ht="28.5">
      <c r="A3" s="3090"/>
      <c r="B3" s="3090"/>
      <c r="C3" s="3090"/>
      <c r="D3" s="3091"/>
      <c r="E3" s="309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91" t="s">
        <v>55</v>
      </c>
      <c r="B9" s="3091"/>
      <c r="C9" s="309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F20"/>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1934</v>
      </c>
      <c r="B1" s="1391"/>
      <c r="C1" s="1391"/>
      <c r="D1" s="1391"/>
      <c r="E1" s="1391"/>
      <c r="F1" s="1391"/>
      <c r="G1" s="1391"/>
      <c r="H1" s="1391"/>
      <c r="I1" s="1391"/>
      <c r="J1" s="1391"/>
      <c r="K1" s="1391"/>
      <c r="L1" s="1391"/>
      <c r="M1" s="1391"/>
      <c r="N1" s="1391"/>
      <c r="O1" s="1391"/>
      <c r="P1" s="1391"/>
    </row>
    <row r="2" spans="1:16" ht="15">
      <c r="A2" s="3101" t="s">
        <v>1935</v>
      </c>
      <c r="B2" s="3101"/>
      <c r="C2" s="3101"/>
      <c r="D2" s="969" t="s">
        <v>1911</v>
      </c>
      <c r="E2" s="2222" t="s">
        <v>1912</v>
      </c>
      <c r="F2" s="1391"/>
      <c r="G2" s="2223"/>
      <c r="H2" s="2224"/>
      <c r="I2" s="2225" t="s">
        <v>1936</v>
      </c>
      <c r="J2" s="1391"/>
      <c r="K2" s="1391"/>
      <c r="L2" s="1391"/>
      <c r="M2" s="1391"/>
      <c r="N2" s="1426"/>
      <c r="O2" s="1391"/>
      <c r="P2" s="1391"/>
    </row>
    <row r="3" spans="1:16" ht="15.75" thickBot="1">
      <c r="A3" s="3102" t="s">
        <v>1909</v>
      </c>
      <c r="B3" s="3102"/>
      <c r="C3" s="3102"/>
      <c r="D3" s="46">
        <f>'数据-基础表'!AY6</f>
        <v>1606.66</v>
      </c>
      <c r="E3" s="46">
        <f>'数据-基础表'!AZ5</f>
        <v>4163.47</v>
      </c>
      <c r="F3" s="1391"/>
      <c r="G3" s="1398"/>
      <c r="H3" s="1246" t="s">
        <v>1910</v>
      </c>
      <c r="I3" s="55">
        <f>ROUND('数据-基础表'!B3/'数据-基础表'!A3,2)</f>
        <v>2.59</v>
      </c>
      <c r="J3" s="1391"/>
      <c r="K3" s="1391"/>
      <c r="L3" s="1391"/>
      <c r="M3" s="1391"/>
      <c r="N3" s="1426"/>
      <c r="O3" s="1391"/>
      <c r="P3" s="1391"/>
    </row>
    <row r="4" spans="1:16" ht="15">
      <c r="A4" s="3103"/>
      <c r="B4" s="3104"/>
      <c r="C4" s="3105"/>
      <c r="D4" s="2226" t="s">
        <v>1911</v>
      </c>
      <c r="E4" s="2227" t="s">
        <v>1912</v>
      </c>
      <c r="F4" s="1391"/>
      <c r="G4" s="2228" t="s">
        <v>1937</v>
      </c>
      <c r="H4" s="1246" t="s">
        <v>1917</v>
      </c>
      <c r="I4" s="55">
        <f>ROUND(SUMIF('数据-基础表'!I9:AS9,"地上",'数据-基础表'!I5:AS5)/'数据-基础表'!A3,2)</f>
        <v>2.59</v>
      </c>
      <c r="J4" s="1391"/>
      <c r="K4" s="1391"/>
      <c r="L4" s="1391"/>
      <c r="M4" s="1391"/>
      <c r="N4" s="1426"/>
      <c r="O4" s="1391"/>
      <c r="P4" s="1391"/>
    </row>
    <row r="5" spans="1:16">
      <c r="A5" s="47" t="s">
        <v>1913</v>
      </c>
      <c r="B5" s="3106" t="s">
        <v>1914</v>
      </c>
      <c r="C5" s="3106"/>
      <c r="D5" s="48">
        <f>ROUND($D$3*E5/$E$3,2)</f>
        <v>0</v>
      </c>
      <c r="E5" s="49">
        <f>SUMIF('数据-基础表'!$11:$11,"住宅",'数据-基础表'!$5:$5)</f>
        <v>0</v>
      </c>
      <c r="F5" s="1391"/>
      <c r="G5" s="1398"/>
      <c r="H5" s="1246" t="s">
        <v>1910</v>
      </c>
      <c r="I5" s="55">
        <f>ROUND(E31/D31,2)</f>
        <v>2.59</v>
      </c>
      <c r="J5" s="1391"/>
      <c r="K5" s="1391"/>
      <c r="L5" s="1391"/>
      <c r="M5" s="1391"/>
      <c r="N5" s="1391"/>
      <c r="O5" s="1391"/>
      <c r="P5" s="1391"/>
    </row>
    <row r="6" spans="1:16" ht="15" thickBot="1">
      <c r="A6" s="2229"/>
      <c r="B6" s="3106" t="s">
        <v>1915</v>
      </c>
      <c r="C6" s="3106"/>
      <c r="D6" s="48">
        <f>ROUND($D$3*E6/$E$3,2)</f>
        <v>1606.66</v>
      </c>
      <c r="E6" s="49">
        <f>E3-E5</f>
        <v>4163.47</v>
      </c>
      <c r="F6" s="1391"/>
      <c r="G6" s="2230" t="s">
        <v>1916</v>
      </c>
      <c r="H6" s="1398" t="s">
        <v>1917</v>
      </c>
      <c r="I6" s="941">
        <f>ROUND(F31/D31,2)</f>
        <v>2.59</v>
      </c>
      <c r="J6" s="1391"/>
      <c r="K6" s="1391"/>
      <c r="L6" s="1391"/>
      <c r="M6" s="1391"/>
      <c r="N6" s="1391"/>
      <c r="O6" s="1391"/>
      <c r="P6" s="1391"/>
    </row>
    <row r="7" spans="1:16" ht="15">
      <c r="A7" s="3098"/>
      <c r="B7" s="3099"/>
      <c r="C7" s="3100"/>
      <c r="D7" s="2226" t="s">
        <v>1911</v>
      </c>
      <c r="E7" s="2231" t="s">
        <v>1918</v>
      </c>
      <c r="F7" s="1391"/>
      <c r="G7" s="2223" t="s">
        <v>1919</v>
      </c>
      <c r="H7" s="64"/>
      <c r="I7" s="420"/>
      <c r="J7" s="1391"/>
      <c r="K7" s="1391"/>
      <c r="L7" s="1391"/>
      <c r="M7" s="1391"/>
      <c r="N7" s="1391"/>
      <c r="O7" s="1391"/>
      <c r="P7" s="1391"/>
    </row>
    <row r="8" spans="1:16">
      <c r="A8" s="47" t="s">
        <v>1920</v>
      </c>
      <c r="B8" s="50" t="s">
        <v>1921</v>
      </c>
      <c r="C8" s="48" t="s">
        <v>1922</v>
      </c>
      <c r="D8" s="48">
        <f t="shared" ref="D8:D15" si="0">ROUND($D$3*E8/$E$3,2)</f>
        <v>1606.66</v>
      </c>
      <c r="E8" s="51">
        <f>SUMIF('数据-基础表'!BB10:BK10,"地上",'数据-基础表'!BB5:BK5)</f>
        <v>4163.47</v>
      </c>
      <c r="F8" s="1391"/>
      <c r="G8" s="2232"/>
      <c r="H8" s="2232"/>
      <c r="I8" s="1391"/>
      <c r="J8" s="1391"/>
      <c r="K8" s="1391"/>
      <c r="L8" s="1391"/>
      <c r="M8" s="1391"/>
      <c r="N8" s="1391"/>
      <c r="O8" s="1391"/>
      <c r="P8" s="1391"/>
    </row>
    <row r="9" spans="1:16">
      <c r="A9" s="2233"/>
      <c r="B9" s="2234"/>
      <c r="C9" s="48" t="s">
        <v>1923</v>
      </c>
      <c r="D9" s="48">
        <f t="shared" si="0"/>
        <v>0</v>
      </c>
      <c r="E9" s="52">
        <v>0</v>
      </c>
      <c r="F9" s="1391"/>
      <c r="G9" s="2232"/>
      <c r="H9" s="2232"/>
      <c r="I9" s="1391"/>
      <c r="J9" s="1391"/>
      <c r="K9" s="1391"/>
      <c r="L9" s="1391"/>
      <c r="M9" s="1391"/>
      <c r="N9" s="1391"/>
      <c r="O9" s="1391"/>
      <c r="P9" s="1391"/>
    </row>
    <row r="10" spans="1:16">
      <c r="A10" s="2233"/>
      <c r="B10" s="2234"/>
      <c r="C10" s="48" t="s">
        <v>1932</v>
      </c>
      <c r="D10" s="48">
        <f t="shared" si="0"/>
        <v>0</v>
      </c>
      <c r="E10" s="51">
        <f>SUMPRODUCT(('数据-基础表'!BB10:BK10="地下")*('数据-基础表'!BB11:BK11="商业")*('数据-基础表'!BB5:BK5))</f>
        <v>0</v>
      </c>
      <c r="F10" s="1391"/>
      <c r="G10" s="2232"/>
      <c r="H10" s="2232"/>
      <c r="I10" s="1391"/>
      <c r="J10" s="1391"/>
      <c r="K10" s="1391"/>
      <c r="L10" s="1391"/>
      <c r="M10" s="1391"/>
      <c r="N10" s="1391"/>
      <c r="O10" s="1391"/>
      <c r="P10" s="1391"/>
    </row>
    <row r="11" spans="1:16">
      <c r="A11" s="2233"/>
      <c r="B11" s="2234"/>
      <c r="C11" s="48" t="s">
        <v>1924</v>
      </c>
      <c r="D11" s="48">
        <f t="shared" si="0"/>
        <v>0</v>
      </c>
      <c r="E11" s="51">
        <f>SUMPRODUCT(('数据-基础表'!BB10:BK10="地下")*('数据-基础表'!BB11:BK11="办公")*('数据-基础表'!BB5:BK5))+'数据-基础表'!BP5</f>
        <v>0</v>
      </c>
      <c r="F11" s="1391"/>
      <c r="G11" s="2232"/>
      <c r="H11" s="2232"/>
      <c r="I11" s="1391"/>
      <c r="J11" s="1391"/>
      <c r="K11" s="1391"/>
      <c r="L11" s="1391"/>
      <c r="M11" s="1391"/>
      <c r="N11" s="1391"/>
      <c r="O11" s="1391"/>
      <c r="P11" s="1391"/>
    </row>
    <row r="12" spans="1:16">
      <c r="A12" s="2233"/>
      <c r="B12" s="2234"/>
      <c r="C12" s="48" t="s">
        <v>1925</v>
      </c>
      <c r="D12" s="48">
        <f t="shared" si="0"/>
        <v>0</v>
      </c>
      <c r="E12" s="51">
        <f>SUMPRODUCT(('数据-基础表'!BB10:BK10="地下")*('数据-基础表'!BB11:BK11="仓储")*('数据-基础表'!BB5:BK5))</f>
        <v>0</v>
      </c>
      <c r="F12" s="1391"/>
      <c r="G12" s="2232"/>
      <c r="H12" s="2232"/>
      <c r="I12" s="1391"/>
      <c r="J12" s="1391"/>
      <c r="K12" s="1391"/>
      <c r="L12" s="1391"/>
      <c r="M12" s="1391"/>
      <c r="N12" s="1391"/>
      <c r="O12" s="1391"/>
      <c r="P12" s="1391"/>
    </row>
    <row r="13" spans="1:16">
      <c r="A13" s="2233"/>
      <c r="B13" s="2234"/>
      <c r="C13" s="48" t="s">
        <v>1926</v>
      </c>
      <c r="D13" s="48">
        <f t="shared" si="0"/>
        <v>0</v>
      </c>
      <c r="E13" s="51">
        <f>SUMPRODUCT(('数据-基础表'!BB10:BK10="地下")*('数据-基础表'!BB11:BK11="车库")*('数据-基础表'!BB5:BK5))</f>
        <v>0</v>
      </c>
      <c r="F13" s="1391"/>
      <c r="G13" s="2232"/>
      <c r="H13" s="2232"/>
      <c r="I13" s="1391"/>
      <c r="J13" s="1391"/>
      <c r="K13" s="1391"/>
      <c r="L13" s="1391"/>
      <c r="M13" s="1391"/>
      <c r="N13" s="1391"/>
      <c r="O13" s="1391"/>
      <c r="P13" s="1391"/>
    </row>
    <row r="14" spans="1:16">
      <c r="A14" s="2233"/>
      <c r="B14" s="2234"/>
      <c r="C14" s="48" t="s">
        <v>1938</v>
      </c>
      <c r="D14" s="48">
        <f t="shared" si="0"/>
        <v>0</v>
      </c>
      <c r="E14" s="51">
        <f>SUMPRODUCT(('数据-基础表'!BB10:BK10="地下")*('数据-基础表'!BB11:BK11="车库—商业")*('数据-基础表'!BB5:BK5))</f>
        <v>0</v>
      </c>
      <c r="F14" s="1391"/>
      <c r="G14" s="2232"/>
      <c r="H14" s="2232"/>
      <c r="I14" s="1391"/>
      <c r="J14" s="1391"/>
      <c r="K14" s="1391"/>
      <c r="L14" s="1391"/>
      <c r="M14" s="1391"/>
      <c r="N14" s="1391"/>
      <c r="O14" s="1391"/>
      <c r="P14" s="1391"/>
    </row>
    <row r="15" spans="1:16" ht="15" thickBot="1">
      <c r="A15" s="2233"/>
      <c r="B15" s="2234"/>
      <c r="C15" s="48" t="s">
        <v>1933</v>
      </c>
      <c r="D15" s="48">
        <f t="shared" si="0"/>
        <v>0</v>
      </c>
      <c r="E15" s="51">
        <f>SUMPRODUCT(('数据-基础表'!BB10:BK10="地下")*('数据-基础表'!BB11:BK11="车库—办公")*('数据-基础表'!BB5:BK5))</f>
        <v>0</v>
      </c>
      <c r="F15" s="1391"/>
      <c r="G15" s="2232"/>
      <c r="H15" s="2232"/>
      <c r="I15" s="1391"/>
      <c r="J15" s="1391"/>
      <c r="K15" s="1391"/>
      <c r="L15" s="1391"/>
      <c r="M15" s="1391"/>
      <c r="N15" s="1391"/>
      <c r="O15" s="1391"/>
      <c r="P15" s="1391"/>
    </row>
    <row r="16" spans="1:16" ht="15.75" thickBot="1">
      <c r="A16" s="2229"/>
      <c r="B16" s="2234"/>
      <c r="C16" s="50" t="s">
        <v>1927</v>
      </c>
      <c r="D16" s="50">
        <f>SUM(D8:D15)</f>
        <v>1606.66</v>
      </c>
      <c r="E16" s="53">
        <f>SUM(E8:E15)</f>
        <v>4163.47</v>
      </c>
      <c r="F16" s="1391"/>
      <c r="G16" s="2232"/>
      <c r="H16" s="2235" t="s">
        <v>1939</v>
      </c>
      <c r="I16" s="2236"/>
      <c r="J16" s="1391"/>
      <c r="K16" s="3095" t="s">
        <v>1939</v>
      </c>
      <c r="L16" s="3096"/>
      <c r="M16" s="3096"/>
      <c r="N16" s="3096"/>
      <c r="O16" s="3096"/>
      <c r="P16" s="3097"/>
    </row>
    <row r="17" spans="1:19" ht="15">
      <c r="A17" s="2237" t="s">
        <v>1940</v>
      </c>
      <c r="B17" s="2238" t="s">
        <v>1941</v>
      </c>
      <c r="C17" s="2239" t="s">
        <v>1942</v>
      </c>
      <c r="D17" s="2240" t="s">
        <v>1930</v>
      </c>
      <c r="E17" s="2241" t="s">
        <v>1931</v>
      </c>
      <c r="F17" s="2242"/>
      <c r="G17" s="2243"/>
      <c r="H17" s="2244" t="s">
        <v>1943</v>
      </c>
      <c r="I17" s="2245" t="s">
        <v>1928</v>
      </c>
      <c r="J17" s="1391"/>
      <c r="K17" s="3092" t="s">
        <v>1944</v>
      </c>
      <c r="L17" s="3093"/>
      <c r="M17" s="3094"/>
      <c r="N17" s="3092" t="s">
        <v>1945</v>
      </c>
      <c r="O17" s="3093"/>
      <c r="P17" s="3094"/>
      <c r="R17" s="2223" t="s">
        <v>1946</v>
      </c>
      <c r="S17" s="64"/>
    </row>
    <row r="18" spans="1:19" ht="15">
      <c r="A18" s="2233"/>
      <c r="B18" s="2246"/>
      <c r="C18" s="2247"/>
      <c r="D18" s="2248"/>
      <c r="E18" s="2249" t="s">
        <v>1947</v>
      </c>
      <c r="F18" s="2250" t="s">
        <v>1948</v>
      </c>
      <c r="G18" s="2251" t="s">
        <v>1949</v>
      </c>
      <c r="H18" s="1261" t="s">
        <v>1950</v>
      </c>
      <c r="I18" s="2252" t="s">
        <v>1951</v>
      </c>
      <c r="J18" s="1391"/>
      <c r="K18" s="1261" t="s">
        <v>1952</v>
      </c>
      <c r="L18" s="2253" t="s">
        <v>1953</v>
      </c>
      <c r="M18" s="1047" t="s">
        <v>1954</v>
      </c>
      <c r="N18" s="1261" t="s">
        <v>1952</v>
      </c>
      <c r="O18" s="2253" t="s">
        <v>1953</v>
      </c>
      <c r="P18" s="1047" t="s">
        <v>1954</v>
      </c>
      <c r="R18" s="1246" t="s">
        <v>1955</v>
      </c>
      <c r="S18" s="1246" t="s">
        <v>1956</v>
      </c>
    </row>
    <row r="19" spans="1:19">
      <c r="A19" s="2254"/>
      <c r="B19" s="50" t="s">
        <v>1929</v>
      </c>
      <c r="C19" s="2951" t="s">
        <v>3183</v>
      </c>
      <c r="D19" s="48">
        <f>ROUND($D$3*E19/$E$3,2)</f>
        <v>574.94000000000005</v>
      </c>
      <c r="E19" s="56">
        <f t="shared" ref="E19:E26" si="1">SUM(F19:G19)</f>
        <v>1489.8899999999999</v>
      </c>
      <c r="F19" s="57">
        <f>'数据-基础表'!G17+'数据-基础表'!G18+'数据-基础表'!G20+'数据-基础表'!G23+'数据-基础表'!G26+'数据-基础表'!G33+'数据-基础表'!G34</f>
        <v>1489.8899999999999</v>
      </c>
      <c r="G19" s="58"/>
      <c r="H19" s="722">
        <f>ROUND($D$3*I19/$E$3,2)</f>
        <v>0</v>
      </c>
      <c r="I19" s="51">
        <f t="shared" ref="I19:I26" si="2">IF($I$17="自定义",P19,M19)</f>
        <v>0</v>
      </c>
      <c r="J19" s="1391"/>
      <c r="K19" s="1390">
        <f t="shared" ref="K19:K26" si="3">ROUND(E$28*E19/E$27,2)</f>
        <v>0</v>
      </c>
      <c r="L19" s="1246">
        <f t="shared" ref="L19:L26" si="4">ROUND(IF(COUNTIF(C19,"*住宅*")&gt;0,E$29*E19/E$32,0),2)</f>
        <v>0</v>
      </c>
      <c r="M19" s="1402">
        <f>K19+L19</f>
        <v>0</v>
      </c>
      <c r="N19" s="2256"/>
      <c r="O19" s="2257"/>
      <c r="P19" s="1402">
        <f>N19+O19</f>
        <v>0</v>
      </c>
      <c r="R19" s="1246">
        <f t="shared" ref="R19:S26" si="5">D19+H19</f>
        <v>574.94000000000005</v>
      </c>
      <c r="S19" s="1247">
        <f t="shared" si="5"/>
        <v>1489.8899999999999</v>
      </c>
    </row>
    <row r="20" spans="1:19">
      <c r="A20" s="2258"/>
      <c r="B20" s="50" t="s">
        <v>1957</v>
      </c>
      <c r="C20" s="2996" t="s">
        <v>3184</v>
      </c>
      <c r="D20" s="48">
        <f t="shared" ref="D20:D26" si="6">ROUND($D$3*E20/$E$3,2)</f>
        <v>1031.72</v>
      </c>
      <c r="E20" s="56">
        <f t="shared" si="1"/>
        <v>2673.5800000000004</v>
      </c>
      <c r="F20" s="57">
        <f>'数据-基础表'!B3-'数据-汇总表'!F19</f>
        <v>2673.5800000000004</v>
      </c>
      <c r="G20" s="58"/>
      <c r="H20" s="722">
        <f t="shared" ref="H20:H26" si="7">ROUND($D$3*I20/$E$3,2)</f>
        <v>0</v>
      </c>
      <c r="I20" s="51">
        <f t="shared" si="2"/>
        <v>0</v>
      </c>
      <c r="J20" s="1391"/>
      <c r="K20" s="1390">
        <f t="shared" si="3"/>
        <v>0</v>
      </c>
      <c r="L20" s="1246">
        <f t="shared" si="4"/>
        <v>0</v>
      </c>
      <c r="M20" s="1402">
        <f t="shared" ref="M20:M26" si="8">K20+L20</f>
        <v>0</v>
      </c>
      <c r="N20" s="2256"/>
      <c r="O20" s="2257"/>
      <c r="P20" s="1402">
        <f t="shared" ref="P20:P26" si="9">N20+O20</f>
        <v>0</v>
      </c>
      <c r="R20" s="1246">
        <f t="shared" si="5"/>
        <v>1031.72</v>
      </c>
      <c r="S20" s="1247">
        <f t="shared" si="5"/>
        <v>2673.5800000000004</v>
      </c>
    </row>
    <row r="21" spans="1:19">
      <c r="A21" s="2258"/>
      <c r="B21" s="50" t="s">
        <v>1957</v>
      </c>
      <c r="C21" s="2255"/>
      <c r="D21" s="48">
        <f t="shared" si="6"/>
        <v>0</v>
      </c>
      <c r="E21" s="56">
        <f t="shared" si="1"/>
        <v>0</v>
      </c>
      <c r="F21" s="57"/>
      <c r="G21" s="58"/>
      <c r="H21" s="722">
        <f t="shared" si="7"/>
        <v>0</v>
      </c>
      <c r="I21" s="51">
        <f t="shared" si="2"/>
        <v>0</v>
      </c>
      <c r="J21" s="1391"/>
      <c r="K21" s="1390">
        <f t="shared" si="3"/>
        <v>0</v>
      </c>
      <c r="L21" s="1246">
        <f t="shared" si="4"/>
        <v>0</v>
      </c>
      <c r="M21" s="1402">
        <f t="shared" si="8"/>
        <v>0</v>
      </c>
      <c r="N21" s="2256"/>
      <c r="O21" s="2257"/>
      <c r="P21" s="1402">
        <f t="shared" si="9"/>
        <v>0</v>
      </c>
      <c r="R21" s="1246">
        <f t="shared" si="5"/>
        <v>0</v>
      </c>
      <c r="S21" s="1247">
        <f t="shared" si="5"/>
        <v>0</v>
      </c>
    </row>
    <row r="22" spans="1:19">
      <c r="A22" s="2258"/>
      <c r="B22" s="50" t="s">
        <v>1957</v>
      </c>
      <c r="C22" s="60"/>
      <c r="D22" s="48">
        <f t="shared" si="6"/>
        <v>0</v>
      </c>
      <c r="E22" s="56">
        <f t="shared" si="1"/>
        <v>0</v>
      </c>
      <c r="F22" s="61"/>
      <c r="G22" s="62"/>
      <c r="H22" s="722">
        <f t="shared" si="7"/>
        <v>0</v>
      </c>
      <c r="I22" s="51">
        <f t="shared" si="2"/>
        <v>0</v>
      </c>
      <c r="J22" s="1391"/>
      <c r="K22" s="1390">
        <f t="shared" si="3"/>
        <v>0</v>
      </c>
      <c r="L22" s="1246">
        <f t="shared" si="4"/>
        <v>0</v>
      </c>
      <c r="M22" s="1402">
        <f t="shared" si="8"/>
        <v>0</v>
      </c>
      <c r="N22" s="2256"/>
      <c r="O22" s="2257"/>
      <c r="P22" s="1402">
        <f t="shared" si="9"/>
        <v>0</v>
      </c>
      <c r="R22" s="1246">
        <f t="shared" si="5"/>
        <v>0</v>
      </c>
      <c r="S22" s="1247">
        <f t="shared" si="5"/>
        <v>0</v>
      </c>
    </row>
    <row r="23" spans="1:19">
      <c r="A23" s="2258"/>
      <c r="B23" s="50" t="s">
        <v>1957</v>
      </c>
      <c r="C23" s="60"/>
      <c r="D23" s="48">
        <f>ROUND($D$3*E23/$E$3,2)</f>
        <v>0</v>
      </c>
      <c r="E23" s="56">
        <f>SUM(F23:G23)</f>
        <v>0</v>
      </c>
      <c r="F23" s="61"/>
      <c r="G23" s="62"/>
      <c r="H23" s="722">
        <f>ROUND($D$3*I23/$E$3,2)</f>
        <v>0</v>
      </c>
      <c r="I23" s="51">
        <f t="shared" si="2"/>
        <v>0</v>
      </c>
      <c r="J23" s="1391"/>
      <c r="K23" s="1390">
        <f t="shared" si="3"/>
        <v>0</v>
      </c>
      <c r="L23" s="1246">
        <f t="shared" si="4"/>
        <v>0</v>
      </c>
      <c r="M23" s="1402">
        <f t="shared" si="8"/>
        <v>0</v>
      </c>
      <c r="N23" s="2256"/>
      <c r="O23" s="2257"/>
      <c r="P23" s="1402">
        <f t="shared" si="9"/>
        <v>0</v>
      </c>
      <c r="R23" s="1246">
        <f t="shared" si="5"/>
        <v>0</v>
      </c>
      <c r="S23" s="1247">
        <f t="shared" si="5"/>
        <v>0</v>
      </c>
    </row>
    <row r="24" spans="1:19">
      <c r="A24" s="2258"/>
      <c r="B24" s="50" t="s">
        <v>1957</v>
      </c>
      <c r="C24" s="60"/>
      <c r="D24" s="48">
        <f>ROUND($D$3*E24/$E$3,2)</f>
        <v>0</v>
      </c>
      <c r="E24" s="56">
        <f>SUM(F24:G24)</f>
        <v>0</v>
      </c>
      <c r="F24" s="61"/>
      <c r="G24" s="62"/>
      <c r="H24" s="722">
        <f>ROUND($D$3*I24/$E$3,2)</f>
        <v>0</v>
      </c>
      <c r="I24" s="51">
        <f t="shared" si="2"/>
        <v>0</v>
      </c>
      <c r="J24" s="1391"/>
      <c r="K24" s="1390">
        <f t="shared" si="3"/>
        <v>0</v>
      </c>
      <c r="L24" s="1246">
        <f t="shared" si="4"/>
        <v>0</v>
      </c>
      <c r="M24" s="1402">
        <f t="shared" si="8"/>
        <v>0</v>
      </c>
      <c r="N24" s="2256"/>
      <c r="O24" s="2257"/>
      <c r="P24" s="1402">
        <f t="shared" si="9"/>
        <v>0</v>
      </c>
      <c r="R24" s="1246">
        <f t="shared" si="5"/>
        <v>0</v>
      </c>
      <c r="S24" s="1247">
        <f t="shared" si="5"/>
        <v>0</v>
      </c>
    </row>
    <row r="25" spans="1:19">
      <c r="A25" s="2258"/>
      <c r="B25" s="50" t="s">
        <v>1957</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56"/>
      <c r="O25" s="2257"/>
      <c r="P25" s="1402">
        <f t="shared" si="9"/>
        <v>0</v>
      </c>
      <c r="R25" s="1246">
        <f t="shared" si="5"/>
        <v>0</v>
      </c>
      <c r="S25" s="1247">
        <f t="shared" si="5"/>
        <v>0</v>
      </c>
    </row>
    <row r="26" spans="1:19">
      <c r="A26" s="2258"/>
      <c r="B26" s="50" t="s">
        <v>1957</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59"/>
      <c r="O26" s="2260"/>
      <c r="P26" s="67">
        <f t="shared" si="9"/>
        <v>0</v>
      </c>
      <c r="R26" s="1246">
        <f t="shared" si="5"/>
        <v>0</v>
      </c>
      <c r="S26" s="1247">
        <f t="shared" si="5"/>
        <v>0</v>
      </c>
    </row>
    <row r="27" spans="1:19" ht="15.75" thickBot="1">
      <c r="A27" s="2258"/>
      <c r="B27" s="48"/>
      <c r="C27" s="2261" t="s">
        <v>1958</v>
      </c>
      <c r="D27" s="1392">
        <f>SUM(D19:D26)</f>
        <v>1606.66</v>
      </c>
      <c r="E27" s="1393">
        <f>IF(SUM(E19:E26)='数据-基础表'!BA5,SUM(E19:E26),IF(F27="地上面积有误","面积有误","地下面积有误"))</f>
        <v>4163.47</v>
      </c>
      <c r="F27" s="1392">
        <f>IF(SUM(F19:F26)=E8,SUM(F19:F26),"地上面积有误")</f>
        <v>4163.47</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1606.66</v>
      </c>
      <c r="S27" s="1246">
        <f>IF(SUM(S19:S26)=$E$3,SUM(S19:S26),SUM(S19:S26)&amp;"误差"&amp;ROUND(SUM(S19:S26)-E3,2))</f>
        <v>4163.47</v>
      </c>
    </row>
    <row r="28" spans="1:19">
      <c r="A28" s="2258"/>
      <c r="B28" s="50" t="s">
        <v>1959</v>
      </c>
      <c r="C28" s="1258" t="s">
        <v>1960</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58"/>
      <c r="B29" s="50" t="s">
        <v>1959</v>
      </c>
      <c r="C29" s="2262" t="s">
        <v>1961</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58"/>
      <c r="B30" s="50"/>
      <c r="C30" s="2263" t="s">
        <v>1958</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64"/>
      <c r="B31" s="2265"/>
      <c r="C31" s="1009" t="s">
        <v>1962</v>
      </c>
      <c r="D31" s="728">
        <f>D27+D30</f>
        <v>1606.66</v>
      </c>
      <c r="E31" s="728">
        <f>E27+E30</f>
        <v>4163.47</v>
      </c>
      <c r="F31" s="729">
        <f>F27+F30</f>
        <v>4163.47</v>
      </c>
      <c r="G31" s="730">
        <f>G27+G30</f>
        <v>0</v>
      </c>
      <c r="H31" s="1391"/>
      <c r="I31" s="1391"/>
      <c r="J31" s="1391"/>
      <c r="K31" s="1391"/>
      <c r="L31" s="1391"/>
      <c r="M31" s="1391"/>
      <c r="N31" s="1391"/>
      <c r="O31" s="1391"/>
      <c r="P31" s="1391"/>
    </row>
    <row r="32" spans="1:19">
      <c r="A32" s="2228"/>
      <c r="B32" s="2228" t="s">
        <v>1963</v>
      </c>
      <c r="C32" s="2228"/>
      <c r="D32" s="2228"/>
      <c r="E32" s="1273">
        <f>SUMIF(C19:C26,"*住宅*",E19:E26)</f>
        <v>0</v>
      </c>
      <c r="F32" s="2228"/>
      <c r="G32" s="2228"/>
      <c r="H32" s="1391"/>
      <c r="I32" s="1391"/>
      <c r="J32" s="1391"/>
      <c r="K32" s="1391"/>
      <c r="L32" s="1391"/>
      <c r="M32" s="1391"/>
      <c r="N32" s="1391"/>
      <c r="O32" s="1391"/>
      <c r="P32" s="1391"/>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6" priority="1" stopIfTrue="1" operator="containsText" text="面积有误">
      <formula>NOT(ISERROR(SEARCH("面积有误",E27)))</formula>
    </cfRule>
    <cfRule type="cellIs" dxfId="165" priority="3" stopIfTrue="1" operator="equal">
      <formula>"地下面积有误"</formula>
    </cfRule>
  </conditionalFormatting>
  <conditionalFormatting sqref="F27">
    <cfRule type="cellIs" dxfId="16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Y24" activePane="bottomRight" state="frozen"/>
      <selection activeCell="C50" sqref="C50"/>
      <selection pane="topRight" activeCell="C50" sqref="C50"/>
      <selection pane="bottomLeft" activeCell="C50" sqref="C50"/>
      <selection pane="bottomRight" activeCell="Z6" sqref="Z6"/>
    </sheetView>
  </sheetViews>
  <sheetFormatPr defaultColWidth="13.75" defaultRowHeight="12.75"/>
  <cols>
    <col min="1" max="1" width="20.875" style="2340" customWidth="1"/>
    <col min="2" max="2" width="12" style="2270" customWidth="1"/>
    <col min="3" max="3" width="10.75" style="2270" customWidth="1"/>
    <col min="4" max="4" width="9.125" style="2341" customWidth="1"/>
    <col min="5" max="5" width="15" style="2270" bestFit="1" customWidth="1"/>
    <col min="6" max="10" width="8.875" style="2270" customWidth="1"/>
    <col min="11" max="12" width="12.375" style="2185"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1" width="7.5" style="2270" customWidth="1"/>
    <col min="22" max="22" width="6.375" style="2270" customWidth="1"/>
    <col min="23" max="30" width="6.75" style="2270" customWidth="1"/>
    <col min="31" max="31" width="8" style="2270" customWidth="1"/>
    <col min="32" max="34" width="7.25" style="2270" customWidth="1"/>
    <col min="35" max="39" width="8" style="2270" customWidth="1"/>
    <col min="40" max="40" width="13.75" style="2269"/>
    <col min="41" max="41" width="11.625" style="2269" customWidth="1"/>
    <col min="42" max="42" width="9.75" style="2269" customWidth="1"/>
    <col min="43" max="67" width="13.75" style="2269"/>
    <col min="68" max="16384" width="13.75" style="2270"/>
  </cols>
  <sheetData>
    <row r="1" spans="1:67" ht="19.5" thickBot="1">
      <c r="A1" s="2267" t="s">
        <v>1964</v>
      </c>
      <c r="B1" s="731"/>
      <c r="C1" s="1580"/>
      <c r="D1" s="2268"/>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29" customFormat="1" ht="15.75" thickBot="1">
      <c r="A2" s="2271" t="s">
        <v>1965</v>
      </c>
      <c r="B2" s="1265">
        <f>项目基本情况!D3</f>
        <v>43132</v>
      </c>
      <c r="C2" s="2272"/>
      <c r="D2" s="2273"/>
      <c r="E2" s="2272"/>
      <c r="F2" s="2272"/>
      <c r="G2" s="2272"/>
      <c r="H2" s="2272"/>
      <c r="I2" s="2272"/>
      <c r="J2" s="2272"/>
      <c r="K2" s="1426"/>
      <c r="L2" s="1426"/>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29" customFormat="1" ht="15" thickBot="1">
      <c r="A3" s="2027"/>
      <c r="B3" s="2275"/>
      <c r="C3" s="2272"/>
      <c r="D3" s="2273"/>
      <c r="E3" s="2272"/>
      <c r="F3" s="2272"/>
      <c r="G3" s="2272"/>
      <c r="H3" s="2272"/>
      <c r="I3" s="2272"/>
      <c r="J3" s="2272"/>
      <c r="K3" s="1426"/>
      <c r="L3" s="1426"/>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29" customFormat="1" ht="15" thickBot="1">
      <c r="A4" s="68" t="s">
        <v>1966</v>
      </c>
      <c r="B4" s="2276"/>
      <c r="C4" s="2277"/>
      <c r="D4" s="2278"/>
      <c r="E4" s="2277" t="s">
        <v>1967</v>
      </c>
      <c r="F4" s="2277"/>
      <c r="G4" s="2277"/>
      <c r="H4" s="2277"/>
      <c r="I4" s="2277"/>
      <c r="J4" s="2279"/>
      <c r="K4" s="2280"/>
      <c r="L4" s="2281"/>
      <c r="M4" s="2277"/>
      <c r="N4" s="2277" t="s">
        <v>1968</v>
      </c>
      <c r="O4" s="2277"/>
      <c r="P4" s="2277"/>
      <c r="Q4" s="2277"/>
      <c r="R4" s="2277"/>
      <c r="S4" s="2279"/>
      <c r="T4" s="2282" t="str">
        <f>'数据-汇总表'!I17</f>
        <v>按面积比例</v>
      </c>
      <c r="U4" s="2276" t="s">
        <v>1969</v>
      </c>
      <c r="V4" s="2277"/>
      <c r="W4" s="2277"/>
      <c r="X4" s="2277"/>
      <c r="Y4" s="2279"/>
      <c r="Z4" s="2239" t="s">
        <v>1970</v>
      </c>
      <c r="AA4" s="2239"/>
      <c r="AB4" s="2239"/>
      <c r="AC4" s="2239"/>
      <c r="AD4" s="2239"/>
      <c r="AE4" s="2237" t="s">
        <v>1971</v>
      </c>
      <c r="AF4" s="2239"/>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30" customFormat="1" ht="42">
      <c r="A5" s="2284" t="s">
        <v>1972</v>
      </c>
      <c r="B5" s="2285" t="s">
        <v>1973</v>
      </c>
      <c r="C5" s="2286" t="s">
        <v>1974</v>
      </c>
      <c r="D5" s="2287" t="s">
        <v>1975</v>
      </c>
      <c r="E5" s="1267" t="s">
        <v>1976</v>
      </c>
      <c r="F5" s="2288" t="s">
        <v>1977</v>
      </c>
      <c r="G5" s="1267" t="s">
        <v>1978</v>
      </c>
      <c r="H5" s="1267" t="s">
        <v>1979</v>
      </c>
      <c r="I5" s="1267" t="s">
        <v>1980</v>
      </c>
      <c r="J5" s="2289" t="s">
        <v>1981</v>
      </c>
      <c r="K5" s="2290" t="s">
        <v>1982</v>
      </c>
      <c r="L5" s="2291" t="s">
        <v>1983</v>
      </c>
      <c r="M5" s="2292" t="s">
        <v>1984</v>
      </c>
      <c r="N5" s="2293" t="s">
        <v>3185</v>
      </c>
      <c r="O5" s="2291" t="s">
        <v>1985</v>
      </c>
      <c r="P5" s="2294" t="s">
        <v>1986</v>
      </c>
      <c r="Q5" s="69" t="s">
        <v>1987</v>
      </c>
      <c r="R5" s="2295" t="s">
        <v>1988</v>
      </c>
      <c r="S5" s="2296" t="s">
        <v>1989</v>
      </c>
      <c r="T5" s="2297" t="s">
        <v>1990</v>
      </c>
      <c r="U5" s="1266" t="s">
        <v>1991</v>
      </c>
      <c r="V5" s="1267" t="s">
        <v>1992</v>
      </c>
      <c r="W5" s="1267" t="s">
        <v>1993</v>
      </c>
      <c r="X5" s="71"/>
      <c r="Y5" s="70" t="s">
        <v>1994</v>
      </c>
      <c r="Z5" s="2298" t="s">
        <v>1991</v>
      </c>
      <c r="AA5" s="1267" t="s">
        <v>1992</v>
      </c>
      <c r="AB5" s="1267" t="s">
        <v>1993</v>
      </c>
      <c r="AC5" s="71"/>
      <c r="AD5" s="71" t="s">
        <v>1994</v>
      </c>
      <c r="AE5" s="1266" t="s">
        <v>1995</v>
      </c>
      <c r="AF5" s="1267" t="s">
        <v>1996</v>
      </c>
      <c r="AG5" s="70" t="s">
        <v>1997</v>
      </c>
      <c r="AH5" s="1266" t="s">
        <v>1998</v>
      </c>
      <c r="AI5" s="2298" t="s">
        <v>1999</v>
      </c>
      <c r="AJ5" s="2298" t="s">
        <v>2000</v>
      </c>
      <c r="AK5" s="1267" t="s">
        <v>2001</v>
      </c>
      <c r="AL5" s="1267" t="s">
        <v>2002</v>
      </c>
      <c r="AM5" s="70" t="s">
        <v>2003</v>
      </c>
      <c r="AN5" s="2299" t="s">
        <v>2004</v>
      </c>
      <c r="AO5" s="2071" t="s">
        <v>2005</v>
      </c>
      <c r="AP5" s="1248" t="s">
        <v>2006</v>
      </c>
      <c r="AQ5" s="2300" t="s">
        <v>2007</v>
      </c>
      <c r="AR5" s="2300" t="s">
        <v>2008</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29" customFormat="1" ht="14.25">
      <c r="A6" s="2301" t="str">
        <f>'数据-汇总表'!C19</f>
        <v>已出租</v>
      </c>
      <c r="B6" s="2302" t="str">
        <f>IF(A6=0,"","经营性")</f>
        <v>经营性</v>
      </c>
      <c r="C6" s="2303" t="s">
        <v>1377</v>
      </c>
      <c r="D6" s="1051">
        <f>SUMIF(项目基本情况!D$12:I$12,C6,项目基本情况!D$14:I$14)</f>
        <v>40</v>
      </c>
      <c r="E6" s="1048">
        <f>IF(B6="","",SUMIF(项目基本情况!D$12:I$12,C6,项目基本情况!D$13:I$13))</f>
        <v>54071</v>
      </c>
      <c r="F6" s="72">
        <f>SUMIF(项目基本情况!D$12:I$12,C6,项目基本情况!D$15:I$15)</f>
        <v>29.96</v>
      </c>
      <c r="G6" s="73">
        <f>IF(ISERROR(ROUND(POWER(1+H6,D6-F6)*(POWER(1+H6,F6)-1)/(POWER(1+H6,D6)-1),3)),0,ROUND(POWER(1+H6,D6-F6)*(POWER(1+H6,F6)-1)/(POWER(1+H6,D6)-1),3))</f>
        <v>0.88500000000000001</v>
      </c>
      <c r="H6" s="801">
        <v>4.4999999999999998E-2</v>
      </c>
      <c r="I6" s="801">
        <v>0.06</v>
      </c>
      <c r="J6" s="74">
        <v>8.5000000000000006E-2</v>
      </c>
      <c r="K6" s="1250">
        <f>SUMIF('数据-汇总表'!C$19:C$33,A6,'数据-汇总表'!E$19:E$33)</f>
        <v>1489.8899999999999</v>
      </c>
      <c r="L6" s="802">
        <v>3000</v>
      </c>
      <c r="M6" s="75">
        <f t="shared" ref="M6:M14" si="0">ROUND(K6*L6/10000,0)</f>
        <v>447</v>
      </c>
      <c r="N6" s="800">
        <f>ROUND(1-(1-0%)*(2018-2010)/60,2)</f>
        <v>0.87</v>
      </c>
      <c r="O6" s="75" t="str">
        <f>IF($N$5="成新度","——",ROUND(M6*N6,0))</f>
        <v>——</v>
      </c>
      <c r="P6" s="76" t="str">
        <f>IF($N$5="成新度","——",M6-O6)</f>
        <v>——</v>
      </c>
      <c r="Q6" s="803">
        <v>0.2</v>
      </c>
      <c r="R6" s="77">
        <f ca="1">SUMIF('数据-汇总表'!C$19:C$33,A6,'数据-汇总表'!R$19:R$27)</f>
        <v>574.94000000000005</v>
      </c>
      <c r="S6" s="54">
        <f>IF('数据-汇总表'!$I$17="按面积比例",SUMIF('数据-汇总表'!C$19:C$33,A6,'数据-汇总表'!K$19:K$33),SUMIF('数据-汇总表'!C$19:C$33,A6,'数据-汇总表'!N$19:N$33))</f>
        <v>0</v>
      </c>
      <c r="T6" s="1442">
        <f>ROUND($L$14*S6/10000,0)</f>
        <v>0</v>
      </c>
      <c r="U6" s="78">
        <f>租赁情况!D11</f>
        <v>2.5</v>
      </c>
      <c r="V6" s="79">
        <v>0</v>
      </c>
      <c r="W6" s="79">
        <v>0</v>
      </c>
      <c r="X6" s="1260"/>
      <c r="Y6" s="80">
        <f>N6</f>
        <v>0.87</v>
      </c>
      <c r="Z6" s="81">
        <f>ROUND(租赁情况!D19*(1+AA6)^AF6,1)</f>
        <v>6.3</v>
      </c>
      <c r="AA6" s="74">
        <f>V7</f>
        <v>0.03</v>
      </c>
      <c r="AB6" s="74">
        <f>W7</f>
        <v>0.1</v>
      </c>
      <c r="AC6" s="1260"/>
      <c r="AD6" s="82">
        <f>ROUND(1-(1-0%)*(2021-2010)/60,2)</f>
        <v>0.82</v>
      </c>
      <c r="AE6" s="1261">
        <f ca="1">IF(AN6="",0,SUMIF(INDIRECT("'"&amp;AN6&amp;"'"&amp;"!E:E"),$AE$5,INDIRECT("'"&amp;AN6&amp;"'"&amp;"!F:F")))</f>
        <v>29.96</v>
      </c>
      <c r="AF6" s="1802">
        <f>项目基本情况!I15</f>
        <v>2.95</v>
      </c>
      <c r="AG6" s="147">
        <f ca="1">IF(AF6="",0,AE6-AF6)</f>
        <v>27.01</v>
      </c>
      <c r="AH6" s="83"/>
      <c r="AI6" s="85">
        <v>365</v>
      </c>
      <c r="AJ6" s="86"/>
      <c r="AK6" s="87">
        <v>1.4999999999999999E-2</v>
      </c>
      <c r="AL6" s="88">
        <v>1.5E-3</v>
      </c>
      <c r="AM6" s="89">
        <v>0.01</v>
      </c>
      <c r="AN6" s="2952" t="s">
        <v>3201</v>
      </c>
      <c r="AO6" s="55">
        <f ca="1">SUMIF(INDIRECT("'"&amp;AN6&amp;"'"&amp;"!A:A"),"总价",INDIRECT("'"&amp;AN6&amp;"'"&amp;"!B:B"))</f>
        <v>4429</v>
      </c>
      <c r="AP6" s="2305">
        <f>IF(C6="住宅",K6*L6,0)</f>
        <v>0</v>
      </c>
      <c r="AQ6" s="55">
        <f>ROUND($L$14*$N$14*S6/10000,0)</f>
        <v>0</v>
      </c>
      <c r="AR6" s="55">
        <f>ROUND($L$14*(1-$N$14)*S6/10000,0)</f>
        <v>0</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29" customFormat="1" ht="14.25">
      <c r="A7" s="2301" t="str">
        <f>'数据-汇总表'!C20</f>
        <v>未出租</v>
      </c>
      <c r="B7" s="2302" t="str">
        <f t="shared" ref="B7:B13" si="1">IF(A7=0,"","经营性")</f>
        <v>经营性</v>
      </c>
      <c r="C7" s="2303" t="s">
        <v>1377</v>
      </c>
      <c r="D7" s="1051">
        <f>SUMIF(项目基本情况!D$12:I$12,C7,项目基本情况!D$14:I$14)</f>
        <v>40</v>
      </c>
      <c r="E7" s="1048">
        <f>IF(B7="","",SUMIF(项目基本情况!D$12:I$12,C7,项目基本情况!D$13:I$13))</f>
        <v>54071</v>
      </c>
      <c r="F7" s="72">
        <f>SUMIF(项目基本情况!D$12:I$12,C7,项目基本情况!D$15:I$15)</f>
        <v>29.96</v>
      </c>
      <c r="G7" s="73">
        <f t="shared" ref="G7:G11" si="2">IF(ISERROR(ROUND(POWER(1+H7,D7-F7)*(POWER(1+H7,F7)-1)/(POWER(1+H7,D7)-1),3)),0,ROUND(POWER(1+H7,D7-F7)*(POWER(1+H7,F7)-1)/(POWER(1+H7,D7)-1),3))</f>
        <v>0.88500000000000001</v>
      </c>
      <c r="H7" s="801">
        <f>H6</f>
        <v>4.4999999999999998E-2</v>
      </c>
      <c r="I7" s="801">
        <f>I6</f>
        <v>0.06</v>
      </c>
      <c r="J7" s="74">
        <f>J6</f>
        <v>8.5000000000000006E-2</v>
      </c>
      <c r="K7" s="1250">
        <f>SUMIF('数据-汇总表'!C$19:C$33,A7,'数据-汇总表'!E$19:E$33)</f>
        <v>2673.5800000000004</v>
      </c>
      <c r="L7" s="802">
        <f>L6</f>
        <v>3000</v>
      </c>
      <c r="M7" s="75">
        <f t="shared" si="0"/>
        <v>802</v>
      </c>
      <c r="N7" s="800">
        <f>N6</f>
        <v>0.87</v>
      </c>
      <c r="O7" s="75" t="str">
        <f t="shared" ref="O7:O14" si="3">IF($N$5="成新度","——",ROUND(M7*N7,0))</f>
        <v>——</v>
      </c>
      <c r="P7" s="76" t="str">
        <f t="shared" ref="P7:P14" si="4">IF($N$5="成新度","——",M7-O7)</f>
        <v>——</v>
      </c>
      <c r="Q7" s="803">
        <f>Q6</f>
        <v>0.2</v>
      </c>
      <c r="R7" s="77">
        <f ca="1">SUMIF('数据-汇总表'!C$19:C$33,A7,'数据-汇总表'!R$19:R$27)</f>
        <v>1031.72</v>
      </c>
      <c r="S7" s="54">
        <f>IF('数据-汇总表'!$I$17="按面积比例",SUMIF('数据-汇总表'!C$19:C$33,A7,'数据-汇总表'!K$19:K$33),SUMIF('数据-汇总表'!C$19:C$33,A7,'数据-汇总表'!N$19:N$33))</f>
        <v>0</v>
      </c>
      <c r="T7" s="1442">
        <f t="shared" ref="T7:T13" si="5">ROUND($L$14*S7/10000,0)</f>
        <v>0</v>
      </c>
      <c r="U7" s="78">
        <f>租赁情况!D22</f>
        <v>6.1</v>
      </c>
      <c r="V7" s="79">
        <v>0.03</v>
      </c>
      <c r="W7" s="79">
        <v>0.1</v>
      </c>
      <c r="X7" s="1260"/>
      <c r="Y7" s="80">
        <f>N7</f>
        <v>0.87</v>
      </c>
      <c r="Z7" s="81"/>
      <c r="AA7" s="74"/>
      <c r="AB7" s="74"/>
      <c r="AC7" s="1260"/>
      <c r="AD7" s="82"/>
      <c r="AE7" s="1261">
        <f t="shared" ref="AE7:AE13" ca="1" si="6">IF(AN7="",0,SUMIF(INDIRECT("'"&amp;AN7&amp;"'"&amp;"!E:E"),$AE$5,INDIRECT("'"&amp;AN7&amp;"'"&amp;"!F:F")))</f>
        <v>29.96</v>
      </c>
      <c r="AF7" s="1802"/>
      <c r="AG7" s="147">
        <f t="shared" ref="AG7:AG13" si="7">IF(AF7="",0,AE7-AF7)</f>
        <v>0</v>
      </c>
      <c r="AH7" s="83"/>
      <c r="AI7" s="85">
        <v>365</v>
      </c>
      <c r="AJ7" s="86"/>
      <c r="AK7" s="87">
        <f>AK6</f>
        <v>1.4999999999999999E-2</v>
      </c>
      <c r="AL7" s="88">
        <f>AL6</f>
        <v>1.5E-3</v>
      </c>
      <c r="AM7" s="89">
        <f>AM6</f>
        <v>0.01</v>
      </c>
      <c r="AN7" s="2304" t="s">
        <v>3203</v>
      </c>
      <c r="AO7" s="55">
        <f t="shared" ref="AO7:AO13" ca="1" si="8">SUMIF(INDIRECT("'"&amp;AN7&amp;"'"&amp;"!A:A"),"总价",INDIRECT("'"&amp;AN7&amp;"'"&amp;"!B:B"))</f>
        <v>9109</v>
      </c>
      <c r="AP7" s="2305">
        <f t="shared" ref="AP7:AP13" si="9">IF(C7="住宅",K7*L7,0)</f>
        <v>0</v>
      </c>
      <c r="AQ7" s="55">
        <f t="shared" ref="AQ7:AQ13" si="10">ROUND($L$14*$N$14*S7/10000,0)</f>
        <v>0</v>
      </c>
      <c r="AR7" s="55">
        <f t="shared" ref="AR7:AR13" si="11">ROUND($L$14*(1-$N$14)*S7/10000,0)</f>
        <v>0</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29" customFormat="1" ht="14.25">
      <c r="A8" s="2301">
        <f>'数据-汇总表'!C21</f>
        <v>0</v>
      </c>
      <c r="B8" s="2302" t="str">
        <f t="shared" si="1"/>
        <v/>
      </c>
      <c r="C8" s="2303"/>
      <c r="D8" s="1051">
        <f>SUMIF(项目基本情况!D$12:I$12,C8,项目基本情况!D$14:I$14)</f>
        <v>0</v>
      </c>
      <c r="E8" s="1048" t="str">
        <f>IF(B8="","",SUMIF(项目基本情况!D$12:I$12,C8,项目基本情况!D$13:I$13))</f>
        <v/>
      </c>
      <c r="F8" s="72">
        <f>SUMIF(项目基本情况!D$12:I$12,C8,项目基本情况!D$15:I$15)</f>
        <v>0</v>
      </c>
      <c r="G8" s="73">
        <f t="shared" si="2"/>
        <v>0</v>
      </c>
      <c r="H8" s="801"/>
      <c r="I8" s="801"/>
      <c r="J8" s="74"/>
      <c r="K8" s="1250">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2">
        <f t="shared" si="5"/>
        <v>0</v>
      </c>
      <c r="U8" s="804"/>
      <c r="V8" s="805"/>
      <c r="W8" s="805"/>
      <c r="X8" s="1260"/>
      <c r="Y8" s="806"/>
      <c r="Z8" s="81"/>
      <c r="AA8" s="74"/>
      <c r="AB8" s="74"/>
      <c r="AC8" s="1260"/>
      <c r="AD8" s="82"/>
      <c r="AE8" s="1261">
        <f t="shared" ca="1" si="6"/>
        <v>0</v>
      </c>
      <c r="AF8" s="1802"/>
      <c r="AG8" s="147">
        <f t="shared" si="7"/>
        <v>0</v>
      </c>
      <c r="AH8" s="807"/>
      <c r="AI8" s="85"/>
      <c r="AJ8" s="86"/>
      <c r="AK8" s="808"/>
      <c r="AL8" s="809"/>
      <c r="AM8" s="810"/>
      <c r="AN8" s="2304"/>
      <c r="AO8" s="55" t="e">
        <f t="shared" ca="1" si="8"/>
        <v>#REF!</v>
      </c>
      <c r="AP8" s="2305">
        <f t="shared" si="9"/>
        <v>0</v>
      </c>
      <c r="AQ8" s="55">
        <f t="shared" si="10"/>
        <v>0</v>
      </c>
      <c r="AR8" s="55">
        <f t="shared" si="11"/>
        <v>0</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29" customFormat="1" ht="14.25">
      <c r="A9" s="2301">
        <f>'数据-汇总表'!C22</f>
        <v>0</v>
      </c>
      <c r="B9" s="2302" t="str">
        <f t="shared" si="1"/>
        <v/>
      </c>
      <c r="C9" s="2303"/>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2"/>
      <c r="AG9" s="147">
        <f t="shared" si="7"/>
        <v>0</v>
      </c>
      <c r="AH9" s="83"/>
      <c r="AI9" s="85"/>
      <c r="AJ9" s="86"/>
      <c r="AK9" s="87"/>
      <c r="AL9" s="88"/>
      <c r="AM9" s="89"/>
      <c r="AN9" s="2304"/>
      <c r="AO9" s="55" t="e">
        <f t="shared" ca="1" si="8"/>
        <v>#REF!</v>
      </c>
      <c r="AP9" s="2305">
        <f t="shared" si="9"/>
        <v>0</v>
      </c>
      <c r="AQ9" s="55">
        <f t="shared" si="10"/>
        <v>0</v>
      </c>
      <c r="AR9" s="55">
        <f t="shared" si="11"/>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29" customFormat="1" ht="14.25">
      <c r="A10" s="2301">
        <f>'数据-汇总表'!C23</f>
        <v>0</v>
      </c>
      <c r="B10" s="2302" t="str">
        <f t="shared" si="1"/>
        <v/>
      </c>
      <c r="C10" s="2303"/>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2"/>
      <c r="AG10" s="147">
        <f t="shared" si="7"/>
        <v>0</v>
      </c>
      <c r="AH10" s="83"/>
      <c r="AI10" s="85"/>
      <c r="AJ10" s="86"/>
      <c r="AK10" s="87"/>
      <c r="AL10" s="88"/>
      <c r="AM10" s="89"/>
      <c r="AN10" s="2304"/>
      <c r="AO10" s="55" t="e">
        <f t="shared" ca="1" si="8"/>
        <v>#REF!</v>
      </c>
      <c r="AP10" s="2305">
        <f t="shared" si="9"/>
        <v>0</v>
      </c>
      <c r="AQ10" s="55">
        <f t="shared" si="10"/>
        <v>0</v>
      </c>
      <c r="AR10" s="55">
        <f t="shared" si="11"/>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29" customFormat="1" ht="14.25">
      <c r="A11" s="2301">
        <f>'数据-汇总表'!C24</f>
        <v>0</v>
      </c>
      <c r="B11" s="2302" t="str">
        <f t="shared" si="1"/>
        <v/>
      </c>
      <c r="C11" s="2303"/>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802"/>
      <c r="AG11" s="147">
        <f t="shared" si="7"/>
        <v>0</v>
      </c>
      <c r="AH11" s="83"/>
      <c r="AI11" s="85"/>
      <c r="AJ11" s="86"/>
      <c r="AK11" s="94"/>
      <c r="AL11" s="95"/>
      <c r="AM11" s="96"/>
      <c r="AN11" s="2304"/>
      <c r="AO11" s="55" t="e">
        <f t="shared" ca="1" si="8"/>
        <v>#REF!</v>
      </c>
      <c r="AP11" s="2305">
        <f t="shared" si="9"/>
        <v>0</v>
      </c>
      <c r="AQ11" s="55">
        <f t="shared" si="10"/>
        <v>0</v>
      </c>
      <c r="AR11" s="55">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29" customFormat="1" ht="14.25">
      <c r="A12" s="2301">
        <f>'数据-汇总表'!C25</f>
        <v>0</v>
      </c>
      <c r="B12" s="2302" t="str">
        <f t="shared" si="1"/>
        <v/>
      </c>
      <c r="C12" s="2303"/>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802"/>
      <c r="AG12" s="147">
        <f t="shared" si="7"/>
        <v>0</v>
      </c>
      <c r="AH12" s="83"/>
      <c r="AI12" s="85"/>
      <c r="AJ12" s="86"/>
      <c r="AK12" s="94"/>
      <c r="AL12" s="95"/>
      <c r="AM12" s="96"/>
      <c r="AN12" s="2304"/>
      <c r="AO12" s="55" t="e">
        <f t="shared" ca="1" si="8"/>
        <v>#REF!</v>
      </c>
      <c r="AP12" s="2305">
        <f t="shared" si="9"/>
        <v>0</v>
      </c>
      <c r="AQ12" s="55">
        <f t="shared" si="10"/>
        <v>0</v>
      </c>
      <c r="AR12" s="55">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29" customFormat="1" ht="14.25">
      <c r="A13" s="2301">
        <f>'数据-汇总表'!C26</f>
        <v>0</v>
      </c>
      <c r="B13" s="2302" t="str">
        <f t="shared" si="1"/>
        <v/>
      </c>
      <c r="C13" s="2303"/>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2"/>
      <c r="AG13" s="147">
        <f t="shared" si="7"/>
        <v>0</v>
      </c>
      <c r="AH13" s="83"/>
      <c r="AI13" s="85"/>
      <c r="AJ13" s="86"/>
      <c r="AK13" s="87"/>
      <c r="AL13" s="88"/>
      <c r="AM13" s="89"/>
      <c r="AN13" s="2304"/>
      <c r="AO13" s="55" t="e">
        <f t="shared" ca="1" si="8"/>
        <v>#REF!</v>
      </c>
      <c r="AP13" s="2305">
        <f t="shared" si="9"/>
        <v>0</v>
      </c>
      <c r="AQ13" s="55">
        <f t="shared" si="10"/>
        <v>0</v>
      </c>
      <c r="AR13" s="55">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29" customFormat="1" ht="14.25">
      <c r="A14" s="2306" t="s">
        <v>2009</v>
      </c>
      <c r="B14" s="2302" t="s">
        <v>2010</v>
      </c>
      <c r="C14" s="2307" t="s">
        <v>2009</v>
      </c>
      <c r="D14" s="1051"/>
      <c r="E14" s="1048"/>
      <c r="F14" s="72"/>
      <c r="G14" s="73"/>
      <c r="H14" s="1249"/>
      <c r="I14" s="1249"/>
      <c r="J14" s="1249"/>
      <c r="K14" s="1250">
        <f>SUMIF('数据-汇总表'!C$19:C$33,A14,'数据-汇总表'!E$19:E$33)</f>
        <v>0</v>
      </c>
      <c r="L14" s="91"/>
      <c r="M14" s="75">
        <f t="shared" si="0"/>
        <v>0</v>
      </c>
      <c r="N14" s="92"/>
      <c r="O14" s="75" t="str">
        <f t="shared" si="3"/>
        <v>——</v>
      </c>
      <c r="P14" s="76" t="str">
        <f t="shared" si="4"/>
        <v>——</v>
      </c>
      <c r="Q14" s="1253"/>
      <c r="R14" s="77"/>
      <c r="S14" s="54"/>
      <c r="T14" s="1442"/>
      <c r="U14" s="722"/>
      <c r="V14" s="1255"/>
      <c r="W14" s="1255"/>
      <c r="X14" s="1256"/>
      <c r="Y14" s="1257"/>
      <c r="Z14" s="1258"/>
      <c r="AA14" s="1259"/>
      <c r="AB14" s="1259"/>
      <c r="AC14" s="1260"/>
      <c r="AD14" s="1256"/>
      <c r="AE14" s="1261"/>
      <c r="AF14" s="55"/>
      <c r="AG14" s="147"/>
      <c r="AH14" s="1261"/>
      <c r="AI14" s="1813"/>
      <c r="AJ14" s="772"/>
      <c r="AK14" s="1262"/>
      <c r="AL14" s="1263"/>
      <c r="AM14" s="1264"/>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29" customFormat="1" ht="27">
      <c r="A15" s="2306" t="s">
        <v>2011</v>
      </c>
      <c r="B15" s="2302" t="s">
        <v>2010</v>
      </c>
      <c r="C15" s="2307" t="s">
        <v>2012</v>
      </c>
      <c r="D15" s="1051"/>
      <c r="E15" s="1048"/>
      <c r="F15" s="72"/>
      <c r="G15" s="73"/>
      <c r="H15" s="1249"/>
      <c r="I15" s="1249"/>
      <c r="J15" s="1249"/>
      <c r="K15" s="1250">
        <f>SUMIF('数据-汇总表'!C$19:C$33,A15,'数据-汇总表'!E$19:E$33)</f>
        <v>0</v>
      </c>
      <c r="L15" s="1251"/>
      <c r="M15" s="75"/>
      <c r="N15" s="1252"/>
      <c r="O15" s="75"/>
      <c r="P15" s="76"/>
      <c r="Q15" s="1253"/>
      <c r="R15" s="77"/>
      <c r="S15" s="54"/>
      <c r="T15" s="1442"/>
      <c r="U15" s="722"/>
      <c r="V15" s="1255"/>
      <c r="W15" s="1255"/>
      <c r="X15" s="1256"/>
      <c r="Y15" s="1257"/>
      <c r="Z15" s="1258"/>
      <c r="AA15" s="1259"/>
      <c r="AB15" s="1259"/>
      <c r="AC15" s="1260"/>
      <c r="AD15" s="1256"/>
      <c r="AE15" s="1261"/>
      <c r="AF15" s="55"/>
      <c r="AG15" s="147"/>
      <c r="AH15" s="1261"/>
      <c r="AI15" s="1813"/>
      <c r="AJ15" s="772"/>
      <c r="AK15" s="1262"/>
      <c r="AL15" s="1263"/>
      <c r="AM15" s="1264"/>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29" customFormat="1" ht="15.75" thickBot="1">
      <c r="A16" s="2308" t="s">
        <v>2013</v>
      </c>
      <c r="B16" s="97"/>
      <c r="C16" s="1007"/>
      <c r="D16" s="2309"/>
      <c r="E16" s="97"/>
      <c r="F16" s="97"/>
      <c r="G16" s="98">
        <f>ROUND(SUMPRODUCT(G6:G13,K6:K13)/SUMPRODUCT((G6:G13&gt;0)*(K6:K13)),3)</f>
        <v>0.88500000000000001</v>
      </c>
      <c r="H16" s="99">
        <f>ROUND(SUMPRODUCT(H6:H13,K6:K13)/SUMPRODUCT((H6:H13&gt;0)*(K6:K13)),3)</f>
        <v>4.4999999999999998E-2</v>
      </c>
      <c r="I16" s="100"/>
      <c r="J16" s="100"/>
      <c r="K16" s="101">
        <f>SUM(K6:K15)</f>
        <v>4163.47</v>
      </c>
      <c r="L16" s="102">
        <f>ROUND(M16*10000/SUM(K6:K14),0)</f>
        <v>3000</v>
      </c>
      <c r="M16" s="102">
        <f>SUM(M6:M14)</f>
        <v>1249</v>
      </c>
      <c r="N16" s="103">
        <f>ROUND(SUMPRODUCT(M6:M14,N6:N14)/M16,3)</f>
        <v>0.87</v>
      </c>
      <c r="O16" s="102">
        <f>SUM(O6:O14)</f>
        <v>0</v>
      </c>
      <c r="P16" s="102">
        <f>SUM(P6:P14)</f>
        <v>0</v>
      </c>
      <c r="Q16" s="104">
        <f>ROUND(SUMPRODUCT(Q6:Q13,K6:K13)/SUMPRODUCT((Q6:Q13&gt;0)*(K6:K13)),2)</f>
        <v>0.2</v>
      </c>
      <c r="R16" s="1254">
        <f ca="1">SUM(R6:R13)</f>
        <v>1606.66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31"/>
      <c r="C17" s="1580"/>
      <c r="D17" s="2268"/>
      <c r="E17" s="2268"/>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2014</v>
      </c>
      <c r="B18" s="2275"/>
      <c r="C18" s="2272"/>
      <c r="D18" s="2273"/>
      <c r="E18" s="2272"/>
      <c r="F18" s="2272"/>
      <c r="G18" s="2272"/>
      <c r="H18" s="2272"/>
      <c r="I18" s="2272"/>
      <c r="J18" s="2272"/>
      <c r="K18" s="168"/>
      <c r="L18" s="168"/>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1" t="s">
        <v>2015</v>
      </c>
      <c r="B19" s="112">
        <v>0</v>
      </c>
      <c r="C19" s="2272" t="s">
        <v>2016</v>
      </c>
      <c r="D19" s="2273"/>
      <c r="E19" s="2272"/>
      <c r="F19" s="2272"/>
      <c r="G19" s="2272"/>
      <c r="H19" s="2272"/>
      <c r="I19" s="2272"/>
      <c r="J19" s="2272"/>
      <c r="K19" s="168"/>
      <c r="L19" s="168"/>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2" t="s">
        <v>2017</v>
      </c>
      <c r="B20" s="113">
        <v>2</v>
      </c>
      <c r="C20" s="2272" t="s">
        <v>2018</v>
      </c>
      <c r="D20" s="2273"/>
      <c r="E20" s="2272"/>
      <c r="F20" s="2272"/>
      <c r="G20" s="2272"/>
      <c r="H20" s="2272"/>
      <c r="I20" s="2272"/>
      <c r="J20" s="2272"/>
      <c r="K20" s="168"/>
      <c r="L20" s="168"/>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3" t="s">
        <v>2019</v>
      </c>
      <c r="B21" s="113">
        <v>2</v>
      </c>
      <c r="C21" s="2272"/>
      <c r="D21" s="2273"/>
      <c r="E21" s="2272"/>
      <c r="F21" s="2272"/>
      <c r="G21" s="2272"/>
      <c r="H21" s="2272"/>
      <c r="I21" s="2272"/>
      <c r="J21" s="2272"/>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2" t="s">
        <v>2020</v>
      </c>
      <c r="B22" s="114">
        <f>B19+B20</f>
        <v>2</v>
      </c>
      <c r="C22" s="2272"/>
      <c r="D22" s="2273"/>
      <c r="E22" s="2272"/>
      <c r="F22" s="2272"/>
      <c r="G22" s="2272"/>
      <c r="H22" s="2272"/>
      <c r="I22" s="2272"/>
      <c r="J22" s="2272"/>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3" t="s">
        <v>2021</v>
      </c>
      <c r="B23" s="114">
        <f>B19+B21</f>
        <v>2</v>
      </c>
      <c r="C23" s="2272"/>
      <c r="D23" s="2273"/>
      <c r="E23" s="2272"/>
      <c r="F23" s="2272"/>
      <c r="G23" s="2272"/>
      <c r="H23" s="2272"/>
      <c r="I23" s="2272"/>
      <c r="J23" s="2272"/>
      <c r="K23" s="168"/>
      <c r="L23" s="168"/>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4" t="s">
        <v>2022</v>
      </c>
      <c r="B24" s="115">
        <f>B20-B21</f>
        <v>0</v>
      </c>
      <c r="C24" s="2272"/>
      <c r="D24" s="2273"/>
      <c r="E24" s="2272"/>
      <c r="F24" s="2272"/>
      <c r="G24" s="2272"/>
      <c r="H24" s="2272"/>
      <c r="I24" s="2272"/>
      <c r="J24" s="2272"/>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7"/>
      <c r="B25" s="2275"/>
      <c r="C25" s="2272"/>
      <c r="D25" s="2273"/>
      <c r="E25" s="2272"/>
      <c r="F25" s="2272"/>
      <c r="G25" s="2272"/>
      <c r="H25" s="2272"/>
      <c r="I25" s="2272"/>
      <c r="J25" s="2272"/>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1" t="s">
        <v>2023</v>
      </c>
      <c r="B26" s="2315" t="s">
        <v>2024</v>
      </c>
      <c r="C26" s="2316" t="s">
        <v>2025</v>
      </c>
      <c r="D26" s="2273"/>
      <c r="E26" s="2272"/>
      <c r="F26" s="2272"/>
      <c r="G26" s="2272"/>
      <c r="H26" s="2272"/>
      <c r="I26" s="2272"/>
      <c r="J26" s="2272"/>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19" customFormat="1" ht="27.75">
      <c r="A27" s="2317" t="s">
        <v>2026</v>
      </c>
      <c r="B27" s="116"/>
      <c r="C27" s="1763" t="s">
        <v>2027</v>
      </c>
      <c r="D27" s="2318"/>
      <c r="E27" s="1426"/>
      <c r="F27" s="1426"/>
      <c r="G27" s="2272"/>
      <c r="H27" s="2272"/>
      <c r="I27" s="2272"/>
      <c r="J27" s="2272"/>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19" customFormat="1" ht="27.75">
      <c r="A28" s="2320" t="s">
        <v>2028</v>
      </c>
      <c r="B28" s="119">
        <v>200</v>
      </c>
      <c r="C28" s="2321"/>
      <c r="D28" s="2318"/>
      <c r="E28" s="1426"/>
      <c r="F28" s="1426"/>
      <c r="G28" s="2272"/>
      <c r="H28" s="2272"/>
      <c r="I28" s="2272"/>
      <c r="J28" s="2272"/>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19" customFormat="1" ht="28.5" thickBot="1">
      <c r="A29" s="2322" t="s">
        <v>2029</v>
      </c>
      <c r="B29" s="121">
        <f>ROUND(B28*K16/10000,0)</f>
        <v>83</v>
      </c>
      <c r="C29" s="1763" t="s">
        <v>2030</v>
      </c>
      <c r="D29" s="2318"/>
      <c r="E29" s="1426"/>
      <c r="F29" s="1426"/>
      <c r="G29" s="2272"/>
      <c r="H29" s="2272"/>
      <c r="I29" s="2272"/>
      <c r="J29" s="2272"/>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19" customFormat="1" ht="27">
      <c r="A30" s="2323" t="s">
        <v>2031</v>
      </c>
      <c r="B30" s="723">
        <v>200</v>
      </c>
      <c r="C30" s="2321"/>
      <c r="D30" s="2318"/>
      <c r="E30" s="1426"/>
      <c r="F30" s="1426"/>
      <c r="G30" s="2272"/>
      <c r="H30" s="2272"/>
      <c r="I30" s="2272"/>
      <c r="J30" s="2272"/>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19" customFormat="1" ht="27">
      <c r="A31" s="2320" t="s">
        <v>2032</v>
      </c>
      <c r="B31" s="120">
        <f>B30-B32</f>
        <v>200</v>
      </c>
      <c r="C31" s="1763"/>
      <c r="D31" s="2318"/>
      <c r="E31" s="1426"/>
      <c r="F31" s="1426"/>
      <c r="G31" s="2272"/>
      <c r="H31" s="2272"/>
      <c r="I31" s="2272"/>
      <c r="J31" s="2272"/>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19" customFormat="1" ht="27.75" thickBot="1">
      <c r="A32" s="2324" t="s">
        <v>2033</v>
      </c>
      <c r="B32" s="724">
        <v>0</v>
      </c>
      <c r="C32" s="2321"/>
      <c r="D32" s="2273"/>
      <c r="E32" s="2272"/>
      <c r="F32" s="2272"/>
      <c r="G32" s="2272"/>
      <c r="H32" s="2272"/>
      <c r="I32" s="2272"/>
      <c r="J32" s="2272"/>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19" customFormat="1" ht="14.25">
      <c r="A33" s="2317" t="s">
        <v>2034</v>
      </c>
      <c r="B33" s="725">
        <v>0.05</v>
      </c>
      <c r="C33" s="1762" t="s">
        <v>2035</v>
      </c>
      <c r="D33" s="2273"/>
      <c r="E33" s="2272"/>
      <c r="F33" s="2272"/>
      <c r="G33" s="2272"/>
      <c r="H33" s="2272"/>
      <c r="I33" s="2272"/>
      <c r="J33" s="2272"/>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19" customFormat="1" ht="14.25">
      <c r="A34" s="2320" t="s">
        <v>2036</v>
      </c>
      <c r="B34" s="122">
        <v>0</v>
      </c>
      <c r="C34" s="1762" t="s">
        <v>2037</v>
      </c>
      <c r="D34" s="2273" t="s">
        <v>2038</v>
      </c>
      <c r="E34" s="731"/>
      <c r="F34" s="2272"/>
      <c r="G34" s="2272"/>
      <c r="H34" s="2272"/>
      <c r="I34" s="2272"/>
      <c r="J34" s="2272"/>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19" customFormat="1" ht="14.25">
      <c r="A35" s="2320" t="s">
        <v>2039</v>
      </c>
      <c r="B35" s="119">
        <v>200</v>
      </c>
      <c r="C35" s="1762" t="s">
        <v>2040</v>
      </c>
      <c r="D35" s="2318"/>
      <c r="E35" s="1426"/>
      <c r="F35" s="1426"/>
      <c r="G35" s="2272"/>
      <c r="H35" s="2272"/>
      <c r="I35" s="2272"/>
      <c r="J35" s="2272"/>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2" t="s">
        <v>2041</v>
      </c>
      <c r="B36" s="123">
        <v>1.4999999999999999E-2</v>
      </c>
      <c r="C36" s="1762" t="s">
        <v>2042</v>
      </c>
      <c r="D36" s="2273"/>
      <c r="E36" s="2272"/>
      <c r="F36" s="2272"/>
      <c r="G36" s="2272"/>
      <c r="H36" s="2272"/>
      <c r="I36" s="2272"/>
      <c r="J36" s="2272"/>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3" t="s">
        <v>2043</v>
      </c>
      <c r="B37" s="124">
        <v>0.01</v>
      </c>
      <c r="C37" s="1762" t="s">
        <v>2044</v>
      </c>
      <c r="D37" s="2273"/>
      <c r="E37" s="2272"/>
      <c r="F37" s="2272"/>
      <c r="G37" s="2272"/>
      <c r="H37" s="2272"/>
      <c r="I37" s="2272"/>
      <c r="J37" s="2272"/>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20" t="s">
        <v>2045</v>
      </c>
      <c r="B38" s="122">
        <v>0.01</v>
      </c>
      <c r="C38" s="1762" t="s">
        <v>2044</v>
      </c>
      <c r="D38" s="2273"/>
      <c r="E38" s="2272"/>
      <c r="F38" s="2272"/>
      <c r="G38" s="2272"/>
      <c r="H38" s="2272"/>
      <c r="I38" s="2272"/>
      <c r="J38" s="2272"/>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4" t="s">
        <v>2046</v>
      </c>
      <c r="B39" s="362">
        <f ca="1">存贷款利率!I1</f>
        <v>1.4999999999999999E-2</v>
      </c>
      <c r="C39" s="1762"/>
      <c r="D39" s="2273"/>
      <c r="E39" s="2272"/>
      <c r="F39" s="2272"/>
      <c r="G39" s="2272"/>
      <c r="H39" s="2272"/>
      <c r="I39" s="2272"/>
      <c r="J39" s="2272"/>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4" t="s">
        <v>2047</v>
      </c>
      <c r="B40" s="1299">
        <f ca="1">存贷款利率!G1</f>
        <v>4.7500000000000001E-2</v>
      </c>
      <c r="C40" s="1762" t="s">
        <v>2048</v>
      </c>
      <c r="D40" s="1580"/>
      <c r="E40" s="2273"/>
      <c r="F40" s="2272"/>
      <c r="G40" s="2272"/>
      <c r="H40" s="2272"/>
      <c r="I40" s="2272"/>
      <c r="J40" s="2272"/>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17" t="s">
        <v>2049</v>
      </c>
      <c r="B41" s="125">
        <f>B42+B43</f>
        <v>5.6000000000000001E-2</v>
      </c>
      <c r="C41" s="1763"/>
      <c r="D41" s="1580"/>
      <c r="E41" s="2273"/>
      <c r="F41" s="2272"/>
      <c r="G41" s="2272"/>
      <c r="H41" s="2272"/>
      <c r="I41" s="2272"/>
      <c r="J41" s="2272"/>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5" t="s">
        <v>2050</v>
      </c>
      <c r="B42" s="126">
        <v>0.05</v>
      </c>
      <c r="C42" s="2326">
        <f>IF(B2&lt;DATE(2016,5,1),0,B42)</f>
        <v>0.05</v>
      </c>
      <c r="D42" s="2273"/>
      <c r="E42" s="2272"/>
      <c r="F42" s="2272"/>
      <c r="G42" s="2272"/>
      <c r="H42" s="2272"/>
      <c r="I42" s="2272"/>
      <c r="J42" s="2272"/>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5" t="s">
        <v>2051</v>
      </c>
      <c r="B43" s="127">
        <f>B42*(B44+B45+B46)+B47</f>
        <v>6.000000000000001E-3</v>
      </c>
      <c r="C43" s="1763"/>
      <c r="D43" s="2273"/>
      <c r="E43" s="2272"/>
      <c r="F43" s="2272"/>
      <c r="G43" s="2272"/>
      <c r="H43" s="2272"/>
      <c r="I43" s="2272"/>
      <c r="J43" s="2272"/>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27" t="s">
        <v>2052</v>
      </c>
      <c r="B44" s="128">
        <v>7.0000000000000007E-2</v>
      </c>
      <c r="C44" s="1762" t="s">
        <v>2053</v>
      </c>
      <c r="D44" s="2273"/>
      <c r="E44" s="2272"/>
      <c r="F44" s="2272"/>
      <c r="G44" s="2272"/>
      <c r="H44" s="2272"/>
      <c r="I44" s="2272"/>
      <c r="J44" s="2272"/>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27" t="s">
        <v>2054</v>
      </c>
      <c r="B45" s="126">
        <v>0.03</v>
      </c>
      <c r="C45" s="1763" t="s">
        <v>2055</v>
      </c>
      <c r="D45" s="2273"/>
      <c r="E45" s="2272"/>
      <c r="F45" s="2272"/>
      <c r="G45" s="2272"/>
      <c r="H45" s="2272"/>
      <c r="I45" s="2272"/>
      <c r="J45" s="2272"/>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27" t="s">
        <v>2056</v>
      </c>
      <c r="B46" s="126">
        <v>0.02</v>
      </c>
      <c r="C46" s="1763" t="s">
        <v>2057</v>
      </c>
      <c r="D46" s="2273"/>
      <c r="E46" s="2272"/>
      <c r="F46" s="2272"/>
      <c r="G46" s="2272"/>
      <c r="H46" s="2272"/>
      <c r="I46" s="2272"/>
      <c r="J46" s="2272"/>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8" t="s">
        <v>2058</v>
      </c>
      <c r="B47" s="129"/>
      <c r="C47" s="1763" t="s">
        <v>2059</v>
      </c>
      <c r="D47" s="2273"/>
      <c r="E47" s="2272"/>
      <c r="F47" s="2272"/>
      <c r="G47" s="2272"/>
      <c r="H47" s="2272"/>
      <c r="I47" s="2272"/>
      <c r="J47" s="2272"/>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29" t="s">
        <v>2060</v>
      </c>
      <c r="B48" s="130">
        <v>0.03</v>
      </c>
      <c r="C48" s="1769" t="s">
        <v>2061</v>
      </c>
      <c r="D48" s="2273"/>
      <c r="E48" s="2272"/>
      <c r="F48" s="2272"/>
      <c r="G48" s="2272"/>
      <c r="H48" s="2272"/>
      <c r="I48" s="2272"/>
      <c r="J48" s="2272"/>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4" t="s">
        <v>2062</v>
      </c>
      <c r="B49" s="126">
        <v>5.0000000000000001E-4</v>
      </c>
      <c r="C49" s="1769" t="s">
        <v>2063</v>
      </c>
      <c r="D49" s="2273"/>
      <c r="E49" s="2272"/>
      <c r="F49" s="2272"/>
      <c r="G49" s="2272"/>
      <c r="H49" s="2272"/>
      <c r="I49" s="2272"/>
      <c r="J49" s="2272"/>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30" t="s">
        <v>2064</v>
      </c>
      <c r="B50" s="131">
        <v>1.2E-2</v>
      </c>
      <c r="C50" s="1426"/>
      <c r="D50" s="2273"/>
      <c r="E50" s="2272"/>
      <c r="F50" s="2272"/>
      <c r="G50" s="2272"/>
      <c r="H50" s="2272"/>
      <c r="I50" s="2272"/>
      <c r="J50" s="2272"/>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2" t="s">
        <v>2065</v>
      </c>
      <c r="B51" s="132">
        <v>0.12</v>
      </c>
      <c r="C51" s="1426"/>
      <c r="D51" s="2273"/>
      <c r="E51" s="2272"/>
      <c r="F51" s="2272"/>
      <c r="G51" s="2272"/>
      <c r="H51" s="2272"/>
      <c r="I51" s="2272"/>
      <c r="J51" s="2272"/>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30" t="s">
        <v>2066</v>
      </c>
      <c r="B52" s="133">
        <f>SUMIF(A54:A63,B53,B54:B63)</f>
        <v>3</v>
      </c>
      <c r="C52" s="1426"/>
      <c r="D52" s="2273"/>
      <c r="E52" s="2272"/>
      <c r="F52" s="2272"/>
      <c r="G52" s="2272"/>
      <c r="H52" s="2272"/>
      <c r="I52" s="2272"/>
      <c r="J52" s="2272"/>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20" t="s">
        <v>2067</v>
      </c>
      <c r="B53" s="2331" t="s">
        <v>523</v>
      </c>
      <c r="C53" s="1426" t="s">
        <v>2068</v>
      </c>
      <c r="D53" s="2332" t="s">
        <v>2069</v>
      </c>
      <c r="E53" s="2272"/>
      <c r="F53" s="2272"/>
      <c r="G53" s="2272"/>
      <c r="H53" s="2272"/>
      <c r="I53" s="2272"/>
      <c r="J53" s="2272"/>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3" t="s">
        <v>2070</v>
      </c>
      <c r="B54" s="84"/>
      <c r="C54" s="1426">
        <v>30</v>
      </c>
      <c r="D54" s="2273"/>
      <c r="E54" s="2272"/>
      <c r="F54" s="2272"/>
      <c r="G54" s="2272"/>
      <c r="H54" s="2272"/>
      <c r="I54" s="2272"/>
      <c r="J54" s="2272"/>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3" t="s">
        <v>2071</v>
      </c>
      <c r="B55" s="84"/>
      <c r="C55" s="1426">
        <v>24</v>
      </c>
      <c r="D55" s="2273"/>
      <c r="E55" s="2272"/>
      <c r="F55" s="2272"/>
      <c r="G55" s="2272"/>
      <c r="H55" s="2272"/>
      <c r="I55" s="2334"/>
      <c r="J55" s="2272"/>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3" t="s">
        <v>2072</v>
      </c>
      <c r="B56" s="84"/>
      <c r="C56" s="1426">
        <v>18</v>
      </c>
      <c r="D56" s="2273"/>
      <c r="E56" s="2272"/>
      <c r="F56" s="2272"/>
      <c r="G56" s="2272"/>
      <c r="H56" s="2272"/>
      <c r="I56" s="2272"/>
      <c r="J56" s="2272"/>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3" t="s">
        <v>2073</v>
      </c>
      <c r="B57" s="84"/>
      <c r="C57" s="1426">
        <v>12</v>
      </c>
      <c r="D57" s="2273"/>
      <c r="E57" s="2272"/>
      <c r="F57" s="2272"/>
      <c r="G57" s="2272"/>
      <c r="H57" s="2272"/>
      <c r="I57" s="2272"/>
      <c r="J57" s="2272"/>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3" t="s">
        <v>2074</v>
      </c>
      <c r="B58" s="84">
        <v>3</v>
      </c>
      <c r="C58" s="1426">
        <v>3</v>
      </c>
      <c r="D58" s="2273"/>
      <c r="E58" s="2272"/>
      <c r="F58" s="2272"/>
      <c r="G58" s="2272"/>
      <c r="H58" s="2272"/>
      <c r="I58" s="2272"/>
      <c r="J58" s="2272"/>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3" t="s">
        <v>2075</v>
      </c>
      <c r="B59" s="84"/>
      <c r="C59" s="1426">
        <v>1.5</v>
      </c>
      <c r="D59" s="2273"/>
      <c r="E59" s="2272"/>
      <c r="F59" s="2272"/>
      <c r="G59" s="2272"/>
      <c r="H59" s="2272"/>
      <c r="I59" s="2272"/>
      <c r="J59" s="2272"/>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3" t="s">
        <v>2076</v>
      </c>
      <c r="B60" s="84"/>
      <c r="C60" s="2272"/>
      <c r="D60" s="2273"/>
      <c r="E60" s="2272"/>
      <c r="F60" s="2272"/>
      <c r="G60" s="2272"/>
      <c r="H60" s="2272"/>
      <c r="I60" s="2272"/>
      <c r="J60" s="2272"/>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3" t="s">
        <v>2077</v>
      </c>
      <c r="B61" s="84"/>
      <c r="C61" s="2272"/>
      <c r="D61" s="2273"/>
      <c r="E61" s="2272"/>
      <c r="F61" s="2272"/>
      <c r="G61" s="2272"/>
      <c r="H61" s="2272"/>
      <c r="I61" s="2272"/>
      <c r="J61" s="2272"/>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3" t="s">
        <v>2078</v>
      </c>
      <c r="B62" s="84"/>
      <c r="C62" s="2272"/>
      <c r="D62" s="2273"/>
      <c r="E62" s="2272"/>
      <c r="F62" s="2272"/>
      <c r="G62" s="2272"/>
      <c r="H62" s="2272"/>
      <c r="I62" s="2272"/>
      <c r="J62" s="2272"/>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5" t="s">
        <v>2079</v>
      </c>
      <c r="B63" s="134"/>
      <c r="C63" s="2272"/>
      <c r="D63" s="2273"/>
      <c r="E63" s="2272"/>
      <c r="F63" s="2272"/>
      <c r="G63" s="2272"/>
      <c r="H63" s="2272"/>
      <c r="I63" s="2272"/>
      <c r="J63" s="2272"/>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6" customFormat="1">
      <c r="A64" s="2336"/>
      <c r="D64" s="2337"/>
      <c r="K64" s="797"/>
      <c r="L64" s="797"/>
    </row>
    <row r="65" spans="1:12" s="966" customFormat="1">
      <c r="A65" s="2336"/>
      <c r="D65" s="2337"/>
      <c r="K65" s="797"/>
      <c r="L65" s="797"/>
    </row>
    <row r="66" spans="1:12" s="966" customFormat="1">
      <c r="A66" s="2336"/>
      <c r="D66" s="2337"/>
      <c r="K66" s="797"/>
      <c r="L66" s="797"/>
    </row>
    <row r="67" spans="1:12" s="966" customFormat="1">
      <c r="A67" s="2336"/>
      <c r="D67" s="2337"/>
      <c r="K67" s="797"/>
      <c r="L67" s="797"/>
    </row>
    <row r="68" spans="1:12" s="966" customFormat="1">
      <c r="A68" s="2336"/>
      <c r="D68" s="2337"/>
      <c r="K68" s="797"/>
      <c r="L68" s="797"/>
    </row>
    <row r="69" spans="1:12" s="966" customFormat="1">
      <c r="A69" s="2336"/>
      <c r="D69" s="2337"/>
      <c r="K69" s="797"/>
      <c r="L69" s="797"/>
    </row>
    <row r="70" spans="1:12" s="966" customFormat="1">
      <c r="A70" s="2336"/>
      <c r="D70" s="2337"/>
      <c r="K70" s="797"/>
      <c r="L70" s="797"/>
    </row>
    <row r="71" spans="1:12" s="966" customFormat="1">
      <c r="A71" s="2336"/>
      <c r="D71" s="2337"/>
      <c r="K71" s="797"/>
      <c r="L71" s="797"/>
    </row>
    <row r="72" spans="1:12" s="966" customFormat="1">
      <c r="A72" s="2336"/>
      <c r="D72" s="2337"/>
      <c r="K72" s="797"/>
      <c r="L72" s="797"/>
    </row>
    <row r="73" spans="1:12" s="966" customFormat="1">
      <c r="A73" s="2336"/>
      <c r="D73" s="2337"/>
      <c r="K73" s="797"/>
      <c r="L73" s="797"/>
    </row>
    <row r="74" spans="1:12" s="966" customFormat="1">
      <c r="A74" s="2336"/>
      <c r="D74" s="2337"/>
      <c r="K74" s="797"/>
      <c r="L74" s="797"/>
    </row>
    <row r="75" spans="1:12" s="966" customFormat="1">
      <c r="A75" s="2336"/>
      <c r="D75" s="2337"/>
      <c r="K75" s="797"/>
      <c r="L75" s="797"/>
    </row>
    <row r="76" spans="1:12" s="966" customFormat="1">
      <c r="A76" s="2336"/>
      <c r="D76" s="2337"/>
      <c r="K76" s="797"/>
      <c r="L76" s="797"/>
    </row>
    <row r="77" spans="1:12" s="966" customFormat="1">
      <c r="A77" s="2336"/>
      <c r="D77" s="2337"/>
      <c r="K77" s="797"/>
      <c r="L77" s="797"/>
    </row>
    <row r="78" spans="1:12" s="966" customFormat="1">
      <c r="A78" s="2336"/>
      <c r="D78" s="2337"/>
      <c r="K78" s="797"/>
      <c r="L78" s="797"/>
    </row>
    <row r="79" spans="1:12" s="966" customFormat="1">
      <c r="A79" s="2336"/>
      <c r="D79" s="2337"/>
      <c r="K79" s="797"/>
      <c r="L79" s="797"/>
    </row>
    <row r="80" spans="1:12" s="966" customFormat="1">
      <c r="A80" s="2336"/>
      <c r="D80" s="2337"/>
      <c r="K80" s="797"/>
      <c r="L80" s="797"/>
    </row>
    <row r="81" spans="1:12" s="966" customFormat="1">
      <c r="A81" s="2336"/>
      <c r="D81" s="2337"/>
      <c r="K81" s="797"/>
      <c r="L81" s="797"/>
    </row>
    <row r="82" spans="1:12" s="966" customFormat="1">
      <c r="A82" s="2336"/>
      <c r="D82" s="2337"/>
      <c r="K82" s="797"/>
      <c r="L82" s="797"/>
    </row>
    <row r="83" spans="1:12" s="966" customFormat="1">
      <c r="A83" s="2336"/>
      <c r="D83" s="2337"/>
      <c r="K83" s="797"/>
      <c r="L83" s="797"/>
    </row>
    <row r="84" spans="1:12" s="966" customFormat="1">
      <c r="A84" s="2336"/>
      <c r="D84" s="2337"/>
      <c r="K84" s="797"/>
      <c r="L84" s="797"/>
    </row>
    <row r="85" spans="1:12" s="966" customFormat="1">
      <c r="A85" s="2336"/>
      <c r="D85" s="2337"/>
      <c r="K85" s="797"/>
      <c r="L85" s="797"/>
    </row>
    <row r="86" spans="1:12" s="966" customFormat="1">
      <c r="A86" s="2336"/>
      <c r="D86" s="2337"/>
      <c r="K86" s="797"/>
      <c r="L86" s="797"/>
    </row>
    <row r="87" spans="1:12" s="966" customFormat="1">
      <c r="A87" s="2336"/>
      <c r="D87" s="2337"/>
      <c r="K87" s="797"/>
      <c r="L87" s="797"/>
    </row>
    <row r="88" spans="1:12" s="966" customFormat="1">
      <c r="A88" s="2336"/>
      <c r="D88" s="2337"/>
      <c r="K88" s="797"/>
      <c r="L88" s="797"/>
    </row>
    <row r="89" spans="1:12" s="966" customFormat="1">
      <c r="A89" s="2336"/>
      <c r="D89" s="2337"/>
      <c r="K89" s="797"/>
      <c r="L89" s="797"/>
    </row>
    <row r="90" spans="1:12" s="966" customFormat="1">
      <c r="A90" s="2336"/>
      <c r="D90" s="2337"/>
      <c r="K90" s="797"/>
      <c r="L90" s="797"/>
    </row>
    <row r="91" spans="1:12" s="966" customFormat="1">
      <c r="A91" s="2336"/>
      <c r="D91" s="2337"/>
      <c r="K91" s="797"/>
      <c r="L91" s="797"/>
    </row>
    <row r="92" spans="1:12" s="966" customFormat="1">
      <c r="A92" s="2336"/>
      <c r="D92" s="2337"/>
      <c r="K92" s="797"/>
      <c r="L92" s="797"/>
    </row>
    <row r="93" spans="1:12" s="966" customFormat="1">
      <c r="A93" s="2336"/>
      <c r="D93" s="2337"/>
      <c r="K93" s="797"/>
      <c r="L93" s="797"/>
    </row>
    <row r="94" spans="1:12" s="966" customFormat="1">
      <c r="A94" s="2336"/>
      <c r="D94" s="2337"/>
      <c r="K94" s="797"/>
      <c r="L94" s="797"/>
    </row>
    <row r="95" spans="1:12" s="966" customFormat="1">
      <c r="A95" s="2336"/>
      <c r="D95" s="2337"/>
      <c r="K95" s="797"/>
      <c r="L95" s="797"/>
    </row>
    <row r="96" spans="1:12" s="966" customFormat="1">
      <c r="A96" s="2336"/>
      <c r="D96" s="2337"/>
      <c r="K96" s="797"/>
      <c r="L96" s="797"/>
    </row>
    <row r="97" spans="1:12" s="966" customFormat="1">
      <c r="A97" s="2336"/>
      <c r="D97" s="2337"/>
      <c r="K97" s="797"/>
      <c r="L97" s="797"/>
    </row>
    <row r="98" spans="1:12" s="966" customFormat="1">
      <c r="A98" s="2336"/>
      <c r="D98" s="2337"/>
      <c r="K98" s="797"/>
      <c r="L98" s="797"/>
    </row>
    <row r="99" spans="1:12" s="966" customFormat="1">
      <c r="A99" s="2336"/>
      <c r="D99" s="2337"/>
      <c r="K99" s="797"/>
      <c r="L99" s="797"/>
    </row>
    <row r="100" spans="1:12" s="966" customFormat="1">
      <c r="A100" s="2336"/>
      <c r="D100" s="2337"/>
      <c r="K100" s="797"/>
      <c r="L100" s="797"/>
    </row>
    <row r="101" spans="1:12" s="966" customFormat="1">
      <c r="A101" s="2336"/>
      <c r="D101" s="2337"/>
      <c r="K101" s="797"/>
      <c r="L101" s="797"/>
    </row>
    <row r="102" spans="1:12" s="966" customFormat="1">
      <c r="A102" s="2336"/>
      <c r="D102" s="2337"/>
      <c r="K102" s="797"/>
      <c r="L102" s="797"/>
    </row>
    <row r="103" spans="1:12" s="966" customFormat="1">
      <c r="A103" s="2336"/>
      <c r="D103" s="2337"/>
      <c r="K103" s="797"/>
      <c r="L103" s="797"/>
    </row>
    <row r="104" spans="1:12" s="966" customFormat="1">
      <c r="A104" s="2336"/>
      <c r="D104" s="2337"/>
      <c r="K104" s="797"/>
      <c r="L104" s="797"/>
    </row>
    <row r="105" spans="1:12" s="966" customFormat="1">
      <c r="A105" s="2336"/>
      <c r="D105" s="2337"/>
      <c r="K105" s="797"/>
      <c r="L105" s="797"/>
    </row>
    <row r="106" spans="1:12" s="966" customFormat="1">
      <c r="A106" s="2336"/>
      <c r="D106" s="2337"/>
      <c r="K106" s="797"/>
      <c r="L106" s="797"/>
    </row>
    <row r="107" spans="1:12" s="966" customFormat="1">
      <c r="A107" s="2336"/>
      <c r="D107" s="2337"/>
      <c r="K107" s="797"/>
      <c r="L107" s="797"/>
    </row>
    <row r="108" spans="1:12" s="966" customFormat="1">
      <c r="A108" s="2336"/>
      <c r="D108" s="2337"/>
      <c r="K108" s="797"/>
      <c r="L108" s="797"/>
    </row>
    <row r="109" spans="1:12" s="966" customFormat="1">
      <c r="A109" s="2336"/>
      <c r="D109" s="2337"/>
      <c r="K109" s="797"/>
      <c r="L109" s="797"/>
    </row>
    <row r="110" spans="1:12" s="966" customFormat="1">
      <c r="A110" s="2336"/>
      <c r="D110" s="2337"/>
      <c r="K110" s="797"/>
      <c r="L110" s="797"/>
    </row>
    <row r="111" spans="1:12" s="966" customFormat="1">
      <c r="A111" s="2336"/>
      <c r="D111" s="2337"/>
      <c r="K111" s="797"/>
      <c r="L111" s="797"/>
    </row>
    <row r="112" spans="1:12" s="966" customFormat="1">
      <c r="A112" s="2336"/>
      <c r="D112" s="2337"/>
      <c r="K112" s="797"/>
      <c r="L112" s="797"/>
    </row>
    <row r="113" spans="1:12" s="966" customFormat="1">
      <c r="A113" s="2336"/>
      <c r="D113" s="2337"/>
      <c r="K113" s="797"/>
      <c r="L113" s="797"/>
    </row>
    <row r="114" spans="1:12" s="966" customFormat="1">
      <c r="A114" s="2336"/>
      <c r="D114" s="2337"/>
      <c r="K114" s="797"/>
      <c r="L114" s="797"/>
    </row>
    <row r="115" spans="1:12" s="966" customFormat="1">
      <c r="A115" s="2336"/>
      <c r="D115" s="2337"/>
      <c r="K115" s="797"/>
      <c r="L115" s="797"/>
    </row>
    <row r="116" spans="1:12" s="966" customFormat="1">
      <c r="A116" s="2336"/>
      <c r="D116" s="2337"/>
      <c r="K116" s="797"/>
      <c r="L116" s="797"/>
    </row>
    <row r="117" spans="1:12" s="966" customFormat="1">
      <c r="A117" s="2336"/>
      <c r="D117" s="2337"/>
      <c r="K117" s="797"/>
      <c r="L117" s="797"/>
    </row>
    <row r="118" spans="1:12" s="966" customFormat="1">
      <c r="A118" s="2336"/>
      <c r="D118" s="2337"/>
      <c r="K118" s="797"/>
      <c r="L118" s="797"/>
    </row>
    <row r="119" spans="1:12" s="966" customFormat="1">
      <c r="A119" s="2336"/>
      <c r="D119" s="2337"/>
      <c r="K119" s="797"/>
      <c r="L119" s="797"/>
    </row>
    <row r="120" spans="1:12" s="966" customFormat="1">
      <c r="A120" s="2336"/>
      <c r="D120" s="2337"/>
      <c r="K120" s="797"/>
      <c r="L120" s="797"/>
    </row>
    <row r="121" spans="1:12" s="966" customFormat="1">
      <c r="A121" s="2336"/>
      <c r="D121" s="2337"/>
      <c r="K121" s="797"/>
      <c r="L121" s="797"/>
    </row>
    <row r="122" spans="1:12" s="966" customFormat="1">
      <c r="A122" s="2336"/>
      <c r="D122" s="2337"/>
      <c r="K122" s="797"/>
      <c r="L122" s="797"/>
    </row>
    <row r="123" spans="1:12" s="966" customFormat="1">
      <c r="A123" s="2336"/>
      <c r="D123" s="2337"/>
      <c r="K123" s="797"/>
      <c r="L123" s="797"/>
    </row>
    <row r="124" spans="1:12" s="966" customFormat="1">
      <c r="A124" s="2336"/>
      <c r="D124" s="2337"/>
      <c r="K124" s="797"/>
      <c r="L124" s="797"/>
    </row>
    <row r="125" spans="1:12" s="966" customFormat="1">
      <c r="A125" s="2336"/>
      <c r="D125" s="2337"/>
      <c r="K125" s="797"/>
      <c r="L125" s="797"/>
    </row>
    <row r="126" spans="1:12" s="966" customFormat="1">
      <c r="A126" s="2336"/>
      <c r="D126" s="2337"/>
      <c r="K126" s="797"/>
      <c r="L126" s="797"/>
    </row>
    <row r="127" spans="1:12" s="966" customFormat="1">
      <c r="A127" s="2336"/>
      <c r="D127" s="2337"/>
      <c r="K127" s="797"/>
      <c r="L127" s="797"/>
    </row>
    <row r="128" spans="1:12" s="966" customFormat="1">
      <c r="A128" s="2336"/>
      <c r="D128" s="2337"/>
      <c r="K128" s="797"/>
      <c r="L128" s="797"/>
    </row>
    <row r="129" spans="1:12" s="966" customFormat="1">
      <c r="A129" s="2336"/>
      <c r="D129" s="2337"/>
      <c r="K129" s="797"/>
      <c r="L129" s="797"/>
    </row>
    <row r="130" spans="1:12" s="966" customFormat="1">
      <c r="A130" s="2336"/>
      <c r="D130" s="2337"/>
      <c r="K130" s="797"/>
      <c r="L130" s="797"/>
    </row>
    <row r="131" spans="1:12" s="966" customFormat="1">
      <c r="A131" s="2336"/>
      <c r="D131" s="2337"/>
      <c r="K131" s="797"/>
      <c r="L131" s="797"/>
    </row>
    <row r="132" spans="1:12" s="966" customFormat="1">
      <c r="A132" s="2336"/>
      <c r="D132" s="2337"/>
      <c r="K132" s="797"/>
      <c r="L132" s="797"/>
    </row>
    <row r="133" spans="1:12" s="966" customFormat="1">
      <c r="A133" s="2336"/>
      <c r="D133" s="2337"/>
      <c r="K133" s="797"/>
      <c r="L133" s="797"/>
    </row>
    <row r="134" spans="1:12" s="2269" customFormat="1">
      <c r="A134" s="2338"/>
      <c r="D134" s="2339"/>
      <c r="K134" s="27"/>
      <c r="L134" s="27"/>
    </row>
    <row r="135" spans="1:12" s="2269" customFormat="1">
      <c r="A135" s="2338"/>
      <c r="D135" s="2339"/>
      <c r="K135" s="27"/>
      <c r="L135" s="27"/>
    </row>
    <row r="136" spans="1:12" s="2269" customFormat="1">
      <c r="A136" s="2338"/>
      <c r="D136" s="2339"/>
      <c r="K136" s="27"/>
      <c r="L136" s="27"/>
    </row>
    <row r="137" spans="1:12" s="2269" customFormat="1">
      <c r="A137" s="2338"/>
      <c r="D137" s="2339"/>
      <c r="K137" s="27"/>
      <c r="L137" s="27"/>
    </row>
    <row r="138" spans="1:12" s="2269" customFormat="1">
      <c r="A138" s="2338"/>
      <c r="D138" s="2339"/>
      <c r="K138" s="27"/>
      <c r="L138" s="27"/>
    </row>
    <row r="139" spans="1:12" s="2269" customFormat="1">
      <c r="A139" s="2338"/>
      <c r="D139" s="2339"/>
      <c r="K139" s="27"/>
      <c r="L139" s="27"/>
    </row>
    <row r="140" spans="1:12" s="2269" customFormat="1">
      <c r="A140" s="2338"/>
      <c r="D140" s="2339"/>
      <c r="K140" s="27"/>
      <c r="L140" s="27"/>
    </row>
    <row r="141" spans="1:12" s="2269" customFormat="1">
      <c r="A141" s="2338"/>
      <c r="D141" s="2339"/>
      <c r="K141" s="27"/>
      <c r="L141" s="27"/>
    </row>
    <row r="142" spans="1:12" s="2269" customFormat="1">
      <c r="A142" s="2338"/>
      <c r="D142" s="2339"/>
      <c r="K142" s="27"/>
      <c r="L142" s="27"/>
    </row>
    <row r="143" spans="1:12" s="2269" customFormat="1">
      <c r="A143" s="2338"/>
      <c r="D143" s="2339"/>
      <c r="K143" s="27"/>
      <c r="L143" s="27"/>
    </row>
    <row r="144" spans="1:12" s="2269" customFormat="1">
      <c r="A144" s="2338"/>
      <c r="D144" s="2339"/>
      <c r="K144" s="27"/>
      <c r="L144" s="27"/>
    </row>
    <row r="145" spans="1:12" s="2269" customFormat="1">
      <c r="A145" s="2338"/>
      <c r="D145" s="2339"/>
      <c r="K145" s="27"/>
      <c r="L145" s="27"/>
    </row>
    <row r="146" spans="1:12" s="2269" customFormat="1">
      <c r="A146" s="2338"/>
      <c r="D146" s="2339"/>
      <c r="K146" s="27"/>
      <c r="L146" s="27"/>
    </row>
    <row r="147" spans="1:12" s="2269" customFormat="1">
      <c r="A147" s="2338"/>
      <c r="D147" s="2339"/>
      <c r="K147" s="27"/>
      <c r="L147" s="27"/>
    </row>
    <row r="148" spans="1:12" s="2269" customFormat="1">
      <c r="A148" s="2338"/>
      <c r="D148" s="2339"/>
      <c r="K148" s="27"/>
      <c r="L148" s="27"/>
    </row>
    <row r="149" spans="1:12" s="2269" customFormat="1">
      <c r="A149" s="2338"/>
      <c r="D149" s="2339"/>
      <c r="K149" s="27"/>
      <c r="L149" s="27"/>
    </row>
    <row r="150" spans="1:12" s="2269" customFormat="1">
      <c r="A150" s="2338"/>
      <c r="D150" s="2339"/>
      <c r="K150" s="27"/>
      <c r="L150" s="27"/>
    </row>
    <row r="151" spans="1:12" s="2269" customFormat="1">
      <c r="A151" s="2338"/>
      <c r="D151" s="2339"/>
      <c r="K151" s="27"/>
      <c r="L151" s="27"/>
    </row>
    <row r="152" spans="1:12" s="2269" customFormat="1">
      <c r="A152" s="2338"/>
      <c r="D152" s="2339"/>
      <c r="K152" s="27"/>
      <c r="L152" s="27"/>
    </row>
    <row r="153" spans="1:12" s="2269" customFormat="1">
      <c r="A153" s="2338"/>
      <c r="D153" s="2339"/>
      <c r="K153" s="27"/>
      <c r="L153" s="27"/>
    </row>
    <row r="154" spans="1:12" s="2269" customFormat="1">
      <c r="A154" s="2338"/>
      <c r="D154" s="2339"/>
      <c r="K154" s="27"/>
      <c r="L154" s="27"/>
    </row>
    <row r="155" spans="1:12" s="2269" customFormat="1">
      <c r="A155" s="2338"/>
      <c r="D155" s="2339"/>
      <c r="K155" s="27"/>
      <c r="L155" s="27"/>
    </row>
    <row r="156" spans="1:12" s="2269" customFormat="1">
      <c r="A156" s="2338"/>
      <c r="D156" s="2339"/>
      <c r="K156" s="27"/>
      <c r="L156" s="27"/>
    </row>
    <row r="157" spans="1:12" s="2269" customFormat="1">
      <c r="A157" s="2338"/>
      <c r="D157" s="2339"/>
      <c r="K157" s="27"/>
      <c r="L157" s="27"/>
    </row>
    <row r="158" spans="1:12" s="2269" customFormat="1">
      <c r="A158" s="2338"/>
      <c r="D158" s="2339"/>
      <c r="K158" s="27"/>
      <c r="L158" s="27"/>
    </row>
    <row r="159" spans="1:12" s="2269" customFormat="1">
      <c r="A159" s="2338"/>
      <c r="D159" s="2339"/>
      <c r="K159" s="27"/>
      <c r="L159" s="27"/>
    </row>
    <row r="160" spans="1:12" s="2269" customFormat="1">
      <c r="A160" s="2338"/>
      <c r="D160" s="2339"/>
      <c r="K160" s="27"/>
      <c r="L160" s="27"/>
    </row>
    <row r="161" spans="1:12" s="2269" customFormat="1">
      <c r="A161" s="2338"/>
      <c r="D161" s="2339"/>
      <c r="K161" s="27"/>
      <c r="L161" s="27"/>
    </row>
    <row r="162" spans="1:12" s="2269" customFormat="1">
      <c r="A162" s="2338"/>
      <c r="D162" s="2339"/>
      <c r="K162" s="27"/>
      <c r="L162" s="27"/>
    </row>
    <row r="163" spans="1:12" s="2269" customFormat="1">
      <c r="A163" s="2338"/>
      <c r="D163" s="2339"/>
      <c r="K163" s="27"/>
      <c r="L163" s="27"/>
    </row>
    <row r="164" spans="1:12" s="2269" customFormat="1">
      <c r="A164" s="2338"/>
      <c r="D164" s="2339"/>
      <c r="K164" s="27"/>
      <c r="L164" s="27"/>
    </row>
    <row r="165" spans="1:12" s="2269" customFormat="1">
      <c r="A165" s="2338"/>
      <c r="D165" s="2339"/>
      <c r="K165" s="27"/>
      <c r="L165" s="27"/>
    </row>
    <row r="166" spans="1:12" s="2269" customFormat="1">
      <c r="A166" s="2338"/>
      <c r="D166" s="2339"/>
      <c r="K166" s="27"/>
      <c r="L166" s="27"/>
    </row>
    <row r="167" spans="1:12" s="2269" customFormat="1">
      <c r="A167" s="2338"/>
      <c r="D167" s="2339"/>
      <c r="K167" s="27"/>
      <c r="L167" s="27"/>
    </row>
    <row r="168" spans="1:12" s="2269" customFormat="1">
      <c r="A168" s="2338"/>
      <c r="D168" s="2339"/>
      <c r="K168" s="27"/>
      <c r="L168" s="27"/>
    </row>
    <row r="169" spans="1:12" s="2269" customFormat="1">
      <c r="A169" s="2338"/>
      <c r="D169" s="2339"/>
      <c r="K169" s="27"/>
      <c r="L169" s="27"/>
    </row>
    <row r="170" spans="1:12" s="2269" customFormat="1">
      <c r="A170" s="2338"/>
      <c r="D170" s="2339"/>
      <c r="K170" s="27"/>
      <c r="L170" s="27"/>
    </row>
    <row r="171" spans="1:12" s="2269" customFormat="1">
      <c r="A171" s="2338"/>
      <c r="D171" s="2339"/>
      <c r="K171" s="27"/>
      <c r="L171" s="27"/>
    </row>
    <row r="172" spans="1:12" s="2269" customFormat="1">
      <c r="A172" s="2338"/>
      <c r="D172" s="2339"/>
      <c r="K172" s="27"/>
      <c r="L172" s="27"/>
    </row>
    <row r="173" spans="1:12" s="2269" customFormat="1">
      <c r="A173" s="2338"/>
      <c r="D173" s="2339"/>
      <c r="K173" s="27"/>
      <c r="L173" s="27"/>
    </row>
    <row r="174" spans="1:12" s="2269" customFormat="1">
      <c r="A174" s="2338"/>
      <c r="D174" s="2339"/>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RowHeight="14.25"/>
  <cols>
    <col min="1" max="1" width="9.5" style="2364" customWidth="1"/>
    <col min="2" max="2" width="24.5" style="2409" customWidth="1"/>
    <col min="3" max="3" width="24.5" style="2408" customWidth="1"/>
    <col min="4" max="4" width="2.625" style="2408" customWidth="1"/>
    <col min="5" max="5" width="5.875" style="2408" customWidth="1"/>
    <col min="6" max="6" width="27" style="2409" customWidth="1"/>
    <col min="7" max="7" width="27" style="2410" customWidth="1"/>
    <col min="8" max="8" width="11.875" style="2388" customWidth="1"/>
    <col min="9" max="9" width="16.75" style="2389" customWidth="1"/>
    <col min="10" max="10" width="2.625" style="2388" customWidth="1"/>
    <col min="11" max="11" width="11.875" style="2388" customWidth="1"/>
    <col min="12" max="12" width="16.75" style="2389" customWidth="1"/>
    <col min="13" max="13" width="2.625" style="2388" customWidth="1"/>
    <col min="14" max="14" width="11.875" style="2388" customWidth="1"/>
    <col min="15" max="15" width="16.75" style="2389" customWidth="1"/>
    <col min="16" max="16" width="2.625" style="2388" customWidth="1"/>
    <col min="17" max="17" width="11.875" style="2388" customWidth="1"/>
    <col min="18" max="18" width="16.75" style="2390" customWidth="1"/>
    <col min="19" max="29" width="9" style="2363"/>
    <col min="30" max="16384" width="9" style="2364"/>
  </cols>
  <sheetData>
    <row r="1" spans="1:29" s="2357" customFormat="1" ht="19.5" thickBot="1">
      <c r="A1" s="3107" t="s">
        <v>2080</v>
      </c>
      <c r="B1" s="3108"/>
      <c r="C1" s="3108"/>
      <c r="D1" s="3108"/>
      <c r="E1" s="3108"/>
      <c r="F1" s="3108"/>
      <c r="G1" s="3108"/>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2081</v>
      </c>
      <c r="D2" s="2361"/>
      <c r="E2" s="2362"/>
      <c r="F2" s="2281"/>
      <c r="G2" s="2360" t="s">
        <v>2082</v>
      </c>
      <c r="H2" s="2363"/>
      <c r="I2" s="2363"/>
      <c r="J2" s="2363"/>
      <c r="K2" s="2363"/>
      <c r="L2" s="2363"/>
      <c r="M2" s="2363"/>
      <c r="N2" s="2363"/>
      <c r="O2" s="2363"/>
      <c r="P2" s="2363"/>
      <c r="Q2" s="2363"/>
      <c r="R2" s="2363"/>
    </row>
    <row r="3" spans="1:29" ht="27">
      <c r="A3" s="415" t="s">
        <v>2083</v>
      </c>
      <c r="B3" s="1267" t="s">
        <v>2084</v>
      </c>
      <c r="C3" s="2953"/>
      <c r="D3" s="2365"/>
      <c r="E3" s="431" t="s">
        <v>2083</v>
      </c>
      <c r="F3" s="2366" t="s">
        <v>2085</v>
      </c>
      <c r="G3" s="2367"/>
      <c r="H3" s="2363"/>
      <c r="I3" s="2363"/>
      <c r="J3" s="2363"/>
      <c r="K3" s="2363"/>
      <c r="L3" s="2363"/>
      <c r="M3" s="2363"/>
      <c r="N3" s="2363"/>
      <c r="O3" s="2363"/>
      <c r="P3" s="2363"/>
      <c r="Q3" s="2363"/>
      <c r="R3" s="2363"/>
    </row>
    <row r="4" spans="1:29" ht="40.5">
      <c r="A4" s="431"/>
      <c r="B4" s="1793" t="s">
        <v>2086</v>
      </c>
      <c r="C4" s="2954" t="s">
        <v>3054</v>
      </c>
      <c r="D4" s="2365"/>
      <c r="E4" s="2368"/>
      <c r="F4" s="42" t="s">
        <v>2087</v>
      </c>
      <c r="G4" s="2369"/>
      <c r="H4" s="2363"/>
      <c r="I4" s="2363"/>
      <c r="J4" s="2363"/>
      <c r="K4" s="2363"/>
      <c r="L4" s="2363"/>
      <c r="M4" s="2363"/>
      <c r="N4" s="2363"/>
      <c r="O4" s="2363"/>
      <c r="P4" s="2363"/>
      <c r="Q4" s="2363"/>
      <c r="R4" s="2363"/>
    </row>
    <row r="5" spans="1:29" ht="15">
      <c r="A5" s="431"/>
      <c r="B5" s="1793" t="s">
        <v>2088</v>
      </c>
      <c r="C5" s="2954"/>
      <c r="D5" s="2365"/>
      <c r="E5" s="2368"/>
      <c r="F5" s="1793" t="s">
        <v>2089</v>
      </c>
      <c r="G5" s="2369"/>
      <c r="H5" s="2363"/>
      <c r="I5" s="2363"/>
      <c r="J5" s="2363"/>
      <c r="K5" s="2363"/>
      <c r="L5" s="2363"/>
      <c r="M5" s="2363"/>
      <c r="N5" s="2363"/>
      <c r="O5" s="2363"/>
      <c r="P5" s="2363"/>
      <c r="Q5" s="2363"/>
      <c r="R5" s="2363"/>
    </row>
    <row r="6" spans="1:29" ht="67.5">
      <c r="A6" s="431"/>
      <c r="B6" s="1793" t="s">
        <v>2090</v>
      </c>
      <c r="C6" s="2955" t="s">
        <v>3055</v>
      </c>
      <c r="D6" s="2365"/>
      <c r="E6" s="2368"/>
      <c r="F6" s="1793" t="s">
        <v>2091</v>
      </c>
      <c r="G6" s="2369"/>
      <c r="H6" s="2363"/>
      <c r="I6" s="2363"/>
      <c r="J6" s="2363"/>
      <c r="K6" s="2363"/>
      <c r="L6" s="2363"/>
      <c r="M6" s="2363"/>
      <c r="N6" s="2363"/>
      <c r="O6" s="2363"/>
      <c r="P6" s="2363"/>
      <c r="Q6" s="2363"/>
      <c r="R6" s="2363"/>
    </row>
    <row r="7" spans="1:29" ht="68.25" thickBot="1">
      <c r="A7" s="431"/>
      <c r="B7" s="1793" t="s">
        <v>2089</v>
      </c>
      <c r="C7" s="2955" t="s">
        <v>3056</v>
      </c>
      <c r="D7" s="2370"/>
      <c r="E7" s="2371"/>
      <c r="F7" s="2372" t="s">
        <v>2092</v>
      </c>
      <c r="G7" s="2373"/>
      <c r="H7" s="2363"/>
      <c r="I7" s="2363"/>
      <c r="J7" s="2363"/>
      <c r="K7" s="2363"/>
      <c r="L7" s="2363"/>
      <c r="M7" s="2363"/>
      <c r="N7" s="2363"/>
      <c r="O7" s="2363"/>
      <c r="P7" s="2363"/>
      <c r="Q7" s="2363"/>
      <c r="R7" s="2363"/>
    </row>
    <row r="8" spans="1:29" ht="15">
      <c r="A8" s="431"/>
      <c r="B8" s="1793" t="s">
        <v>2091</v>
      </c>
      <c r="C8" s="2955" t="s">
        <v>3057</v>
      </c>
      <c r="D8" s="2370"/>
      <c r="E8" s="2370"/>
      <c r="F8" s="1132"/>
      <c r="G8" s="1132"/>
      <c r="H8" s="2363"/>
      <c r="I8" s="2363"/>
      <c r="J8" s="2363"/>
      <c r="K8" s="2363"/>
      <c r="L8" s="2363"/>
      <c r="M8" s="2363"/>
      <c r="N8" s="2363"/>
      <c r="O8" s="2363"/>
      <c r="P8" s="2363"/>
      <c r="Q8" s="2363"/>
      <c r="R8" s="2363"/>
    </row>
    <row r="9" spans="1:29" ht="27">
      <c r="A9" s="431"/>
      <c r="B9" s="1793" t="s">
        <v>2093</v>
      </c>
      <c r="C9" s="2954" t="s">
        <v>3058</v>
      </c>
      <c r="D9" s="2365"/>
      <c r="E9" s="2370"/>
      <c r="F9" s="1132"/>
      <c r="G9" s="1132"/>
      <c r="H9" s="2363"/>
      <c r="I9" s="2363"/>
      <c r="J9" s="2363"/>
      <c r="K9" s="2363"/>
      <c r="L9" s="2363"/>
      <c r="M9" s="2363"/>
      <c r="N9" s="2363"/>
      <c r="O9" s="2363"/>
      <c r="P9" s="2363"/>
      <c r="Q9" s="2363"/>
      <c r="R9" s="2363"/>
    </row>
    <row r="10" spans="1:29" s="117" customFormat="1" ht="15.75" thickBot="1">
      <c r="A10" s="2374"/>
      <c r="B10" s="2375" t="s">
        <v>2094</v>
      </c>
      <c r="C10" s="2956" t="s">
        <v>3059</v>
      </c>
      <c r="D10" s="2365"/>
      <c r="E10" s="2365"/>
      <c r="F10" s="1132"/>
      <c r="G10" s="1132"/>
      <c r="H10" s="2376"/>
      <c r="I10" s="2377"/>
      <c r="J10" s="2378"/>
      <c r="K10" s="2376"/>
      <c r="L10" s="2377"/>
      <c r="M10" s="2378"/>
      <c r="N10" s="2376"/>
      <c r="O10" s="2377"/>
      <c r="P10" s="2378"/>
      <c r="Q10" s="2376"/>
      <c r="R10" s="2377"/>
      <c r="S10" s="2363"/>
      <c r="T10" s="2363"/>
      <c r="U10" s="2363"/>
      <c r="V10" s="2363"/>
      <c r="W10" s="2363"/>
      <c r="X10" s="2363"/>
      <c r="Y10" s="2363"/>
      <c r="Z10" s="2363"/>
      <c r="AA10" s="2363"/>
      <c r="AB10" s="2363"/>
      <c r="AC10" s="2363"/>
    </row>
    <row r="11" spans="1:29" s="117" customFormat="1" ht="15">
      <c r="A11" s="2379"/>
      <c r="B11" s="2370"/>
      <c r="C11" s="2365"/>
      <c r="D11" s="2365"/>
      <c r="E11" s="2365"/>
      <c r="F11" s="2370"/>
      <c r="G11" s="1150"/>
      <c r="H11" s="2376"/>
      <c r="I11" s="2377"/>
      <c r="J11" s="2378"/>
      <c r="K11" s="2376"/>
      <c r="L11" s="2377"/>
      <c r="M11" s="2378"/>
      <c r="N11" s="2376"/>
      <c r="O11" s="2377"/>
      <c r="P11" s="2378"/>
      <c r="Q11" s="2376"/>
      <c r="R11" s="2377"/>
      <c r="S11" s="2363"/>
      <c r="T11" s="2363"/>
      <c r="U11" s="2363"/>
      <c r="V11" s="2363"/>
      <c r="W11" s="2363"/>
      <c r="X11" s="2363"/>
      <c r="Y11" s="2363"/>
      <c r="Z11" s="2363"/>
      <c r="AA11" s="2363"/>
      <c r="AB11" s="2363"/>
      <c r="AC11" s="2363"/>
    </row>
    <row r="12" spans="1:29" s="2357" customFormat="1" ht="18">
      <c r="A12" s="2379"/>
      <c r="B12" s="2370"/>
      <c r="C12" s="2365"/>
      <c r="D12" s="2380"/>
      <c r="E12" s="2365"/>
      <c r="F12" s="2370"/>
      <c r="G12" s="1150"/>
      <c r="H12" s="2381"/>
      <c r="I12" s="2382"/>
      <c r="J12" s="2381"/>
      <c r="K12" s="2381"/>
      <c r="L12" s="2383"/>
      <c r="M12" s="2381"/>
      <c r="N12" s="2384"/>
      <c r="O12" s="2385"/>
      <c r="P12" s="2384"/>
      <c r="Q12" s="2384"/>
      <c r="R12" s="2355"/>
      <c r="S12" s="2356"/>
      <c r="T12" s="2356"/>
      <c r="U12" s="2356"/>
      <c r="V12" s="2356"/>
      <c r="W12" s="2356"/>
      <c r="X12" s="2356"/>
      <c r="Y12" s="2356"/>
      <c r="Z12" s="2356"/>
      <c r="AA12" s="2356"/>
      <c r="AB12" s="2356"/>
      <c r="AC12" s="2356"/>
    </row>
    <row r="13" spans="1:29" ht="19.5" thickBot="1">
      <c r="A13" s="2386" t="s">
        <v>2095</v>
      </c>
      <c r="B13" s="2380"/>
      <c r="C13" s="2380"/>
      <c r="D13" s="2387"/>
      <c r="E13" s="2380"/>
      <c r="F13" s="2380"/>
      <c r="G13" s="2380"/>
    </row>
    <row r="14" spans="1:29" ht="15.75" thickBot="1">
      <c r="A14" s="2391"/>
      <c r="B14" s="2392"/>
      <c r="C14" s="2393" t="s">
        <v>2096</v>
      </c>
      <c r="D14" s="2365"/>
      <c r="E14" s="2394"/>
      <c r="F14" s="2394"/>
      <c r="G14" s="2360" t="s">
        <v>2097</v>
      </c>
    </row>
    <row r="15" spans="1:29" ht="27">
      <c r="A15" s="68" t="s">
        <v>2098</v>
      </c>
      <c r="B15" s="1266" t="s">
        <v>2084</v>
      </c>
      <c r="C15" s="2395">
        <f>C3</f>
        <v>0</v>
      </c>
      <c r="D15" s="2365"/>
      <c r="E15" s="2396" t="s">
        <v>2099</v>
      </c>
      <c r="F15" s="1266" t="s">
        <v>2100</v>
      </c>
      <c r="G15" s="135">
        <f>G3</f>
        <v>0</v>
      </c>
    </row>
    <row r="16" spans="1:29" ht="42.75">
      <c r="A16" s="645"/>
      <c r="B16" s="2397" t="s">
        <v>2086</v>
      </c>
      <c r="C16" s="2398" t="str">
        <f>C4</f>
        <v>周边商业有集美家居、银泰百货，人流量一般，商业繁华度一般</v>
      </c>
      <c r="D16" s="2365"/>
      <c r="E16" s="2399"/>
      <c r="F16" s="2400" t="s">
        <v>2087</v>
      </c>
      <c r="G16" s="136">
        <f>G4</f>
        <v>0</v>
      </c>
    </row>
    <row r="17" spans="1:18" ht="15">
      <c r="A17" s="645"/>
      <c r="B17" s="2397" t="s">
        <v>2088</v>
      </c>
      <c r="C17" s="2398">
        <f>C5</f>
        <v>0</v>
      </c>
      <c r="D17" s="2370"/>
      <c r="E17" s="2399"/>
      <c r="F17" s="2400" t="s">
        <v>2101</v>
      </c>
      <c r="G17" s="1568"/>
    </row>
    <row r="18" spans="1:18" ht="71.25">
      <c r="A18" s="645"/>
      <c r="B18" s="2400" t="s">
        <v>2090</v>
      </c>
      <c r="C18" s="136" t="str">
        <f>C6</f>
        <v>估价对象周边有485、501、602、736、957路及地铁十号线等、公共交通通达情况较好、停车便捷程度较好，综合评价交通便捷度较好</v>
      </c>
      <c r="D18" s="2370"/>
      <c r="E18" s="2399"/>
      <c r="F18" s="2400" t="s">
        <v>2092</v>
      </c>
      <c r="G18" s="136">
        <f>G7</f>
        <v>0</v>
      </c>
    </row>
    <row r="19" spans="1:18" ht="15">
      <c r="A19" s="645"/>
      <c r="B19" s="2400" t="s">
        <v>2102</v>
      </c>
      <c r="C19" s="1568"/>
      <c r="D19" s="2365"/>
      <c r="E19" s="2399"/>
      <c r="F19" s="1793" t="s">
        <v>2089</v>
      </c>
      <c r="G19" s="136">
        <f>G5</f>
        <v>0</v>
      </c>
    </row>
    <row r="20" spans="1:18" ht="28.5">
      <c r="A20" s="645"/>
      <c r="B20" s="2400" t="s">
        <v>2103</v>
      </c>
      <c r="C20" s="2398" t="str">
        <f>C9</f>
        <v>周边有桃苑公园自然及人文环境一般</v>
      </c>
      <c r="D20" s="2370"/>
      <c r="E20" s="2399"/>
      <c r="F20" s="1793" t="s">
        <v>2104</v>
      </c>
      <c r="G20" s="136">
        <f>G6</f>
        <v>0</v>
      </c>
    </row>
    <row r="21" spans="1:18" ht="71.25">
      <c r="A21" s="645"/>
      <c r="B21" s="1793" t="s">
        <v>2089</v>
      </c>
      <c r="C21" s="136" t="str">
        <f>C7</f>
        <v>周边有中国建设银行、广东发展银行、集美家居、物美超市、西马金润小学、丰台第一小学远洋分校等，公共配套设施较齐备</v>
      </c>
      <c r="D21" s="2365"/>
      <c r="E21" s="2399"/>
      <c r="F21" s="2400" t="s">
        <v>2105</v>
      </c>
      <c r="G21" s="2401"/>
    </row>
    <row r="22" spans="1:18" ht="13.5" customHeight="1">
      <c r="A22" s="645"/>
      <c r="B22" s="1793" t="s">
        <v>2091</v>
      </c>
      <c r="C22" s="136" t="str">
        <f>C8</f>
        <v>七通</v>
      </c>
      <c r="D22" s="2365"/>
      <c r="E22" s="2399"/>
      <c r="F22" s="2400" t="s">
        <v>2094</v>
      </c>
      <c r="G22" s="1568"/>
    </row>
    <row r="23" spans="1:18" s="2363" customFormat="1" ht="15.75" thickBot="1">
      <c r="A23" s="645"/>
      <c r="B23" s="2400" t="s">
        <v>2105</v>
      </c>
      <c r="C23" s="2401"/>
      <c r="D23" s="2388"/>
      <c r="E23" s="2402"/>
      <c r="F23" s="2403" t="s">
        <v>2106</v>
      </c>
      <c r="G23" s="2404"/>
      <c r="H23" s="2388"/>
      <c r="I23" s="2389"/>
      <c r="J23" s="2388"/>
      <c r="K23" s="2388"/>
      <c r="L23" s="2389"/>
      <c r="M23" s="2388"/>
      <c r="N23" s="2388"/>
      <c r="O23" s="2389"/>
      <c r="P23" s="2388"/>
      <c r="Q23" s="2388"/>
      <c r="R23" s="2390"/>
    </row>
    <row r="24" spans="1:18" s="2363" customFormat="1" ht="15.75" thickBot="1">
      <c r="A24" s="2405"/>
      <c r="B24" s="2403" t="s">
        <v>2107</v>
      </c>
      <c r="C24" s="137" t="str">
        <f>C10</f>
        <v>支路</v>
      </c>
      <c r="D24" s="2388"/>
      <c r="E24" s="2406"/>
      <c r="F24" s="2406"/>
      <c r="G24" s="2407"/>
      <c r="H24" s="2388"/>
      <c r="I24" s="2389"/>
      <c r="J24" s="2388"/>
      <c r="K24" s="2388"/>
      <c r="L24" s="2389"/>
      <c r="M24" s="2388"/>
      <c r="N24" s="2388"/>
      <c r="O24" s="2389"/>
      <c r="P24" s="2388"/>
      <c r="Q24" s="2388"/>
      <c r="R24" s="2390"/>
    </row>
    <row r="25" spans="1:18" s="2363" customFormat="1">
      <c r="B25" s="2388"/>
      <c r="C25" s="2388"/>
      <c r="D25" s="2388"/>
      <c r="H25" s="2388"/>
      <c r="I25" s="2389"/>
      <c r="J25" s="2388"/>
      <c r="K25" s="2388"/>
      <c r="L25" s="2389"/>
      <c r="M25" s="2388"/>
      <c r="N25" s="2388"/>
      <c r="O25" s="2389"/>
      <c r="P25" s="2388"/>
      <c r="Q25" s="2388"/>
      <c r="R25" s="2390"/>
    </row>
    <row r="26" spans="1:18" s="2363" customFormat="1">
      <c r="B26" s="2388"/>
      <c r="C26" s="2388"/>
      <c r="D26" s="2388"/>
      <c r="H26" s="2388"/>
      <c r="I26" s="2389"/>
      <c r="J26" s="2388"/>
      <c r="K26" s="2388"/>
      <c r="L26" s="2389"/>
      <c r="M26" s="2388"/>
      <c r="N26" s="2388"/>
      <c r="O26" s="2389"/>
      <c r="P26" s="2388"/>
      <c r="Q26" s="2388"/>
      <c r="R26" s="2390"/>
    </row>
    <row r="27" spans="1:18" s="2363" customFormat="1">
      <c r="B27" s="2388"/>
      <c r="C27" s="2388"/>
      <c r="D27" s="2388"/>
      <c r="H27" s="2388"/>
      <c r="I27" s="2389"/>
      <c r="J27" s="2388"/>
      <c r="K27" s="2388"/>
      <c r="L27" s="2389"/>
      <c r="M27" s="2388"/>
      <c r="N27" s="2388"/>
      <c r="O27" s="2389"/>
      <c r="P27" s="2388"/>
      <c r="Q27" s="2388"/>
      <c r="R27" s="2390"/>
    </row>
    <row r="28" spans="1:18" s="2363" customFormat="1">
      <c r="B28" s="2388"/>
      <c r="C28" s="2388"/>
      <c r="D28" s="2388"/>
      <c r="H28" s="2388"/>
      <c r="I28" s="2389"/>
      <c r="J28" s="2388"/>
      <c r="K28" s="2388"/>
      <c r="L28" s="2389"/>
      <c r="M28" s="2388"/>
      <c r="N28" s="2388"/>
      <c r="O28" s="2389"/>
      <c r="P28" s="2388"/>
      <c r="Q28" s="2388"/>
      <c r="R28" s="2390"/>
    </row>
    <row r="29" spans="1:18" s="2363" customFormat="1">
      <c r="B29" s="2388"/>
      <c r="C29" s="2388"/>
      <c r="D29" s="2388"/>
      <c r="H29" s="2388"/>
      <c r="I29" s="2389"/>
      <c r="J29" s="2388"/>
      <c r="K29" s="2388"/>
      <c r="L29" s="2389"/>
      <c r="M29" s="2388"/>
      <c r="N29" s="2388"/>
      <c r="O29" s="2389"/>
      <c r="P29" s="2388"/>
      <c r="Q29" s="2388"/>
      <c r="R29" s="2390"/>
    </row>
    <row r="30" spans="1:18" s="2363" customFormat="1">
      <c r="B30" s="2388"/>
      <c r="C30" s="2388"/>
      <c r="D30" s="2388"/>
      <c r="H30" s="2388"/>
      <c r="I30" s="2389"/>
      <c r="J30" s="2388"/>
      <c r="K30" s="2388"/>
      <c r="L30" s="2389"/>
      <c r="M30" s="2388"/>
      <c r="N30" s="2388"/>
      <c r="O30" s="2389"/>
      <c r="P30" s="2388"/>
      <c r="Q30" s="2388"/>
      <c r="R30" s="2390"/>
    </row>
    <row r="31" spans="1:18" s="2363" customFormat="1">
      <c r="B31" s="2388"/>
      <c r="C31" s="2388"/>
      <c r="D31" s="2388"/>
      <c r="H31" s="2388"/>
      <c r="I31" s="2389"/>
      <c r="J31" s="2388"/>
      <c r="K31" s="2388"/>
      <c r="L31" s="2389"/>
      <c r="M31" s="2388"/>
      <c r="N31" s="2388"/>
      <c r="O31" s="2389"/>
      <c r="P31" s="2388"/>
      <c r="Q31" s="2388"/>
      <c r="R31" s="2390"/>
    </row>
    <row r="32" spans="1:18" s="2363" customFormat="1">
      <c r="B32" s="2388"/>
      <c r="C32" s="2388"/>
      <c r="D32" s="2388"/>
      <c r="H32" s="2388"/>
      <c r="I32" s="2389"/>
      <c r="J32" s="2388"/>
      <c r="K32" s="2388"/>
      <c r="L32" s="2389"/>
      <c r="M32" s="2388"/>
      <c r="N32" s="2388"/>
      <c r="O32" s="2389"/>
      <c r="P32" s="2388"/>
      <c r="Q32" s="2388"/>
      <c r="R32" s="2390"/>
    </row>
    <row r="33" spans="2:18" s="2363" customFormat="1">
      <c r="B33" s="2388"/>
      <c r="C33" s="2388"/>
      <c r="D33" s="2388"/>
      <c r="H33" s="2388"/>
      <c r="I33" s="2389"/>
      <c r="J33" s="2388"/>
      <c r="K33" s="2388"/>
      <c r="L33" s="2389"/>
      <c r="M33" s="2388"/>
      <c r="N33" s="2388"/>
      <c r="O33" s="2389"/>
      <c r="P33" s="2388"/>
      <c r="Q33" s="2388"/>
      <c r="R33" s="2390"/>
    </row>
    <row r="34" spans="2:18" s="2363" customFormat="1">
      <c r="B34" s="2388"/>
      <c r="C34" s="2388"/>
      <c r="D34" s="2388"/>
      <c r="H34" s="2388"/>
      <c r="I34" s="2389"/>
      <c r="J34" s="2388"/>
      <c r="K34" s="2388"/>
      <c r="L34" s="2389"/>
      <c r="M34" s="2388"/>
      <c r="N34" s="2388"/>
      <c r="O34" s="2389"/>
      <c r="P34" s="2388"/>
      <c r="Q34" s="2388"/>
      <c r="R34" s="2390"/>
    </row>
    <row r="35" spans="2:18" s="2363" customFormat="1">
      <c r="B35" s="2388"/>
      <c r="C35" s="2388"/>
      <c r="D35" s="2388"/>
      <c r="H35" s="2388"/>
      <c r="I35" s="2389"/>
      <c r="J35" s="2388"/>
      <c r="K35" s="2388"/>
      <c r="L35" s="2389"/>
      <c r="M35" s="2388"/>
      <c r="N35" s="2388"/>
      <c r="O35" s="2389"/>
      <c r="P35" s="2388"/>
      <c r="Q35" s="2388"/>
      <c r="R35" s="2390"/>
    </row>
    <row r="36" spans="2:18" s="2363" customFormat="1">
      <c r="B36" s="2388"/>
      <c r="C36" s="2388"/>
      <c r="D36" s="2388"/>
      <c r="H36" s="2388"/>
      <c r="I36" s="2389"/>
      <c r="J36" s="2388"/>
      <c r="K36" s="2388"/>
      <c r="L36" s="2389"/>
      <c r="M36" s="2388"/>
      <c r="N36" s="2388"/>
      <c r="O36" s="2389"/>
      <c r="P36" s="2388"/>
      <c r="Q36" s="2388"/>
      <c r="R36" s="2390"/>
    </row>
    <row r="37" spans="2:18" s="2363" customFormat="1">
      <c r="B37" s="2388"/>
      <c r="C37" s="2388"/>
      <c r="D37" s="2388"/>
      <c r="H37" s="2388"/>
      <c r="I37" s="2389"/>
      <c r="J37" s="2388"/>
      <c r="K37" s="2388"/>
      <c r="L37" s="2389"/>
      <c r="M37" s="2388"/>
      <c r="N37" s="2388"/>
      <c r="O37" s="2389"/>
      <c r="P37" s="2388"/>
      <c r="Q37" s="2388"/>
      <c r="R37" s="2390"/>
    </row>
    <row r="38" spans="2:18" s="2363" customFormat="1">
      <c r="B38" s="2388"/>
      <c r="C38" s="2388"/>
      <c r="D38" s="2388"/>
      <c r="E38" s="2388"/>
      <c r="F38" s="2388"/>
      <c r="G38" s="2389"/>
      <c r="H38" s="2388"/>
      <c r="I38" s="2389"/>
      <c r="J38" s="2388"/>
      <c r="K38" s="2388"/>
      <c r="L38" s="2389"/>
      <c r="M38" s="2388"/>
      <c r="N38" s="2388"/>
      <c r="O38" s="2389"/>
      <c r="P38" s="2388"/>
      <c r="Q38" s="2388"/>
      <c r="R38" s="2390"/>
    </row>
    <row r="39" spans="2:18" s="2363" customFormat="1">
      <c r="B39" s="2388"/>
      <c r="C39" s="2388"/>
      <c r="D39" s="2388"/>
      <c r="E39" s="2388"/>
      <c r="F39" s="2388"/>
      <c r="G39" s="2389"/>
      <c r="H39" s="2388"/>
      <c r="I39" s="2389"/>
      <c r="J39" s="2388"/>
      <c r="K39" s="2388"/>
      <c r="L39" s="2389"/>
      <c r="M39" s="2388"/>
      <c r="N39" s="2388"/>
      <c r="O39" s="2389"/>
      <c r="P39" s="2388"/>
      <c r="Q39" s="2388"/>
      <c r="R39" s="2390"/>
    </row>
    <row r="40" spans="2:18" s="2363" customFormat="1">
      <c r="B40" s="2388"/>
      <c r="C40" s="2388"/>
      <c r="D40" s="2388"/>
      <c r="E40" s="2388"/>
      <c r="F40" s="2388"/>
      <c r="G40" s="2389"/>
      <c r="H40" s="2388"/>
      <c r="I40" s="2389"/>
      <c r="J40" s="2388"/>
      <c r="K40" s="2388"/>
      <c r="L40" s="2389"/>
      <c r="M40" s="2388"/>
      <c r="N40" s="2388"/>
      <c r="O40" s="2389"/>
      <c r="P40" s="2388"/>
      <c r="Q40" s="2388"/>
      <c r="R40" s="2390"/>
    </row>
    <row r="41" spans="2:18" s="2363" customFormat="1">
      <c r="B41" s="2388"/>
      <c r="C41" s="2388"/>
      <c r="D41" s="2388"/>
      <c r="E41" s="2388"/>
      <c r="F41" s="2388"/>
      <c r="G41" s="2389"/>
      <c r="H41" s="2388"/>
      <c r="I41" s="2389"/>
      <c r="J41" s="2388"/>
      <c r="K41" s="2388"/>
      <c r="L41" s="2389"/>
      <c r="M41" s="2388"/>
      <c r="N41" s="2388"/>
      <c r="O41" s="2389"/>
      <c r="P41" s="2388"/>
      <c r="Q41" s="2388"/>
      <c r="R41" s="2390"/>
    </row>
    <row r="42" spans="2:18" s="2363" customFormat="1">
      <c r="B42" s="2388"/>
      <c r="C42" s="2388"/>
      <c r="D42" s="2388"/>
      <c r="E42" s="2388"/>
      <c r="F42" s="2388"/>
      <c r="G42" s="2389"/>
      <c r="H42" s="2388"/>
      <c r="I42" s="2389"/>
      <c r="J42" s="2388"/>
      <c r="K42" s="2388"/>
      <c r="L42" s="2389"/>
      <c r="M42" s="2388"/>
      <c r="N42" s="2388"/>
      <c r="O42" s="2389"/>
      <c r="P42" s="2388"/>
      <c r="Q42" s="2388"/>
      <c r="R42" s="2390"/>
    </row>
    <row r="43" spans="2:18" s="2363" customFormat="1">
      <c r="B43" s="2388"/>
      <c r="C43" s="2388"/>
      <c r="D43" s="2388"/>
      <c r="E43" s="2388"/>
      <c r="F43" s="2388"/>
      <c r="G43" s="2389"/>
      <c r="H43" s="2388"/>
      <c r="I43" s="2389"/>
      <c r="J43" s="2388"/>
      <c r="K43" s="2388"/>
      <c r="L43" s="2389"/>
      <c r="M43" s="2388"/>
      <c r="N43" s="2388"/>
      <c r="O43" s="2389"/>
      <c r="P43" s="2388"/>
      <c r="Q43" s="2388"/>
      <c r="R43" s="2390"/>
    </row>
    <row r="44" spans="2:18" s="2363" customFormat="1">
      <c r="B44" s="2388"/>
      <c r="C44" s="2388"/>
      <c r="D44" s="2388"/>
      <c r="E44" s="2388"/>
      <c r="F44" s="2388"/>
      <c r="G44" s="2389"/>
      <c r="H44" s="2388"/>
      <c r="I44" s="2389"/>
      <c r="J44" s="2388"/>
      <c r="K44" s="2388"/>
      <c r="L44" s="2389"/>
      <c r="M44" s="2388"/>
      <c r="N44" s="2388"/>
      <c r="O44" s="2389"/>
      <c r="P44" s="2388"/>
      <c r="Q44" s="2388"/>
      <c r="R44" s="2390"/>
    </row>
    <row r="45" spans="2:18" s="2363" customFormat="1">
      <c r="B45" s="2388"/>
      <c r="C45" s="2388"/>
      <c r="D45" s="2388"/>
      <c r="E45" s="2388"/>
      <c r="F45" s="2388"/>
      <c r="G45" s="2389"/>
      <c r="H45" s="2388"/>
      <c r="I45" s="2389"/>
      <c r="J45" s="2388"/>
      <c r="K45" s="2388"/>
      <c r="L45" s="2389"/>
      <c r="M45" s="2388"/>
      <c r="N45" s="2388"/>
      <c r="O45" s="2389"/>
      <c r="P45" s="2388"/>
      <c r="Q45" s="2388"/>
      <c r="R45" s="2390"/>
    </row>
    <row r="46" spans="2:18" s="2363" customFormat="1">
      <c r="B46" s="2388"/>
      <c r="C46" s="2388"/>
      <c r="D46" s="2388"/>
      <c r="E46" s="2388"/>
      <c r="F46" s="2388"/>
      <c r="G46" s="2389"/>
      <c r="H46" s="2388"/>
      <c r="I46" s="2389"/>
      <c r="J46" s="2388"/>
      <c r="K46" s="2388"/>
      <c r="L46" s="2389"/>
      <c r="M46" s="2388"/>
      <c r="N46" s="2388"/>
      <c r="O46" s="2389"/>
      <c r="P46" s="2388"/>
      <c r="Q46" s="2388"/>
      <c r="R46" s="2390"/>
    </row>
    <row r="47" spans="2:18" s="2363" customFormat="1">
      <c r="B47" s="2388"/>
      <c r="C47" s="2388"/>
      <c r="D47" s="2388"/>
      <c r="E47" s="2388"/>
      <c r="F47" s="2388"/>
      <c r="G47" s="2389"/>
      <c r="H47" s="2388"/>
      <c r="I47" s="2389"/>
      <c r="J47" s="2388"/>
      <c r="K47" s="2388"/>
      <c r="L47" s="2389"/>
      <c r="M47" s="2388"/>
      <c r="N47" s="2388"/>
      <c r="O47" s="2389"/>
      <c r="P47" s="2388"/>
      <c r="Q47" s="2388"/>
      <c r="R47" s="2390"/>
    </row>
    <row r="48" spans="2:18" s="2363" customFormat="1">
      <c r="B48" s="2388"/>
      <c r="C48" s="2388"/>
      <c r="D48" s="2388"/>
      <c r="E48" s="2388"/>
      <c r="F48" s="2388"/>
      <c r="G48" s="2389"/>
      <c r="H48" s="2388"/>
      <c r="I48" s="2389"/>
      <c r="J48" s="2388"/>
      <c r="K48" s="2388"/>
      <c r="L48" s="2389"/>
      <c r="M48" s="2388"/>
      <c r="N48" s="2388"/>
      <c r="O48" s="2389"/>
      <c r="P48" s="2388"/>
      <c r="Q48" s="2388"/>
      <c r="R48" s="2390"/>
    </row>
    <row r="49" spans="2:18" s="2363" customFormat="1">
      <c r="B49" s="2388"/>
      <c r="C49" s="2388"/>
      <c r="D49" s="2388"/>
      <c r="E49" s="2388"/>
      <c r="F49" s="2388"/>
      <c r="G49" s="2389"/>
      <c r="H49" s="2388"/>
      <c r="I49" s="2389"/>
      <c r="J49" s="2388"/>
      <c r="K49" s="2388"/>
      <c r="L49" s="2389"/>
      <c r="M49" s="2388"/>
      <c r="N49" s="2388"/>
      <c r="O49" s="2389"/>
      <c r="P49" s="2388"/>
      <c r="Q49" s="2388"/>
      <c r="R49" s="2390"/>
    </row>
    <row r="50" spans="2:18" s="2363" customFormat="1">
      <c r="B50" s="2388"/>
      <c r="C50" s="2388"/>
      <c r="D50" s="2388"/>
      <c r="E50" s="2388"/>
      <c r="F50" s="2388"/>
      <c r="G50" s="2389"/>
      <c r="H50" s="2388"/>
      <c r="I50" s="2389"/>
      <c r="J50" s="2388"/>
      <c r="K50" s="2388"/>
      <c r="L50" s="2389"/>
      <c r="M50" s="2388"/>
      <c r="N50" s="2388"/>
      <c r="O50" s="2389"/>
      <c r="P50" s="2388"/>
      <c r="Q50" s="2388"/>
      <c r="R50" s="2390"/>
    </row>
    <row r="51" spans="2:18" s="2363" customFormat="1">
      <c r="B51" s="2388"/>
      <c r="C51" s="2388"/>
      <c r="D51" s="2388"/>
      <c r="E51" s="2388"/>
      <c r="F51" s="2388"/>
      <c r="G51" s="2389"/>
      <c r="H51" s="2388"/>
      <c r="I51" s="2389"/>
      <c r="J51" s="2388"/>
      <c r="K51" s="2388"/>
      <c r="L51" s="2389"/>
      <c r="M51" s="2388"/>
      <c r="N51" s="2388"/>
      <c r="O51" s="2389"/>
      <c r="P51" s="2388"/>
      <c r="Q51" s="2388"/>
      <c r="R51" s="2390"/>
    </row>
    <row r="52" spans="2:18" s="2363" customFormat="1">
      <c r="B52" s="2388"/>
      <c r="C52" s="2388"/>
      <c r="D52" s="2388"/>
      <c r="E52" s="2388"/>
      <c r="F52" s="2388"/>
      <c r="G52" s="2389"/>
      <c r="H52" s="2388"/>
      <c r="I52" s="2389"/>
      <c r="J52" s="2388"/>
      <c r="K52" s="2388"/>
      <c r="L52" s="2389"/>
      <c r="M52" s="2388"/>
      <c r="N52" s="2388"/>
      <c r="O52" s="2389"/>
      <c r="P52" s="2388"/>
      <c r="Q52" s="2388"/>
      <c r="R52" s="2390"/>
    </row>
    <row r="53" spans="2:18" s="2363" customFormat="1">
      <c r="B53" s="2388"/>
      <c r="C53" s="2388"/>
      <c r="D53" s="2388"/>
      <c r="E53" s="2388"/>
      <c r="F53" s="2388"/>
      <c r="G53" s="2389"/>
      <c r="H53" s="2388"/>
      <c r="I53" s="2389"/>
      <c r="J53" s="2388"/>
      <c r="K53" s="2388"/>
      <c r="L53" s="2389"/>
      <c r="M53" s="2388"/>
      <c r="N53" s="2388"/>
      <c r="O53" s="2389"/>
      <c r="P53" s="2388"/>
      <c r="Q53" s="2388"/>
      <c r="R53" s="2390"/>
    </row>
    <row r="54" spans="2:18" s="2363" customFormat="1">
      <c r="B54" s="2388"/>
      <c r="C54" s="2388"/>
      <c r="D54" s="2388"/>
      <c r="E54" s="2388"/>
      <c r="F54" s="2388"/>
      <c r="G54" s="2389"/>
      <c r="H54" s="2388"/>
      <c r="I54" s="2389"/>
      <c r="J54" s="2388"/>
      <c r="K54" s="2388"/>
      <c r="L54" s="2389"/>
      <c r="M54" s="2388"/>
      <c r="N54" s="2388"/>
      <c r="O54" s="2389"/>
      <c r="P54" s="2388"/>
      <c r="Q54" s="2388"/>
      <c r="R54" s="2390"/>
    </row>
    <row r="55" spans="2:18" s="2363" customFormat="1">
      <c r="B55" s="2388"/>
      <c r="C55" s="2388"/>
      <c r="D55" s="2388"/>
      <c r="E55" s="2388"/>
      <c r="F55" s="2388"/>
      <c r="G55" s="2389"/>
      <c r="H55" s="2388"/>
      <c r="I55" s="2389"/>
      <c r="J55" s="2388"/>
      <c r="K55" s="2388"/>
      <c r="L55" s="2389"/>
      <c r="M55" s="2388"/>
      <c r="N55" s="2388"/>
      <c r="O55" s="2389"/>
      <c r="P55" s="2388"/>
      <c r="Q55" s="2388"/>
      <c r="R55" s="2390"/>
    </row>
    <row r="56" spans="2:18" s="2363" customFormat="1">
      <c r="B56" s="2388"/>
      <c r="C56" s="2388"/>
      <c r="D56" s="2388"/>
      <c r="E56" s="2388"/>
      <c r="F56" s="2388"/>
      <c r="G56" s="2389"/>
      <c r="H56" s="2388"/>
      <c r="I56" s="2389"/>
      <c r="J56" s="2388"/>
      <c r="K56" s="2388"/>
      <c r="L56" s="2389"/>
      <c r="M56" s="2388"/>
      <c r="N56" s="2388"/>
      <c r="O56" s="2389"/>
      <c r="P56" s="2388"/>
      <c r="Q56" s="2388"/>
      <c r="R56" s="2390"/>
    </row>
    <row r="57" spans="2:18" s="2363" customFormat="1">
      <c r="B57" s="2388"/>
      <c r="C57" s="2388"/>
      <c r="D57" s="2388"/>
      <c r="E57" s="2388"/>
      <c r="F57" s="2388"/>
      <c r="G57" s="2389"/>
      <c r="H57" s="2388"/>
      <c r="I57" s="2389"/>
      <c r="J57" s="2388"/>
      <c r="K57" s="2388"/>
      <c r="L57" s="2389"/>
      <c r="M57" s="2388"/>
      <c r="N57" s="2388"/>
      <c r="O57" s="2389"/>
      <c r="P57" s="2388"/>
      <c r="Q57" s="2388"/>
      <c r="R57" s="2390"/>
    </row>
    <row r="58" spans="2:18" s="2363" customFormat="1">
      <c r="B58" s="2388"/>
      <c r="C58" s="2388"/>
      <c r="D58" s="2388"/>
      <c r="E58" s="2388"/>
      <c r="F58" s="2388"/>
      <c r="G58" s="2389"/>
      <c r="H58" s="2388"/>
      <c r="I58" s="2389"/>
      <c r="J58" s="2388"/>
      <c r="K58" s="2388"/>
      <c r="L58" s="2389"/>
      <c r="M58" s="2388"/>
      <c r="N58" s="2388"/>
      <c r="O58" s="2389"/>
      <c r="P58" s="2388"/>
      <c r="Q58" s="2388"/>
      <c r="R58" s="2390"/>
    </row>
    <row r="59" spans="2:18" s="2363" customFormat="1">
      <c r="B59" s="2388"/>
      <c r="C59" s="2388"/>
      <c r="D59" s="2388"/>
      <c r="E59" s="2388"/>
      <c r="F59" s="2388"/>
      <c r="G59" s="2389"/>
      <c r="H59" s="2388"/>
      <c r="I59" s="2389"/>
      <c r="J59" s="2388"/>
      <c r="K59" s="2388"/>
      <c r="L59" s="2389"/>
      <c r="M59" s="2388"/>
      <c r="N59" s="2388"/>
      <c r="O59" s="2389"/>
      <c r="P59" s="2388"/>
      <c r="Q59" s="2388"/>
      <c r="R59" s="2390"/>
    </row>
    <row r="60" spans="2:18" s="2363" customFormat="1">
      <c r="B60" s="2388"/>
      <c r="C60" s="2388"/>
      <c r="D60" s="2388"/>
      <c r="E60" s="2388"/>
      <c r="F60" s="2388"/>
      <c r="G60" s="2389"/>
      <c r="H60" s="2388"/>
      <c r="I60" s="2389"/>
      <c r="J60" s="2388"/>
      <c r="K60" s="2388"/>
      <c r="L60" s="2389"/>
      <c r="M60" s="2388"/>
      <c r="N60" s="2388"/>
      <c r="O60" s="2389"/>
      <c r="P60" s="2388"/>
      <c r="Q60" s="2388"/>
      <c r="R60" s="2390"/>
    </row>
    <row r="61" spans="2:18" s="2363" customFormat="1">
      <c r="B61" s="2388"/>
      <c r="C61" s="2388"/>
      <c r="D61" s="2388"/>
      <c r="E61" s="2388"/>
      <c r="F61" s="2388"/>
      <c r="G61" s="2389"/>
      <c r="H61" s="2388"/>
      <c r="I61" s="2389"/>
      <c r="J61" s="2388"/>
      <c r="K61" s="2388"/>
      <c r="L61" s="2389"/>
      <c r="M61" s="2388"/>
      <c r="N61" s="2388"/>
      <c r="O61" s="2389"/>
      <c r="P61" s="2388"/>
      <c r="Q61" s="2388"/>
      <c r="R61" s="2390"/>
    </row>
    <row r="62" spans="2:18" s="2363" customFormat="1">
      <c r="B62" s="2388"/>
      <c r="C62" s="2388"/>
      <c r="D62" s="2388"/>
      <c r="E62" s="2388"/>
      <c r="F62" s="2388"/>
      <c r="G62" s="2389"/>
      <c r="H62" s="2388"/>
      <c r="I62" s="2389"/>
      <c r="J62" s="2388"/>
      <c r="K62" s="2388"/>
      <c r="L62" s="2389"/>
      <c r="M62" s="2388"/>
      <c r="N62" s="2388"/>
      <c r="O62" s="2389"/>
      <c r="P62" s="2388"/>
      <c r="Q62" s="2388"/>
      <c r="R62" s="2390"/>
    </row>
    <row r="63" spans="2:18" s="2363" customFormat="1">
      <c r="B63" s="2388"/>
      <c r="C63" s="2388"/>
      <c r="D63" s="2388"/>
      <c r="E63" s="2388"/>
      <c r="F63" s="2388"/>
      <c r="G63" s="2389"/>
      <c r="H63" s="2388"/>
      <c r="I63" s="2389"/>
      <c r="J63" s="2388"/>
      <c r="K63" s="2388"/>
      <c r="L63" s="2389"/>
      <c r="M63" s="2388"/>
      <c r="N63" s="2388"/>
      <c r="O63" s="2389"/>
      <c r="P63" s="2388"/>
      <c r="Q63" s="2388"/>
      <c r="R63" s="2390"/>
    </row>
    <row r="64" spans="2:18" s="2363" customFormat="1">
      <c r="B64" s="2388"/>
      <c r="C64" s="2388"/>
      <c r="D64" s="2388"/>
      <c r="E64" s="2388"/>
      <c r="F64" s="2388"/>
      <c r="G64" s="2389"/>
      <c r="H64" s="2388"/>
      <c r="I64" s="2389"/>
      <c r="J64" s="2388"/>
      <c r="K64" s="2388"/>
      <c r="L64" s="2389"/>
      <c r="M64" s="2388"/>
      <c r="N64" s="2388"/>
      <c r="O64" s="2389"/>
      <c r="P64" s="2388"/>
      <c r="Q64" s="2388"/>
      <c r="R64" s="2390"/>
    </row>
    <row r="65" spans="2:18" s="2363" customFormat="1">
      <c r="B65" s="2388"/>
      <c r="C65" s="2388"/>
      <c r="D65" s="2388"/>
      <c r="E65" s="2388"/>
      <c r="F65" s="2388"/>
      <c r="G65" s="2389"/>
      <c r="H65" s="2388"/>
      <c r="I65" s="2389"/>
      <c r="J65" s="2388"/>
      <c r="K65" s="2388"/>
      <c r="L65" s="2389"/>
      <c r="M65" s="2388"/>
      <c r="N65" s="2388"/>
      <c r="O65" s="2389"/>
      <c r="P65" s="2388"/>
      <c r="Q65" s="2388"/>
      <c r="R65" s="2390"/>
    </row>
    <row r="66" spans="2:18" s="2363" customFormat="1">
      <c r="B66" s="2388"/>
      <c r="C66" s="2388"/>
      <c r="D66" s="2388"/>
      <c r="E66" s="2388"/>
      <c r="F66" s="2388"/>
      <c r="G66" s="2389"/>
      <c r="H66" s="2388"/>
      <c r="I66" s="2389"/>
      <c r="J66" s="2388"/>
      <c r="K66" s="2388"/>
      <c r="L66" s="2389"/>
      <c r="M66" s="2388"/>
      <c r="N66" s="2388"/>
      <c r="O66" s="2389"/>
      <c r="P66" s="2388"/>
      <c r="Q66" s="2388"/>
      <c r="R66" s="2390"/>
    </row>
    <row r="67" spans="2:18" s="2363" customFormat="1">
      <c r="B67" s="2388"/>
      <c r="C67" s="2388"/>
      <c r="D67" s="2388"/>
      <c r="E67" s="2388"/>
      <c r="F67" s="2388"/>
      <c r="G67" s="2389"/>
      <c r="H67" s="2388"/>
      <c r="I67" s="2389"/>
      <c r="J67" s="2388"/>
      <c r="K67" s="2388"/>
      <c r="L67" s="2389"/>
      <c r="M67" s="2388"/>
      <c r="N67" s="2388"/>
      <c r="O67" s="2389"/>
      <c r="P67" s="2388"/>
      <c r="Q67" s="2388"/>
      <c r="R67" s="2390"/>
    </row>
    <row r="68" spans="2:18" s="2363" customFormat="1">
      <c r="B68" s="2388"/>
      <c r="C68" s="2388"/>
      <c r="D68" s="2388"/>
      <c r="E68" s="2388"/>
      <c r="F68" s="2388"/>
      <c r="G68" s="2389"/>
      <c r="H68" s="2388"/>
      <c r="I68" s="2389"/>
      <c r="J68" s="2388"/>
      <c r="K68" s="2388"/>
      <c r="L68" s="2389"/>
      <c r="M68" s="2388"/>
      <c r="N68" s="2388"/>
      <c r="O68" s="2389"/>
      <c r="P68" s="2388"/>
      <c r="Q68" s="2388"/>
      <c r="R68" s="2390"/>
    </row>
    <row r="69" spans="2:18" s="2363" customFormat="1">
      <c r="B69" s="2388"/>
      <c r="C69" s="2388"/>
      <c r="D69" s="2388"/>
      <c r="E69" s="2388"/>
      <c r="F69" s="2388"/>
      <c r="G69" s="2389"/>
      <c r="H69" s="2388"/>
      <c r="I69" s="2389"/>
      <c r="J69" s="2388"/>
      <c r="K69" s="2388"/>
      <c r="L69" s="2389"/>
      <c r="M69" s="2388"/>
      <c r="N69" s="2388"/>
      <c r="O69" s="2389"/>
      <c r="P69" s="2388"/>
      <c r="Q69" s="2388"/>
      <c r="R69" s="2390"/>
    </row>
    <row r="70" spans="2:18" s="2363" customFormat="1">
      <c r="B70" s="2388"/>
      <c r="C70" s="2388"/>
      <c r="D70" s="2388"/>
      <c r="E70" s="2388"/>
      <c r="F70" s="2388"/>
      <c r="G70" s="2389"/>
      <c r="H70" s="2388"/>
      <c r="I70" s="2389"/>
      <c r="J70" s="2388"/>
      <c r="K70" s="2388"/>
      <c r="L70" s="2389"/>
      <c r="M70" s="2388"/>
      <c r="N70" s="2388"/>
      <c r="O70" s="2389"/>
      <c r="P70" s="2388"/>
      <c r="Q70" s="2388"/>
      <c r="R70" s="2390"/>
    </row>
    <row r="71" spans="2:18" s="2363" customFormat="1">
      <c r="B71" s="2388"/>
      <c r="C71" s="2388"/>
      <c r="D71" s="2388"/>
      <c r="E71" s="2388"/>
      <c r="F71" s="2388"/>
      <c r="G71" s="2389"/>
      <c r="H71" s="2388"/>
      <c r="I71" s="2389"/>
      <c r="J71" s="2388"/>
      <c r="K71" s="2388"/>
      <c r="L71" s="2389"/>
      <c r="M71" s="2388"/>
      <c r="N71" s="2388"/>
      <c r="O71" s="2389"/>
      <c r="P71" s="2388"/>
      <c r="Q71" s="2388"/>
      <c r="R71" s="2390"/>
    </row>
    <row r="72" spans="2:18" s="2363" customFormat="1">
      <c r="B72" s="2388"/>
      <c r="C72" s="2388"/>
      <c r="D72" s="2388"/>
      <c r="E72" s="2388"/>
      <c r="F72" s="2388"/>
      <c r="G72" s="2389"/>
      <c r="H72" s="2388"/>
      <c r="I72" s="2389"/>
      <c r="J72" s="2388"/>
      <c r="K72" s="2388"/>
      <c r="L72" s="2389"/>
      <c r="M72" s="2388"/>
      <c r="N72" s="2388"/>
      <c r="O72" s="2389"/>
      <c r="P72" s="2388"/>
      <c r="Q72" s="2388"/>
      <c r="R72" s="2390"/>
    </row>
    <row r="73" spans="2:18" s="2363" customFormat="1">
      <c r="B73" s="2388"/>
      <c r="C73" s="2388"/>
      <c r="D73" s="2388"/>
      <c r="E73" s="2388"/>
      <c r="F73" s="2388"/>
      <c r="G73" s="2389"/>
      <c r="H73" s="2388"/>
      <c r="I73" s="2389"/>
      <c r="J73" s="2388"/>
      <c r="K73" s="2388"/>
      <c r="L73" s="2389"/>
      <c r="M73" s="2388"/>
      <c r="N73" s="2388"/>
      <c r="O73" s="2389"/>
      <c r="P73" s="2388"/>
      <c r="Q73" s="2388"/>
      <c r="R73" s="2390"/>
    </row>
    <row r="74" spans="2:18" s="2363" customFormat="1">
      <c r="B74" s="2388"/>
      <c r="C74" s="2388"/>
      <c r="D74" s="2388"/>
      <c r="E74" s="2388"/>
      <c r="F74" s="2388"/>
      <c r="G74" s="2389"/>
      <c r="H74" s="2388"/>
      <c r="I74" s="2389"/>
      <c r="J74" s="2388"/>
      <c r="K74" s="2388"/>
      <c r="L74" s="2389"/>
      <c r="M74" s="2388"/>
      <c r="N74" s="2388"/>
      <c r="O74" s="2389"/>
      <c r="P74" s="2388"/>
      <c r="Q74" s="2388"/>
      <c r="R74" s="2390"/>
    </row>
    <row r="75" spans="2:18" s="2363" customFormat="1">
      <c r="B75" s="2388"/>
      <c r="C75" s="2388"/>
      <c r="D75" s="2388"/>
      <c r="E75" s="2388"/>
      <c r="F75" s="2388"/>
      <c r="G75" s="2389"/>
      <c r="H75" s="2388"/>
      <c r="I75" s="2389"/>
      <c r="J75" s="2388"/>
      <c r="K75" s="2388"/>
      <c r="L75" s="2389"/>
      <c r="M75" s="2388"/>
      <c r="N75" s="2388"/>
      <c r="O75" s="2389"/>
      <c r="P75" s="2388"/>
      <c r="Q75" s="2388"/>
      <c r="R75" s="2390"/>
    </row>
    <row r="76" spans="2:18" s="2363" customFormat="1">
      <c r="B76" s="2388"/>
      <c r="C76" s="2388"/>
      <c r="D76" s="2388"/>
      <c r="E76" s="2388"/>
      <c r="F76" s="2388"/>
      <c r="G76" s="2389"/>
      <c r="H76" s="2388"/>
      <c r="I76" s="2389"/>
      <c r="J76" s="2388"/>
      <c r="K76" s="2388"/>
      <c r="L76" s="2389"/>
      <c r="M76" s="2388"/>
      <c r="N76" s="2388"/>
      <c r="O76" s="2389"/>
      <c r="P76" s="2388"/>
      <c r="Q76" s="2388"/>
      <c r="R76" s="2390"/>
    </row>
    <row r="77" spans="2:18" s="2363" customFormat="1">
      <c r="B77" s="2388"/>
      <c r="C77" s="2388"/>
      <c r="D77" s="2388"/>
      <c r="E77" s="2388"/>
      <c r="F77" s="2388"/>
      <c r="G77" s="2389"/>
      <c r="H77" s="2388"/>
      <c r="I77" s="2389"/>
      <c r="J77" s="2388"/>
      <c r="K77" s="2388"/>
      <c r="L77" s="2389"/>
      <c r="M77" s="2388"/>
      <c r="N77" s="2388"/>
      <c r="O77" s="2389"/>
      <c r="P77" s="2388"/>
      <c r="Q77" s="2388"/>
      <c r="R77" s="2390"/>
    </row>
    <row r="78" spans="2:18" s="2363" customFormat="1">
      <c r="B78" s="2388"/>
      <c r="C78" s="2388"/>
      <c r="D78" s="2388"/>
      <c r="E78" s="2388"/>
      <c r="F78" s="2388"/>
      <c r="G78" s="2389"/>
      <c r="H78" s="2388"/>
      <c r="I78" s="2389"/>
      <c r="J78" s="2388"/>
      <c r="K78" s="2388"/>
      <c r="L78" s="2389"/>
      <c r="M78" s="2388"/>
      <c r="N78" s="2388"/>
      <c r="O78" s="2389"/>
      <c r="P78" s="2388"/>
      <c r="Q78" s="2388"/>
      <c r="R78" s="2390"/>
    </row>
    <row r="79" spans="2:18" s="2363" customFormat="1">
      <c r="B79" s="2388"/>
      <c r="C79" s="2388"/>
      <c r="D79" s="2388"/>
      <c r="E79" s="2388"/>
      <c r="F79" s="2388"/>
      <c r="G79" s="2389"/>
      <c r="H79" s="2388"/>
      <c r="I79" s="2389"/>
      <c r="J79" s="2388"/>
      <c r="K79" s="2388"/>
      <c r="L79" s="2389"/>
      <c r="M79" s="2388"/>
      <c r="N79" s="2388"/>
      <c r="O79" s="2389"/>
      <c r="P79" s="2388"/>
      <c r="Q79" s="2388"/>
      <c r="R79" s="2390"/>
    </row>
    <row r="80" spans="2:18" s="2363" customFormat="1">
      <c r="B80" s="2388"/>
      <c r="C80" s="2388"/>
      <c r="D80" s="2388"/>
      <c r="E80" s="2388"/>
      <c r="F80" s="2388"/>
      <c r="G80" s="2389"/>
      <c r="H80" s="2388"/>
      <c r="I80" s="2389"/>
      <c r="J80" s="2388"/>
      <c r="K80" s="2388"/>
      <c r="L80" s="2389"/>
      <c r="M80" s="2388"/>
      <c r="N80" s="2388"/>
      <c r="O80" s="2389"/>
      <c r="P80" s="2388"/>
      <c r="Q80" s="2388"/>
      <c r="R80" s="2390"/>
    </row>
    <row r="81" spans="2:18" s="2363" customFormat="1">
      <c r="B81" s="2388"/>
      <c r="C81" s="2388"/>
      <c r="D81" s="2388"/>
      <c r="E81" s="2388"/>
      <c r="F81" s="2388"/>
      <c r="G81" s="2389"/>
      <c r="H81" s="2388"/>
      <c r="I81" s="2389"/>
      <c r="J81" s="2388"/>
      <c r="K81" s="2388"/>
      <c r="L81" s="2389"/>
      <c r="M81" s="2388"/>
      <c r="N81" s="2388"/>
      <c r="O81" s="2389"/>
      <c r="P81" s="2388"/>
      <c r="Q81" s="2388"/>
      <c r="R81" s="2390"/>
    </row>
    <row r="82" spans="2:18" s="2363" customFormat="1">
      <c r="B82" s="2388"/>
      <c r="C82" s="2388"/>
      <c r="D82" s="2388"/>
      <c r="E82" s="2388"/>
      <c r="F82" s="2388"/>
      <c r="G82" s="2389"/>
      <c r="H82" s="2388"/>
      <c r="I82" s="2389"/>
      <c r="J82" s="2388"/>
      <c r="K82" s="2388"/>
      <c r="L82" s="2389"/>
      <c r="M82" s="2388"/>
      <c r="N82" s="2388"/>
      <c r="O82" s="2389"/>
      <c r="P82" s="2388"/>
      <c r="Q82" s="2388"/>
      <c r="R82" s="2390"/>
    </row>
    <row r="83" spans="2:18" s="2363" customFormat="1">
      <c r="B83" s="2388"/>
      <c r="C83" s="2388"/>
      <c r="D83" s="2388"/>
      <c r="E83" s="2388"/>
      <c r="F83" s="2388"/>
      <c r="G83" s="2389"/>
      <c r="H83" s="2388"/>
      <c r="I83" s="2389"/>
      <c r="J83" s="2388"/>
      <c r="K83" s="2388"/>
      <c r="L83" s="2389"/>
      <c r="M83" s="2388"/>
      <c r="N83" s="2388"/>
      <c r="O83" s="2389"/>
      <c r="P83" s="2388"/>
      <c r="Q83" s="2388"/>
      <c r="R83" s="2390"/>
    </row>
    <row r="84" spans="2:18" s="2363" customFormat="1">
      <c r="B84" s="2388"/>
      <c r="C84" s="2388"/>
      <c r="D84" s="2388"/>
      <c r="E84" s="2388"/>
      <c r="F84" s="2388"/>
      <c r="G84" s="2389"/>
      <c r="H84" s="2388"/>
      <c r="I84" s="2389"/>
      <c r="J84" s="2388"/>
      <c r="K84" s="2388"/>
      <c r="L84" s="2389"/>
      <c r="M84" s="2388"/>
      <c r="N84" s="2388"/>
      <c r="O84" s="2389"/>
      <c r="P84" s="2388"/>
      <c r="Q84" s="2388"/>
      <c r="R84" s="2390"/>
    </row>
    <row r="85" spans="2:18" s="2363" customFormat="1">
      <c r="B85" s="2388"/>
      <c r="C85" s="2388"/>
      <c r="D85" s="2388"/>
      <c r="E85" s="2388"/>
      <c r="F85" s="2388"/>
      <c r="G85" s="2389"/>
      <c r="H85" s="2388"/>
      <c r="I85" s="2389"/>
      <c r="J85" s="2388"/>
      <c r="K85" s="2388"/>
      <c r="L85" s="2389"/>
      <c r="M85" s="2388"/>
      <c r="N85" s="2388"/>
      <c r="O85" s="2389"/>
      <c r="P85" s="2388"/>
      <c r="Q85" s="2388"/>
      <c r="R85" s="2390"/>
    </row>
    <row r="86" spans="2:18" s="2363" customFormat="1">
      <c r="B86" s="2388"/>
      <c r="C86" s="2388"/>
      <c r="D86" s="2388"/>
      <c r="E86" s="2388"/>
      <c r="F86" s="2388"/>
      <c r="G86" s="2389"/>
      <c r="H86" s="2388"/>
      <c r="I86" s="2389"/>
      <c r="J86" s="2388"/>
      <c r="K86" s="2388"/>
      <c r="L86" s="2389"/>
      <c r="M86" s="2388"/>
      <c r="N86" s="2388"/>
      <c r="O86" s="2389"/>
      <c r="P86" s="2388"/>
      <c r="Q86" s="2388"/>
      <c r="R86" s="2390"/>
    </row>
    <row r="87" spans="2:18" s="2363" customFormat="1">
      <c r="B87" s="2388"/>
      <c r="C87" s="2388"/>
      <c r="D87" s="2388"/>
      <c r="E87" s="2388"/>
      <c r="F87" s="2388"/>
      <c r="G87" s="2389"/>
      <c r="H87" s="2388"/>
      <c r="I87" s="2389"/>
      <c r="J87" s="2388"/>
      <c r="K87" s="2388"/>
      <c r="L87" s="2389"/>
      <c r="M87" s="2388"/>
      <c r="N87" s="2388"/>
      <c r="O87" s="2389"/>
      <c r="P87" s="2388"/>
      <c r="Q87" s="2388"/>
      <c r="R87" s="2390"/>
    </row>
    <row r="88" spans="2:18" s="2363" customFormat="1">
      <c r="B88" s="2388"/>
      <c r="C88" s="2388"/>
      <c r="D88" s="2388"/>
      <c r="E88" s="2388"/>
      <c r="F88" s="2388"/>
      <c r="G88" s="2389"/>
      <c r="H88" s="2388"/>
      <c r="I88" s="2389"/>
      <c r="J88" s="2388"/>
      <c r="K88" s="2388"/>
      <c r="L88" s="2389"/>
      <c r="M88" s="2388"/>
      <c r="N88" s="2388"/>
      <c r="O88" s="2389"/>
      <c r="P88" s="2388"/>
      <c r="Q88" s="2388"/>
      <c r="R88" s="2390"/>
    </row>
    <row r="89" spans="2:18" s="2363" customFormat="1">
      <c r="B89" s="2388"/>
      <c r="C89" s="2388"/>
      <c r="D89" s="2388"/>
      <c r="E89" s="2388"/>
      <c r="F89" s="2388"/>
      <c r="G89" s="2389"/>
      <c r="H89" s="2388"/>
      <c r="I89" s="2389"/>
      <c r="J89" s="2388"/>
      <c r="K89" s="2388"/>
      <c r="L89" s="2389"/>
      <c r="M89" s="2388"/>
      <c r="N89" s="2388"/>
      <c r="O89" s="2389"/>
      <c r="P89" s="2388"/>
      <c r="Q89" s="2388"/>
      <c r="R89" s="2390"/>
    </row>
    <row r="90" spans="2:18" s="2363" customFormat="1">
      <c r="B90" s="2388"/>
      <c r="C90" s="2388"/>
      <c r="D90" s="2388"/>
      <c r="E90" s="2388"/>
      <c r="F90" s="2388"/>
      <c r="G90" s="2389"/>
      <c r="H90" s="2388"/>
      <c r="I90" s="2389"/>
      <c r="J90" s="2388"/>
      <c r="K90" s="2388"/>
      <c r="L90" s="2389"/>
      <c r="M90" s="2388"/>
      <c r="N90" s="2388"/>
      <c r="O90" s="2389"/>
      <c r="P90" s="2388"/>
      <c r="Q90" s="2388"/>
      <c r="R90" s="2390"/>
    </row>
    <row r="91" spans="2:18" s="2363" customFormat="1">
      <c r="B91" s="2388"/>
      <c r="C91" s="2388"/>
      <c r="D91" s="2388"/>
      <c r="E91" s="2388"/>
      <c r="F91" s="2388"/>
      <c r="G91" s="2389"/>
      <c r="H91" s="2388"/>
      <c r="I91" s="2389"/>
      <c r="J91" s="2388"/>
      <c r="K91" s="2388"/>
      <c r="L91" s="2389"/>
      <c r="M91" s="2388"/>
      <c r="N91" s="2388"/>
      <c r="O91" s="2389"/>
      <c r="P91" s="2388"/>
      <c r="Q91" s="2388"/>
      <c r="R91" s="2390"/>
    </row>
    <row r="92" spans="2:18" s="2363" customFormat="1">
      <c r="B92" s="2388"/>
      <c r="C92" s="2388"/>
      <c r="D92" s="2388"/>
      <c r="E92" s="2388"/>
      <c r="F92" s="2388"/>
      <c r="G92" s="2389"/>
      <c r="H92" s="2388"/>
      <c r="I92" s="2389"/>
      <c r="J92" s="2388"/>
      <c r="K92" s="2388"/>
      <c r="L92" s="2389"/>
      <c r="M92" s="2388"/>
      <c r="N92" s="2388"/>
      <c r="O92" s="2389"/>
      <c r="P92" s="2388"/>
      <c r="Q92" s="2388"/>
      <c r="R92" s="2390"/>
    </row>
    <row r="93" spans="2:18" s="2363" customFormat="1">
      <c r="B93" s="2388"/>
      <c r="C93" s="2388"/>
      <c r="D93" s="2388"/>
      <c r="E93" s="2388"/>
      <c r="F93" s="2388"/>
      <c r="G93" s="2389"/>
      <c r="H93" s="2388"/>
      <c r="I93" s="2389"/>
      <c r="J93" s="2388"/>
      <c r="K93" s="2388"/>
      <c r="L93" s="2389"/>
      <c r="M93" s="2388"/>
      <c r="N93" s="2388"/>
      <c r="O93" s="2389"/>
      <c r="P93" s="2388"/>
      <c r="Q93" s="2388"/>
      <c r="R93" s="2390"/>
    </row>
    <row r="94" spans="2:18" s="2363" customFormat="1">
      <c r="B94" s="2388"/>
      <c r="C94" s="2388"/>
      <c r="D94" s="2388"/>
      <c r="E94" s="2388"/>
      <c r="F94" s="2388"/>
      <c r="G94" s="2389"/>
      <c r="H94" s="2388"/>
      <c r="I94" s="2389"/>
      <c r="J94" s="2388"/>
      <c r="K94" s="2388"/>
      <c r="L94" s="2389"/>
      <c r="M94" s="2388"/>
      <c r="N94" s="2388"/>
      <c r="O94" s="2389"/>
      <c r="P94" s="2388"/>
      <c r="Q94" s="2388"/>
      <c r="R94" s="2390"/>
    </row>
    <row r="95" spans="2:18" s="2363" customFormat="1">
      <c r="B95" s="2388"/>
      <c r="C95" s="2388"/>
      <c r="D95" s="2388"/>
      <c r="E95" s="2388"/>
      <c r="F95" s="2388"/>
      <c r="G95" s="2389"/>
      <c r="H95" s="2388"/>
      <c r="I95" s="2389"/>
      <c r="J95" s="2388"/>
      <c r="K95" s="2388"/>
      <c r="L95" s="2389"/>
      <c r="M95" s="2388"/>
      <c r="N95" s="2388"/>
      <c r="O95" s="2389"/>
      <c r="P95" s="2388"/>
      <c r="Q95" s="2388"/>
      <c r="R95" s="2390"/>
    </row>
    <row r="96" spans="2:18" s="2363" customFormat="1">
      <c r="B96" s="2388"/>
      <c r="C96" s="2388"/>
      <c r="D96" s="2388"/>
      <c r="E96" s="2388"/>
      <c r="F96" s="2388"/>
      <c r="G96" s="2389"/>
      <c r="H96" s="2388"/>
      <c r="I96" s="2389"/>
      <c r="J96" s="2388"/>
      <c r="K96" s="2388"/>
      <c r="L96" s="2389"/>
      <c r="M96" s="2388"/>
      <c r="N96" s="2388"/>
      <c r="O96" s="2389"/>
      <c r="P96" s="2388"/>
      <c r="Q96" s="2388"/>
      <c r="R96" s="2390"/>
    </row>
    <row r="97" spans="2:18" s="2363" customFormat="1">
      <c r="B97" s="2388"/>
      <c r="C97" s="2388"/>
      <c r="D97" s="2388"/>
      <c r="E97" s="2388"/>
      <c r="F97" s="2388"/>
      <c r="G97" s="2389"/>
      <c r="H97" s="2388"/>
      <c r="I97" s="2389"/>
      <c r="J97" s="2388"/>
      <c r="K97" s="2388"/>
      <c r="L97" s="2389"/>
      <c r="M97" s="2388"/>
      <c r="N97" s="2388"/>
      <c r="O97" s="2389"/>
      <c r="P97" s="2388"/>
      <c r="Q97" s="2388"/>
      <c r="R97" s="2390"/>
    </row>
    <row r="98" spans="2:18" s="2363" customFormat="1">
      <c r="B98" s="2388"/>
      <c r="C98" s="2388"/>
      <c r="D98" s="2388"/>
      <c r="E98" s="2388"/>
      <c r="F98" s="2388"/>
      <c r="G98" s="2389"/>
      <c r="H98" s="2388"/>
      <c r="I98" s="2389"/>
      <c r="J98" s="2388"/>
      <c r="K98" s="2388"/>
      <c r="L98" s="2389"/>
      <c r="M98" s="2388"/>
      <c r="N98" s="2388"/>
      <c r="O98" s="2389"/>
      <c r="P98" s="2388"/>
      <c r="Q98" s="2388"/>
      <c r="R98" s="2390"/>
    </row>
    <row r="99" spans="2:18" s="2363" customFormat="1">
      <c r="B99" s="2388"/>
      <c r="C99" s="2388"/>
      <c r="D99" s="2388"/>
      <c r="E99" s="2388"/>
      <c r="F99" s="2388"/>
      <c r="G99" s="2389"/>
      <c r="H99" s="2388"/>
      <c r="I99" s="2389"/>
      <c r="J99" s="2388"/>
      <c r="K99" s="2388"/>
      <c r="L99" s="2389"/>
      <c r="M99" s="2388"/>
      <c r="N99" s="2388"/>
      <c r="O99" s="2389"/>
      <c r="P99" s="2388"/>
      <c r="Q99" s="2388"/>
      <c r="R99" s="2390"/>
    </row>
    <row r="100" spans="2:18" s="2363" customFormat="1">
      <c r="B100" s="2388"/>
      <c r="C100" s="2388"/>
      <c r="D100" s="2388"/>
      <c r="E100" s="2388"/>
      <c r="F100" s="2388"/>
      <c r="G100" s="2389"/>
      <c r="H100" s="2388"/>
      <c r="I100" s="2389"/>
      <c r="J100" s="2388"/>
      <c r="K100" s="2388"/>
      <c r="L100" s="2389"/>
      <c r="M100" s="2388"/>
      <c r="N100" s="2388"/>
      <c r="O100" s="2389"/>
      <c r="P100" s="2388"/>
      <c r="Q100" s="2388"/>
      <c r="R100" s="2390"/>
    </row>
    <row r="101" spans="2:18" s="2363" customFormat="1">
      <c r="B101" s="2388"/>
      <c r="C101" s="2388"/>
      <c r="D101" s="2388"/>
      <c r="E101" s="2388"/>
      <c r="F101" s="2388"/>
      <c r="G101" s="2389"/>
      <c r="H101" s="2388"/>
      <c r="I101" s="2389"/>
      <c r="J101" s="2388"/>
      <c r="K101" s="2388"/>
      <c r="L101" s="2389"/>
      <c r="M101" s="2388"/>
      <c r="N101" s="2388"/>
      <c r="O101" s="2389"/>
      <c r="P101" s="2388"/>
      <c r="Q101" s="2388"/>
      <c r="R101" s="2390"/>
    </row>
    <row r="102" spans="2:18" s="2363" customFormat="1">
      <c r="B102" s="2388"/>
      <c r="C102" s="2388"/>
      <c r="D102" s="2388"/>
      <c r="E102" s="2388"/>
      <c r="F102" s="2388"/>
      <c r="G102" s="2389"/>
      <c r="H102" s="2388"/>
      <c r="I102" s="2389"/>
      <c r="J102" s="2388"/>
      <c r="K102" s="2388"/>
      <c r="L102" s="2389"/>
      <c r="M102" s="2388"/>
      <c r="N102" s="2388"/>
      <c r="O102" s="2389"/>
      <c r="P102" s="2388"/>
      <c r="Q102" s="2388"/>
      <c r="R102" s="2390"/>
    </row>
    <row r="103" spans="2:18" s="2363" customFormat="1">
      <c r="B103" s="2388"/>
      <c r="C103" s="2388"/>
      <c r="D103" s="2388"/>
      <c r="E103" s="2388"/>
      <c r="F103" s="2388"/>
      <c r="G103" s="2389"/>
      <c r="H103" s="2388"/>
      <c r="I103" s="2389"/>
      <c r="J103" s="2388"/>
      <c r="K103" s="2388"/>
      <c r="L103" s="2389"/>
      <c r="M103" s="2388"/>
      <c r="N103" s="2388"/>
      <c r="O103" s="2389"/>
      <c r="P103" s="2388"/>
      <c r="Q103" s="2388"/>
      <c r="R103" s="2390"/>
    </row>
    <row r="104" spans="2:18" s="2363" customFormat="1">
      <c r="B104" s="2388"/>
      <c r="C104" s="2388"/>
      <c r="D104" s="2388"/>
      <c r="E104" s="2388"/>
      <c r="F104" s="2388"/>
      <c r="G104" s="2389"/>
      <c r="H104" s="2388"/>
      <c r="I104" s="2389"/>
      <c r="J104" s="2388"/>
      <c r="K104" s="2388"/>
      <c r="L104" s="2389"/>
      <c r="M104" s="2388"/>
      <c r="N104" s="2388"/>
      <c r="O104" s="2389"/>
      <c r="P104" s="2388"/>
      <c r="Q104" s="2388"/>
      <c r="R104" s="2390"/>
    </row>
    <row r="105" spans="2:18" s="2363" customFormat="1">
      <c r="B105" s="2388"/>
      <c r="C105" s="2388"/>
      <c r="D105" s="2388"/>
      <c r="E105" s="2388"/>
      <c r="F105" s="2388"/>
      <c r="G105" s="2389"/>
      <c r="H105" s="2388"/>
      <c r="I105" s="2389"/>
      <c r="J105" s="2388"/>
      <c r="K105" s="2388"/>
      <c r="L105" s="2389"/>
      <c r="M105" s="2388"/>
      <c r="N105" s="2388"/>
      <c r="O105" s="2389"/>
      <c r="P105" s="2388"/>
      <c r="Q105" s="2388"/>
      <c r="R105" s="2390"/>
    </row>
    <row r="106" spans="2:18" s="2363" customFormat="1">
      <c r="B106" s="2388"/>
      <c r="C106" s="2388"/>
      <c r="D106" s="2388"/>
      <c r="E106" s="2388"/>
      <c r="F106" s="2388"/>
      <c r="G106" s="2389"/>
      <c r="H106" s="2388"/>
      <c r="I106" s="2389"/>
      <c r="J106" s="2388"/>
      <c r="K106" s="2388"/>
      <c r="L106" s="2389"/>
      <c r="M106" s="2388"/>
      <c r="N106" s="2388"/>
      <c r="O106" s="2389"/>
      <c r="P106" s="2388"/>
      <c r="Q106" s="2388"/>
      <c r="R106" s="2390"/>
    </row>
    <row r="107" spans="2:18" s="2363" customFormat="1">
      <c r="B107" s="2388"/>
      <c r="C107" s="2388"/>
      <c r="D107" s="2388"/>
      <c r="E107" s="2388"/>
      <c r="F107" s="2388"/>
      <c r="G107" s="2389"/>
      <c r="H107" s="2388"/>
      <c r="I107" s="2389"/>
      <c r="J107" s="2388"/>
      <c r="K107" s="2388"/>
      <c r="L107" s="2389"/>
      <c r="M107" s="2388"/>
      <c r="N107" s="2388"/>
      <c r="O107" s="2389"/>
      <c r="P107" s="2388"/>
      <c r="Q107" s="2388"/>
      <c r="R107" s="2390"/>
    </row>
    <row r="108" spans="2:18" s="2363" customFormat="1">
      <c r="B108" s="2388"/>
      <c r="C108" s="2388"/>
      <c r="D108" s="2388"/>
      <c r="E108" s="2388"/>
      <c r="F108" s="2388"/>
      <c r="G108" s="2389"/>
      <c r="H108" s="2388"/>
      <c r="I108" s="2389"/>
      <c r="J108" s="2388"/>
      <c r="K108" s="2388"/>
      <c r="L108" s="2389"/>
      <c r="M108" s="2388"/>
      <c r="N108" s="2388"/>
      <c r="O108" s="2389"/>
      <c r="P108" s="2388"/>
      <c r="Q108" s="2388"/>
      <c r="R108" s="2390"/>
    </row>
    <row r="109" spans="2:18" s="2363" customFormat="1">
      <c r="B109" s="2388"/>
      <c r="C109" s="2388"/>
      <c r="D109" s="2388"/>
      <c r="E109" s="2388"/>
      <c r="F109" s="2388"/>
      <c r="G109" s="2389"/>
      <c r="H109" s="2388"/>
      <c r="I109" s="2389"/>
      <c r="J109" s="2388"/>
      <c r="K109" s="2388"/>
      <c r="L109" s="2389"/>
      <c r="M109" s="2388"/>
      <c r="N109" s="2388"/>
      <c r="O109" s="2389"/>
      <c r="P109" s="2388"/>
      <c r="Q109" s="2388"/>
      <c r="R109" s="2390"/>
    </row>
    <row r="110" spans="2:18" s="2363" customFormat="1">
      <c r="B110" s="2388"/>
      <c r="C110" s="2388"/>
      <c r="D110" s="2388"/>
      <c r="E110" s="2388"/>
      <c r="F110" s="2388"/>
      <c r="G110" s="2389"/>
      <c r="H110" s="2388"/>
      <c r="I110" s="2389"/>
      <c r="J110" s="2388"/>
      <c r="K110" s="2388"/>
      <c r="L110" s="2389"/>
      <c r="M110" s="2388"/>
      <c r="N110" s="2388"/>
      <c r="O110" s="2389"/>
      <c r="P110" s="2388"/>
      <c r="Q110" s="2388"/>
      <c r="R110" s="2390"/>
    </row>
    <row r="111" spans="2:18" s="2363" customFormat="1">
      <c r="B111" s="2388"/>
      <c r="C111" s="2388"/>
      <c r="D111" s="2388"/>
      <c r="E111" s="2388"/>
      <c r="F111" s="2388"/>
      <c r="G111" s="2389"/>
      <c r="H111" s="2388"/>
      <c r="I111" s="2389"/>
      <c r="J111" s="2388"/>
      <c r="K111" s="2388"/>
      <c r="L111" s="2389"/>
      <c r="M111" s="2388"/>
      <c r="N111" s="2388"/>
      <c r="O111" s="2389"/>
      <c r="P111" s="2388"/>
      <c r="Q111" s="2388"/>
      <c r="R111" s="2390"/>
    </row>
    <row r="112" spans="2:18" s="2363" customFormat="1">
      <c r="B112" s="2388"/>
      <c r="C112" s="2388"/>
      <c r="D112" s="2388"/>
      <c r="E112" s="2388"/>
      <c r="F112" s="2388"/>
      <c r="G112" s="2389"/>
      <c r="H112" s="2388"/>
      <c r="I112" s="2389"/>
      <c r="J112" s="2388"/>
      <c r="K112" s="2388"/>
      <c r="L112" s="2389"/>
      <c r="M112" s="2388"/>
      <c r="N112" s="2388"/>
      <c r="O112" s="2389"/>
      <c r="P112" s="2388"/>
      <c r="Q112" s="2388"/>
      <c r="R112" s="2390"/>
    </row>
    <row r="113" spans="2:18" s="2363" customFormat="1">
      <c r="B113" s="2388"/>
      <c r="C113" s="2388"/>
      <c r="D113" s="2388"/>
      <c r="E113" s="2388"/>
      <c r="F113" s="2388"/>
      <c r="G113" s="2389"/>
      <c r="H113" s="2388"/>
      <c r="I113" s="2389"/>
      <c r="J113" s="2388"/>
      <c r="K113" s="2388"/>
      <c r="L113" s="2389"/>
      <c r="M113" s="2388"/>
      <c r="N113" s="2388"/>
      <c r="O113" s="2389"/>
      <c r="P113" s="2388"/>
      <c r="Q113" s="2388"/>
      <c r="R113" s="2390"/>
    </row>
    <row r="114" spans="2:18" s="2363" customFormat="1">
      <c r="B114" s="2388"/>
      <c r="C114" s="2388"/>
      <c r="D114" s="2388"/>
      <c r="E114" s="2388"/>
      <c r="F114" s="2388"/>
      <c r="G114" s="2389"/>
      <c r="H114" s="2388"/>
      <c r="I114" s="2389"/>
      <c r="J114" s="2388"/>
      <c r="K114" s="2388"/>
      <c r="L114" s="2389"/>
      <c r="M114" s="2388"/>
      <c r="N114" s="2388"/>
      <c r="O114" s="2389"/>
      <c r="P114" s="2388"/>
      <c r="Q114" s="2388"/>
      <c r="R114" s="2390"/>
    </row>
    <row r="115" spans="2:18" s="2363" customFormat="1">
      <c r="B115" s="2388"/>
      <c r="C115" s="2388"/>
      <c r="D115" s="2388"/>
      <c r="E115" s="2388"/>
      <c r="F115" s="2388"/>
      <c r="G115" s="2389"/>
      <c r="H115" s="2388"/>
      <c r="I115" s="2389"/>
      <c r="J115" s="2388"/>
      <c r="K115" s="2388"/>
      <c r="L115" s="2389"/>
      <c r="M115" s="2388"/>
      <c r="N115" s="2388"/>
      <c r="O115" s="2389"/>
      <c r="P115" s="2388"/>
      <c r="Q115" s="2388"/>
      <c r="R115" s="2390"/>
    </row>
    <row r="116" spans="2:18" s="2363" customFormat="1">
      <c r="B116" s="2388"/>
      <c r="C116" s="2388"/>
      <c r="D116" s="2388"/>
      <c r="E116" s="2388"/>
      <c r="F116" s="2388"/>
      <c r="G116" s="2389"/>
      <c r="H116" s="2388"/>
      <c r="I116" s="2389"/>
      <c r="J116" s="2388"/>
      <c r="K116" s="2388"/>
      <c r="L116" s="2389"/>
      <c r="M116" s="2388"/>
      <c r="N116" s="2388"/>
      <c r="O116" s="2389"/>
      <c r="P116" s="2388"/>
      <c r="Q116" s="2388"/>
      <c r="R116" s="2390"/>
    </row>
    <row r="117" spans="2:18" s="2363" customFormat="1">
      <c r="B117" s="2388"/>
      <c r="C117" s="2388"/>
      <c r="D117" s="2388"/>
      <c r="E117" s="2388"/>
      <c r="F117" s="2388"/>
      <c r="G117" s="2389"/>
      <c r="H117" s="2388"/>
      <c r="I117" s="2389"/>
      <c r="J117" s="2388"/>
      <c r="K117" s="2388"/>
      <c r="L117" s="2389"/>
      <c r="M117" s="2388"/>
      <c r="N117" s="2388"/>
      <c r="O117" s="2389"/>
      <c r="P117" s="2388"/>
      <c r="Q117" s="2388"/>
      <c r="R117" s="2390"/>
    </row>
    <row r="118" spans="2:18" s="2363" customFormat="1">
      <c r="B118" s="2388"/>
      <c r="C118" s="2388"/>
      <c r="D118" s="2388"/>
      <c r="E118" s="2388"/>
      <c r="F118" s="2388"/>
      <c r="G118" s="2389"/>
      <c r="H118" s="2388"/>
      <c r="I118" s="2389"/>
      <c r="J118" s="2388"/>
      <c r="K118" s="2388"/>
      <c r="L118" s="2389"/>
      <c r="M118" s="2388"/>
      <c r="N118" s="2388"/>
      <c r="O118" s="2389"/>
      <c r="P118" s="2388"/>
      <c r="Q118" s="2388"/>
      <c r="R118" s="2390"/>
    </row>
    <row r="119" spans="2:18" s="2363" customFormat="1">
      <c r="B119" s="2388"/>
      <c r="C119" s="2388"/>
      <c r="D119" s="2388"/>
      <c r="E119" s="2388"/>
      <c r="F119" s="2388"/>
      <c r="G119" s="2389"/>
      <c r="H119" s="2388"/>
      <c r="I119" s="2389"/>
      <c r="J119" s="2388"/>
      <c r="K119" s="2388"/>
      <c r="L119" s="2389"/>
      <c r="M119" s="2388"/>
      <c r="N119" s="2388"/>
      <c r="O119" s="2389"/>
      <c r="P119" s="2388"/>
      <c r="Q119" s="2388"/>
      <c r="R119" s="2390"/>
    </row>
    <row r="120" spans="2:18" s="2363" customFormat="1">
      <c r="B120" s="2388"/>
      <c r="C120" s="2388"/>
      <c r="D120" s="2388"/>
      <c r="E120" s="2388"/>
      <c r="F120" s="2388"/>
      <c r="G120" s="2389"/>
      <c r="H120" s="2388"/>
      <c r="I120" s="2389"/>
      <c r="J120" s="2388"/>
      <c r="K120" s="2388"/>
      <c r="L120" s="2389"/>
      <c r="M120" s="2388"/>
      <c r="N120" s="2388"/>
      <c r="O120" s="2389"/>
      <c r="P120" s="2388"/>
      <c r="Q120" s="2388"/>
      <c r="R120" s="2390"/>
    </row>
    <row r="121" spans="2:18" s="2363" customFormat="1">
      <c r="B121" s="2388"/>
      <c r="C121" s="2388"/>
      <c r="D121" s="2388"/>
      <c r="E121" s="2388"/>
      <c r="F121" s="2388"/>
      <c r="G121" s="2389"/>
      <c r="H121" s="2388"/>
      <c r="I121" s="2389"/>
      <c r="J121" s="2388"/>
      <c r="K121" s="2388"/>
      <c r="L121" s="2389"/>
      <c r="M121" s="2388"/>
      <c r="N121" s="2388"/>
      <c r="O121" s="2389"/>
      <c r="P121" s="2388"/>
      <c r="Q121" s="2388"/>
      <c r="R121" s="2390"/>
    </row>
    <row r="122" spans="2:18" s="2363" customFormat="1">
      <c r="B122" s="2388"/>
      <c r="C122" s="2388"/>
      <c r="D122" s="2388"/>
      <c r="E122" s="2388"/>
      <c r="F122" s="2388"/>
      <c r="G122" s="2389"/>
      <c r="H122" s="2388"/>
      <c r="I122" s="2389"/>
      <c r="J122" s="2388"/>
      <c r="K122" s="2388"/>
      <c r="L122" s="2389"/>
      <c r="M122" s="2388"/>
      <c r="N122" s="2388"/>
      <c r="O122" s="2389"/>
      <c r="P122" s="2388"/>
      <c r="Q122" s="2388"/>
      <c r="R122" s="2390"/>
    </row>
    <row r="123" spans="2:18" s="2363" customFormat="1">
      <c r="B123" s="2388"/>
      <c r="C123" s="2388"/>
      <c r="D123" s="2388"/>
      <c r="E123" s="2388"/>
      <c r="F123" s="2388"/>
      <c r="G123" s="2389"/>
      <c r="H123" s="2388"/>
      <c r="I123" s="2389"/>
      <c r="J123" s="2388"/>
      <c r="K123" s="2388"/>
      <c r="L123" s="2389"/>
      <c r="M123" s="2388"/>
      <c r="N123" s="2388"/>
      <c r="O123" s="2389"/>
      <c r="P123" s="2388"/>
      <c r="Q123" s="2388"/>
      <c r="R123" s="2390"/>
    </row>
    <row r="124" spans="2:18" s="2363" customFormat="1">
      <c r="B124" s="2388"/>
      <c r="C124" s="2388"/>
      <c r="D124" s="2388"/>
      <c r="E124" s="2388"/>
      <c r="F124" s="2388"/>
      <c r="G124" s="2389"/>
      <c r="H124" s="2388"/>
      <c r="I124" s="2389"/>
      <c r="J124" s="2388"/>
      <c r="K124" s="2388"/>
      <c r="L124" s="2389"/>
      <c r="M124" s="2388"/>
      <c r="N124" s="2388"/>
      <c r="O124" s="2389"/>
      <c r="P124" s="2388"/>
      <c r="Q124" s="2388"/>
      <c r="R124" s="2390"/>
    </row>
    <row r="125" spans="2:18" s="2363" customFormat="1">
      <c r="B125" s="2388"/>
      <c r="C125" s="2388"/>
      <c r="D125" s="2388"/>
      <c r="E125" s="2388"/>
      <c r="F125" s="2388"/>
      <c r="G125" s="2389"/>
      <c r="H125" s="2388"/>
      <c r="I125" s="2389"/>
      <c r="J125" s="2388"/>
      <c r="K125" s="2388"/>
      <c r="L125" s="2389"/>
      <c r="M125" s="2388"/>
      <c r="N125" s="2388"/>
      <c r="O125" s="2389"/>
      <c r="P125" s="2388"/>
      <c r="Q125" s="2388"/>
      <c r="R125" s="2390"/>
    </row>
    <row r="126" spans="2:18" s="2363" customFormat="1">
      <c r="B126" s="2388"/>
      <c r="C126" s="2388"/>
      <c r="D126" s="2388"/>
      <c r="E126" s="2388"/>
      <c r="F126" s="2388"/>
      <c r="G126" s="2389"/>
      <c r="H126" s="2388"/>
      <c r="I126" s="2389"/>
      <c r="J126" s="2388"/>
      <c r="K126" s="2388"/>
      <c r="L126" s="2389"/>
      <c r="M126" s="2388"/>
      <c r="N126" s="2388"/>
      <c r="O126" s="2389"/>
      <c r="P126" s="2388"/>
      <c r="Q126" s="2388"/>
      <c r="R126" s="2390"/>
    </row>
    <row r="127" spans="2:18" s="2363" customFormat="1">
      <c r="B127" s="2388"/>
      <c r="C127" s="2388"/>
      <c r="D127" s="2388"/>
      <c r="E127" s="2388"/>
      <c r="F127" s="2388"/>
      <c r="G127" s="2389"/>
      <c r="H127" s="2388"/>
      <c r="I127" s="2389"/>
      <c r="J127" s="2388"/>
      <c r="K127" s="2388"/>
      <c r="L127" s="2389"/>
      <c r="M127" s="2388"/>
      <c r="N127" s="2388"/>
      <c r="O127" s="2389"/>
      <c r="P127" s="2388"/>
      <c r="Q127" s="2388"/>
      <c r="R127" s="2390"/>
    </row>
    <row r="128" spans="2:18" s="2363" customFormat="1">
      <c r="B128" s="2388"/>
      <c r="C128" s="2388"/>
      <c r="D128" s="2388"/>
      <c r="E128" s="2388"/>
      <c r="F128" s="2388"/>
      <c r="G128" s="2389"/>
      <c r="H128" s="2388"/>
      <c r="I128" s="2389"/>
      <c r="J128" s="2388"/>
      <c r="K128" s="2388"/>
      <c r="L128" s="2389"/>
      <c r="M128" s="2388"/>
      <c r="N128" s="2388"/>
      <c r="O128" s="2389"/>
      <c r="P128" s="2388"/>
      <c r="Q128" s="2388"/>
      <c r="R128" s="2390"/>
    </row>
    <row r="129" spans="2:18" s="2363" customFormat="1">
      <c r="B129" s="2388"/>
      <c r="C129" s="2388"/>
      <c r="D129" s="2388"/>
      <c r="E129" s="2388"/>
      <c r="F129" s="2388"/>
      <c r="G129" s="2389"/>
      <c r="H129" s="2388"/>
      <c r="I129" s="2389"/>
      <c r="J129" s="2388"/>
      <c r="K129" s="2388"/>
      <c r="L129" s="2389"/>
      <c r="M129" s="2388"/>
      <c r="N129" s="2388"/>
      <c r="O129" s="2389"/>
      <c r="P129" s="2388"/>
      <c r="Q129" s="2388"/>
      <c r="R129" s="2390"/>
    </row>
    <row r="130" spans="2:18" s="2363" customFormat="1">
      <c r="B130" s="2388"/>
      <c r="C130" s="2388"/>
      <c r="D130" s="2388"/>
      <c r="E130" s="2388"/>
      <c r="F130" s="2388"/>
      <c r="G130" s="2389"/>
      <c r="H130" s="2388"/>
      <c r="I130" s="2389"/>
      <c r="J130" s="2388"/>
      <c r="K130" s="2388"/>
      <c r="L130" s="2389"/>
      <c r="M130" s="2388"/>
      <c r="N130" s="2388"/>
      <c r="O130" s="2389"/>
      <c r="P130" s="2388"/>
      <c r="Q130" s="2388"/>
      <c r="R130" s="2390"/>
    </row>
    <row r="131" spans="2:18" s="2363" customFormat="1">
      <c r="B131" s="2388"/>
      <c r="C131" s="2388"/>
      <c r="D131" s="2388"/>
      <c r="E131" s="2388"/>
      <c r="F131" s="2388"/>
      <c r="G131" s="2389"/>
      <c r="H131" s="2388"/>
      <c r="I131" s="2389"/>
      <c r="J131" s="2388"/>
      <c r="K131" s="2388"/>
      <c r="L131" s="2389"/>
      <c r="M131" s="2388"/>
      <c r="N131" s="2388"/>
      <c r="O131" s="2389"/>
      <c r="P131" s="2388"/>
      <c r="Q131" s="2388"/>
      <c r="R131" s="2390"/>
    </row>
    <row r="132" spans="2:18" s="2363" customFormat="1">
      <c r="B132" s="2388"/>
      <c r="C132" s="2388"/>
      <c r="D132" s="2388"/>
      <c r="E132" s="2388"/>
      <c r="F132" s="2388"/>
      <c r="G132" s="2389"/>
      <c r="H132" s="2388"/>
      <c r="I132" s="2389"/>
      <c r="J132" s="2388"/>
      <c r="K132" s="2388"/>
      <c r="L132" s="2389"/>
      <c r="M132" s="2388"/>
      <c r="N132" s="2388"/>
      <c r="O132" s="2389"/>
      <c r="P132" s="2388"/>
      <c r="Q132" s="2388"/>
      <c r="R132" s="2390"/>
    </row>
    <row r="133" spans="2:18" s="2363" customFormat="1">
      <c r="B133" s="2388"/>
      <c r="C133" s="2388"/>
      <c r="D133" s="2388"/>
      <c r="E133" s="2388"/>
      <c r="F133" s="2388"/>
      <c r="G133" s="2389"/>
      <c r="H133" s="2388"/>
      <c r="I133" s="2389"/>
      <c r="J133" s="2388"/>
      <c r="K133" s="2388"/>
      <c r="L133" s="2389"/>
      <c r="M133" s="2388"/>
      <c r="N133" s="2388"/>
      <c r="O133" s="2389"/>
      <c r="P133" s="2388"/>
      <c r="Q133" s="2388"/>
      <c r="R133" s="2390"/>
    </row>
    <row r="134" spans="2:18" s="2363" customFormat="1">
      <c r="B134" s="2388"/>
      <c r="C134" s="2388"/>
      <c r="D134" s="2388"/>
      <c r="E134" s="2388"/>
      <c r="F134" s="2388"/>
      <c r="G134" s="2389"/>
      <c r="H134" s="2388"/>
      <c r="I134" s="2389"/>
      <c r="J134" s="2388"/>
      <c r="K134" s="2388"/>
      <c r="L134" s="2389"/>
      <c r="M134" s="2388"/>
      <c r="N134" s="2388"/>
      <c r="O134" s="2389"/>
      <c r="P134" s="2388"/>
      <c r="Q134" s="2388"/>
      <c r="R134" s="2390"/>
    </row>
    <row r="135" spans="2:18" s="2363" customFormat="1">
      <c r="B135" s="2388"/>
      <c r="C135" s="2388"/>
      <c r="D135" s="2388"/>
      <c r="E135" s="2388"/>
      <c r="F135" s="2388"/>
      <c r="G135" s="2389"/>
      <c r="H135" s="2388"/>
      <c r="I135" s="2389"/>
      <c r="J135" s="2388"/>
      <c r="K135" s="2388"/>
      <c r="L135" s="2389"/>
      <c r="M135" s="2388"/>
      <c r="N135" s="2388"/>
      <c r="O135" s="2389"/>
      <c r="P135" s="2388"/>
      <c r="Q135" s="2388"/>
      <c r="R135" s="2390"/>
    </row>
    <row r="136" spans="2:18" s="2363" customFormat="1">
      <c r="B136" s="2388"/>
      <c r="C136" s="2388"/>
      <c r="D136" s="2388"/>
      <c r="E136" s="2388"/>
      <c r="F136" s="2388"/>
      <c r="G136" s="2389"/>
      <c r="H136" s="2388"/>
      <c r="I136" s="2389"/>
      <c r="J136" s="2388"/>
      <c r="K136" s="2388"/>
      <c r="L136" s="2389"/>
      <c r="M136" s="2388"/>
      <c r="N136" s="2388"/>
      <c r="O136" s="2389"/>
      <c r="P136" s="2388"/>
      <c r="Q136" s="2388"/>
      <c r="R136" s="2390"/>
    </row>
    <row r="137" spans="2:18" s="2363" customFormat="1">
      <c r="B137" s="2388"/>
      <c r="C137" s="2388"/>
      <c r="D137" s="2388"/>
      <c r="E137" s="2388"/>
      <c r="F137" s="2388"/>
      <c r="G137" s="2389"/>
      <c r="H137" s="2388"/>
      <c r="I137" s="2389"/>
      <c r="J137" s="2388"/>
      <c r="K137" s="2388"/>
      <c r="L137" s="2389"/>
      <c r="M137" s="2388"/>
      <c r="N137" s="2388"/>
      <c r="O137" s="2389"/>
      <c r="P137" s="2388"/>
      <c r="Q137" s="2388"/>
      <c r="R137" s="2390"/>
    </row>
    <row r="138" spans="2:18" s="2363" customFormat="1">
      <c r="B138" s="2388"/>
      <c r="C138" s="2388"/>
      <c r="D138" s="2388"/>
      <c r="E138" s="2388"/>
      <c r="F138" s="2388"/>
      <c r="G138" s="2389"/>
      <c r="H138" s="2388"/>
      <c r="I138" s="2389"/>
      <c r="J138" s="2388"/>
      <c r="K138" s="2388"/>
      <c r="L138" s="2389"/>
      <c r="M138" s="2388"/>
      <c r="N138" s="2388"/>
      <c r="O138" s="2389"/>
      <c r="P138" s="2388"/>
      <c r="Q138" s="2388"/>
      <c r="R138" s="2390"/>
    </row>
    <row r="139" spans="2:18" s="2363" customFormat="1">
      <c r="B139" s="2388"/>
      <c r="C139" s="2388"/>
      <c r="D139" s="2388"/>
      <c r="E139" s="2388"/>
      <c r="F139" s="2388"/>
      <c r="G139" s="2389"/>
      <c r="H139" s="2388"/>
      <c r="I139" s="2389"/>
      <c r="J139" s="2388"/>
      <c r="K139" s="2388"/>
      <c r="L139" s="2389"/>
      <c r="M139" s="2388"/>
      <c r="N139" s="2388"/>
      <c r="O139" s="2389"/>
      <c r="P139" s="2388"/>
      <c r="Q139" s="2388"/>
      <c r="R139" s="2390"/>
    </row>
    <row r="140" spans="2:18" s="2363" customFormat="1">
      <c r="B140" s="2388"/>
      <c r="C140" s="2388"/>
      <c r="D140" s="2388"/>
      <c r="E140" s="2388"/>
      <c r="F140" s="2388"/>
      <c r="G140" s="2389"/>
      <c r="H140" s="2388"/>
      <c r="I140" s="2389"/>
      <c r="J140" s="2388"/>
      <c r="K140" s="2388"/>
      <c r="L140" s="2389"/>
      <c r="M140" s="2388"/>
      <c r="N140" s="2388"/>
      <c r="O140" s="2389"/>
      <c r="P140" s="2388"/>
      <c r="Q140" s="2388"/>
      <c r="R140" s="2390"/>
    </row>
    <row r="141" spans="2:18" s="2363" customFormat="1">
      <c r="B141" s="2388"/>
      <c r="C141" s="2388"/>
      <c r="D141" s="2388"/>
      <c r="E141" s="2388"/>
      <c r="F141" s="2388"/>
      <c r="G141" s="2389"/>
      <c r="H141" s="2388"/>
      <c r="I141" s="2389"/>
      <c r="J141" s="2388"/>
      <c r="K141" s="2388"/>
      <c r="L141" s="2389"/>
      <c r="M141" s="2388"/>
      <c r="N141" s="2388"/>
      <c r="O141" s="2389"/>
      <c r="P141" s="2388"/>
      <c r="Q141" s="2388"/>
      <c r="R141" s="2390"/>
    </row>
    <row r="142" spans="2:18" s="2363" customFormat="1">
      <c r="B142" s="2388"/>
      <c r="C142" s="2388"/>
      <c r="D142" s="2388"/>
      <c r="E142" s="2388"/>
      <c r="F142" s="2388"/>
      <c r="G142" s="2389"/>
      <c r="H142" s="2388"/>
      <c r="I142" s="2389"/>
      <c r="J142" s="2388"/>
      <c r="K142" s="2388"/>
      <c r="L142" s="2389"/>
      <c r="M142" s="2388"/>
      <c r="N142" s="2388"/>
      <c r="O142" s="2389"/>
      <c r="P142" s="2388"/>
      <c r="Q142" s="2388"/>
      <c r="R142" s="2390"/>
    </row>
    <row r="143" spans="2:18" s="2363" customFormat="1">
      <c r="B143" s="2388"/>
      <c r="C143" s="2388"/>
      <c r="D143" s="2388"/>
      <c r="E143" s="2388"/>
      <c r="F143" s="2388"/>
      <c r="G143" s="2389"/>
      <c r="H143" s="2388"/>
      <c r="I143" s="2389"/>
      <c r="J143" s="2388"/>
      <c r="K143" s="2388"/>
      <c r="L143" s="2389"/>
      <c r="M143" s="2388"/>
      <c r="N143" s="2388"/>
      <c r="O143" s="2389"/>
      <c r="P143" s="2388"/>
      <c r="Q143" s="2388"/>
      <c r="R143" s="2390"/>
    </row>
    <row r="144" spans="2:18" s="2363" customFormat="1">
      <c r="B144" s="2388"/>
      <c r="C144" s="2388"/>
      <c r="D144" s="2388"/>
      <c r="E144" s="2388"/>
      <c r="F144" s="2388"/>
      <c r="G144" s="2389"/>
      <c r="H144" s="2388"/>
      <c r="I144" s="2389"/>
      <c r="J144" s="2388"/>
      <c r="K144" s="2388"/>
      <c r="L144" s="2389"/>
      <c r="M144" s="2388"/>
      <c r="N144" s="2388"/>
      <c r="O144" s="2389"/>
      <c r="P144" s="2388"/>
      <c r="Q144" s="2388"/>
      <c r="R144" s="2390"/>
    </row>
    <row r="145" spans="2:18" s="2363" customFormat="1">
      <c r="B145" s="2388"/>
      <c r="C145" s="2388"/>
      <c r="D145" s="2388"/>
      <c r="E145" s="2388"/>
      <c r="F145" s="2388"/>
      <c r="G145" s="2389"/>
      <c r="H145" s="2388"/>
      <c r="I145" s="2389"/>
      <c r="J145" s="2388"/>
      <c r="K145" s="2388"/>
      <c r="L145" s="2389"/>
      <c r="M145" s="2388"/>
      <c r="N145" s="2388"/>
      <c r="O145" s="2389"/>
      <c r="P145" s="2388"/>
      <c r="Q145" s="2388"/>
      <c r="R145" s="2390"/>
    </row>
    <row r="146" spans="2:18" s="2363" customFormat="1">
      <c r="B146" s="2388"/>
      <c r="C146" s="2388"/>
      <c r="D146" s="2388"/>
      <c r="E146" s="2388"/>
      <c r="F146" s="2388"/>
      <c r="G146" s="2389"/>
      <c r="H146" s="2388"/>
      <c r="I146" s="2389"/>
      <c r="J146" s="2388"/>
      <c r="K146" s="2388"/>
      <c r="L146" s="2389"/>
      <c r="M146" s="2388"/>
      <c r="N146" s="2388"/>
      <c r="O146" s="2389"/>
      <c r="P146" s="2388"/>
      <c r="Q146" s="2388"/>
      <c r="R146" s="2390"/>
    </row>
    <row r="147" spans="2:18" s="2363" customFormat="1">
      <c r="B147" s="2388"/>
      <c r="C147" s="2388"/>
      <c r="D147" s="2388"/>
      <c r="E147" s="2388"/>
      <c r="F147" s="2388"/>
      <c r="G147" s="2389"/>
      <c r="H147" s="2388"/>
      <c r="I147" s="2389"/>
      <c r="J147" s="2388"/>
      <c r="K147" s="2388"/>
      <c r="L147" s="2389"/>
      <c r="M147" s="2388"/>
      <c r="N147" s="2388"/>
      <c r="O147" s="2389"/>
      <c r="P147" s="2388"/>
      <c r="Q147" s="2388"/>
      <c r="R147" s="2390"/>
    </row>
    <row r="148" spans="2:18" s="2363" customFormat="1">
      <c r="B148" s="2388"/>
      <c r="C148" s="2388"/>
      <c r="D148" s="2388"/>
      <c r="E148" s="2388"/>
      <c r="F148" s="2388"/>
      <c r="G148" s="2389"/>
      <c r="H148" s="2388"/>
      <c r="I148" s="2389"/>
      <c r="J148" s="2388"/>
      <c r="K148" s="2388"/>
      <c r="L148" s="2389"/>
      <c r="M148" s="2388"/>
      <c r="N148" s="2388"/>
      <c r="O148" s="2389"/>
      <c r="P148" s="2388"/>
      <c r="Q148" s="2388"/>
      <c r="R148" s="2390"/>
    </row>
    <row r="149" spans="2:18" s="2363" customFormat="1">
      <c r="B149" s="2388"/>
      <c r="C149" s="2388"/>
      <c r="D149" s="2388"/>
      <c r="E149" s="2388"/>
      <c r="F149" s="2388"/>
      <c r="G149" s="2389"/>
      <c r="H149" s="2388"/>
      <c r="I149" s="2389"/>
      <c r="J149" s="2388"/>
      <c r="K149" s="2388"/>
      <c r="L149" s="2389"/>
      <c r="M149" s="2388"/>
      <c r="N149" s="2388"/>
      <c r="O149" s="2389"/>
      <c r="P149" s="2388"/>
      <c r="Q149" s="2388"/>
      <c r="R149" s="2390"/>
    </row>
    <row r="150" spans="2:18" s="2363" customFormat="1">
      <c r="B150" s="2388"/>
      <c r="C150" s="2388"/>
      <c r="D150" s="2388"/>
      <c r="E150" s="2388"/>
      <c r="F150" s="2388"/>
      <c r="G150" s="2389"/>
      <c r="H150" s="2388"/>
      <c r="I150" s="2389"/>
      <c r="J150" s="2388"/>
      <c r="K150" s="2388"/>
      <c r="L150" s="2389"/>
      <c r="M150" s="2388"/>
      <c r="N150" s="2388"/>
      <c r="O150" s="2389"/>
      <c r="P150" s="2388"/>
      <c r="Q150" s="2388"/>
      <c r="R150" s="2390"/>
    </row>
    <row r="151" spans="2:18" s="2363" customFormat="1">
      <c r="B151" s="2388"/>
      <c r="C151" s="2388"/>
      <c r="D151" s="2388"/>
      <c r="E151" s="2388"/>
      <c r="F151" s="2388"/>
      <c r="G151" s="2389"/>
      <c r="H151" s="2388"/>
      <c r="I151" s="2389"/>
      <c r="J151" s="2388"/>
      <c r="K151" s="2388"/>
      <c r="L151" s="2389"/>
      <c r="M151" s="2388"/>
      <c r="N151" s="2388"/>
      <c r="O151" s="2389"/>
      <c r="P151" s="2388"/>
      <c r="Q151" s="2388"/>
      <c r="R151" s="2390"/>
    </row>
    <row r="152" spans="2:18" s="2363" customFormat="1">
      <c r="B152" s="2388"/>
      <c r="C152" s="2388"/>
      <c r="D152" s="2388"/>
      <c r="E152" s="2388"/>
      <c r="F152" s="2388"/>
      <c r="G152" s="2389"/>
      <c r="H152" s="2388"/>
      <c r="I152" s="2389"/>
      <c r="J152" s="2388"/>
      <c r="K152" s="2388"/>
      <c r="L152" s="2389"/>
      <c r="M152" s="2388"/>
      <c r="N152" s="2388"/>
      <c r="O152" s="2389"/>
      <c r="P152" s="2388"/>
      <c r="Q152" s="2388"/>
      <c r="R152" s="2390"/>
    </row>
    <row r="153" spans="2:18" s="2363" customFormat="1">
      <c r="B153" s="2388"/>
      <c r="C153" s="2388"/>
      <c r="D153" s="2388"/>
      <c r="E153" s="2388"/>
      <c r="F153" s="2388"/>
      <c r="G153" s="2389"/>
      <c r="H153" s="2388"/>
      <c r="I153" s="2389"/>
      <c r="J153" s="2388"/>
      <c r="K153" s="2388"/>
      <c r="L153" s="2389"/>
      <c r="M153" s="2388"/>
      <c r="N153" s="2388"/>
      <c r="O153" s="2389"/>
      <c r="P153" s="2388"/>
      <c r="Q153" s="2388"/>
      <c r="R153" s="2390"/>
    </row>
    <row r="154" spans="2:18" s="2363" customFormat="1">
      <c r="B154" s="2388"/>
      <c r="C154" s="2388"/>
      <c r="D154" s="2388"/>
      <c r="E154" s="2388"/>
      <c r="F154" s="2388"/>
      <c r="G154" s="2389"/>
      <c r="H154" s="2388"/>
      <c r="I154" s="2389"/>
      <c r="J154" s="2388"/>
      <c r="K154" s="2388"/>
      <c r="L154" s="2389"/>
      <c r="M154" s="2388"/>
      <c r="N154" s="2388"/>
      <c r="O154" s="2389"/>
      <c r="P154" s="2388"/>
      <c r="Q154" s="2388"/>
      <c r="R154" s="2390"/>
    </row>
    <row r="155" spans="2:18" s="2363" customFormat="1">
      <c r="B155" s="2388"/>
      <c r="C155" s="2388"/>
      <c r="D155" s="2388"/>
      <c r="E155" s="2388"/>
      <c r="F155" s="2388"/>
      <c r="G155" s="2389"/>
      <c r="H155" s="2388"/>
      <c r="I155" s="2389"/>
      <c r="J155" s="2388"/>
      <c r="K155" s="2388"/>
      <c r="L155" s="2389"/>
      <c r="M155" s="2388"/>
      <c r="N155" s="2388"/>
      <c r="O155" s="2389"/>
      <c r="P155" s="2388"/>
      <c r="Q155" s="2388"/>
      <c r="R155" s="2390"/>
    </row>
    <row r="156" spans="2:18" s="2363" customFormat="1">
      <c r="B156" s="2388"/>
      <c r="C156" s="2388"/>
      <c r="D156" s="2388"/>
      <c r="E156" s="2388"/>
      <c r="F156" s="2388"/>
      <c r="G156" s="2389"/>
      <c r="H156" s="2388"/>
      <c r="I156" s="2389"/>
      <c r="J156" s="2388"/>
      <c r="K156" s="2388"/>
      <c r="L156" s="2389"/>
      <c r="M156" s="2388"/>
      <c r="N156" s="2388"/>
      <c r="O156" s="2389"/>
      <c r="P156" s="2388"/>
      <c r="Q156" s="2388"/>
      <c r="R156" s="2390"/>
    </row>
    <row r="157" spans="2:18" s="2363" customFormat="1">
      <c r="B157" s="2388"/>
      <c r="C157" s="2388"/>
      <c r="D157" s="2388"/>
      <c r="E157" s="2388"/>
      <c r="F157" s="2388"/>
      <c r="G157" s="2389"/>
      <c r="H157" s="2388"/>
      <c r="I157" s="2389"/>
      <c r="J157" s="2388"/>
      <c r="K157" s="2388"/>
      <c r="L157" s="2389"/>
      <c r="M157" s="2388"/>
      <c r="N157" s="2388"/>
      <c r="O157" s="2389"/>
      <c r="P157" s="2388"/>
      <c r="Q157" s="2388"/>
      <c r="R157" s="2390"/>
    </row>
    <row r="158" spans="2:18" s="2363" customFormat="1">
      <c r="B158" s="2388"/>
      <c r="C158" s="2388"/>
      <c r="D158" s="2388"/>
      <c r="E158" s="2388"/>
      <c r="F158" s="2388"/>
      <c r="G158" s="2389"/>
      <c r="H158" s="2388"/>
      <c r="I158" s="2389"/>
      <c r="J158" s="2388"/>
      <c r="K158" s="2388"/>
      <c r="L158" s="2389"/>
      <c r="M158" s="2388"/>
      <c r="N158" s="2388"/>
      <c r="O158" s="2389"/>
      <c r="P158" s="2388"/>
      <c r="Q158" s="2388"/>
      <c r="R158" s="2390"/>
    </row>
    <row r="159" spans="2:18" s="2363" customFormat="1">
      <c r="B159" s="2388"/>
      <c r="C159" s="2388"/>
      <c r="D159" s="2388"/>
      <c r="E159" s="2388"/>
      <c r="F159" s="2388"/>
      <c r="G159" s="2389"/>
      <c r="H159" s="2388"/>
      <c r="I159" s="2389"/>
      <c r="J159" s="2388"/>
      <c r="K159" s="2388"/>
      <c r="L159" s="2389"/>
      <c r="M159" s="2388"/>
      <c r="N159" s="2388"/>
      <c r="O159" s="2389"/>
      <c r="P159" s="2388"/>
      <c r="Q159" s="2388"/>
      <c r="R159" s="2390"/>
    </row>
    <row r="160" spans="2:18" s="2363" customFormat="1">
      <c r="B160" s="2388"/>
      <c r="C160" s="2388"/>
      <c r="D160" s="2388"/>
      <c r="E160" s="2388"/>
      <c r="F160" s="2388"/>
      <c r="G160" s="2389"/>
      <c r="H160" s="2388"/>
      <c r="I160" s="2389"/>
      <c r="J160" s="2388"/>
      <c r="K160" s="2388"/>
      <c r="L160" s="2389"/>
      <c r="M160" s="2388"/>
      <c r="N160" s="2388"/>
      <c r="O160" s="2389"/>
      <c r="P160" s="2388"/>
      <c r="Q160" s="2388"/>
      <c r="R160" s="2390"/>
    </row>
    <row r="161" spans="2:18" s="2363" customFormat="1">
      <c r="B161" s="2388"/>
      <c r="C161" s="2388"/>
      <c r="D161" s="2388"/>
      <c r="E161" s="2388"/>
      <c r="F161" s="2388"/>
      <c r="G161" s="2389"/>
      <c r="H161" s="2388"/>
      <c r="I161" s="2389"/>
      <c r="J161" s="2388"/>
      <c r="K161" s="2388"/>
      <c r="L161" s="2389"/>
      <c r="M161" s="2388"/>
      <c r="N161" s="2388"/>
      <c r="O161" s="2389"/>
      <c r="P161" s="2388"/>
      <c r="Q161" s="2388"/>
      <c r="R161" s="2390"/>
    </row>
    <row r="162" spans="2:18" s="2363" customFormat="1">
      <c r="B162" s="2388"/>
      <c r="C162" s="2388"/>
      <c r="D162" s="2388"/>
      <c r="E162" s="2388"/>
      <c r="F162" s="2388"/>
      <c r="G162" s="2389"/>
      <c r="H162" s="2388"/>
      <c r="I162" s="2389"/>
      <c r="J162" s="2388"/>
      <c r="K162" s="2388"/>
      <c r="L162" s="2389"/>
      <c r="M162" s="2388"/>
      <c r="N162" s="2388"/>
      <c r="O162" s="2389"/>
      <c r="P162" s="2388"/>
      <c r="Q162" s="2388"/>
      <c r="R162" s="2390"/>
    </row>
    <row r="163" spans="2:18" s="2363" customFormat="1">
      <c r="B163" s="2388"/>
      <c r="C163" s="2388"/>
      <c r="D163" s="2388"/>
      <c r="E163" s="2388"/>
      <c r="F163" s="2388"/>
      <c r="G163" s="2389"/>
      <c r="H163" s="2388"/>
      <c r="I163" s="2389"/>
      <c r="J163" s="2388"/>
      <c r="K163" s="2388"/>
      <c r="L163" s="2389"/>
      <c r="M163" s="2388"/>
      <c r="N163" s="2388"/>
      <c r="O163" s="2389"/>
      <c r="P163" s="2388"/>
      <c r="Q163" s="2388"/>
      <c r="R163" s="2390"/>
    </row>
    <row r="164" spans="2:18" s="2363" customFormat="1">
      <c r="B164" s="2388"/>
      <c r="C164" s="2388"/>
      <c r="D164" s="2388"/>
      <c r="E164" s="2388"/>
      <c r="F164" s="2388"/>
      <c r="G164" s="2389"/>
      <c r="H164" s="2388"/>
      <c r="I164" s="2389"/>
      <c r="J164" s="2388"/>
      <c r="K164" s="2388"/>
      <c r="L164" s="2389"/>
      <c r="M164" s="2388"/>
      <c r="N164" s="2388"/>
      <c r="O164" s="2389"/>
      <c r="P164" s="2388"/>
      <c r="Q164" s="2388"/>
      <c r="R164" s="2390"/>
    </row>
    <row r="165" spans="2:18" s="2363" customFormat="1">
      <c r="B165" s="2388"/>
      <c r="C165" s="2388"/>
      <c r="D165" s="2388"/>
      <c r="E165" s="2388"/>
      <c r="F165" s="2388"/>
      <c r="G165" s="2389"/>
      <c r="H165" s="2388"/>
      <c r="I165" s="2389"/>
      <c r="J165" s="2388"/>
      <c r="K165" s="2388"/>
      <c r="L165" s="2389"/>
      <c r="M165" s="2388"/>
      <c r="N165" s="2388"/>
      <c r="O165" s="2389"/>
      <c r="P165" s="2388"/>
      <c r="Q165" s="2388"/>
      <c r="R165" s="2390"/>
    </row>
    <row r="166" spans="2:18" s="2363" customFormat="1">
      <c r="B166" s="2388"/>
      <c r="C166" s="2388"/>
      <c r="D166" s="2388"/>
      <c r="E166" s="2388"/>
      <c r="F166" s="2388"/>
      <c r="G166" s="2389"/>
      <c r="H166" s="2388"/>
      <c r="I166" s="2389"/>
      <c r="J166" s="2388"/>
      <c r="K166" s="2388"/>
      <c r="L166" s="2389"/>
      <c r="M166" s="2388"/>
      <c r="N166" s="2388"/>
      <c r="O166" s="2389"/>
      <c r="P166" s="2388"/>
      <c r="Q166" s="2388"/>
      <c r="R166" s="2390"/>
    </row>
    <row r="167" spans="2:18" s="2363" customFormat="1">
      <c r="B167" s="2388"/>
      <c r="C167" s="2388"/>
      <c r="D167" s="2388"/>
      <c r="E167" s="2388"/>
      <c r="F167" s="2388"/>
      <c r="G167" s="2389"/>
      <c r="H167" s="2388"/>
      <c r="I167" s="2389"/>
      <c r="J167" s="2388"/>
      <c r="K167" s="2388"/>
      <c r="L167" s="2389"/>
      <c r="M167" s="2388"/>
      <c r="N167" s="2388"/>
      <c r="O167" s="2389"/>
      <c r="P167" s="2388"/>
      <c r="Q167" s="2388"/>
      <c r="R167" s="2390"/>
    </row>
    <row r="168" spans="2:18" s="2363" customFormat="1">
      <c r="B168" s="2388"/>
      <c r="C168" s="2388"/>
      <c r="D168" s="2388"/>
      <c r="E168" s="2388"/>
      <c r="F168" s="2388"/>
      <c r="G168" s="2389"/>
      <c r="H168" s="2388"/>
      <c r="I168" s="2389"/>
      <c r="J168" s="2388"/>
      <c r="K168" s="2388"/>
      <c r="L168" s="2389"/>
      <c r="M168" s="2388"/>
      <c r="N168" s="2388"/>
      <c r="O168" s="2389"/>
      <c r="P168" s="2388"/>
      <c r="Q168" s="2388"/>
      <c r="R168" s="2390"/>
    </row>
    <row r="169" spans="2:18" s="2363" customFormat="1">
      <c r="B169" s="2388"/>
      <c r="C169" s="2388"/>
      <c r="D169" s="2388"/>
      <c r="E169" s="2388"/>
      <c r="F169" s="2388"/>
      <c r="G169" s="2389"/>
      <c r="H169" s="2388"/>
      <c r="I169" s="2389"/>
      <c r="J169" s="2388"/>
      <c r="K169" s="2388"/>
      <c r="L169" s="2389"/>
      <c r="M169" s="2388"/>
      <c r="N169" s="2388"/>
      <c r="O169" s="2389"/>
      <c r="P169" s="2388"/>
      <c r="Q169" s="2388"/>
      <c r="R169" s="2390"/>
    </row>
    <row r="170" spans="2:18" s="2363" customFormat="1">
      <c r="B170" s="2388"/>
      <c r="C170" s="2388"/>
      <c r="D170" s="2388"/>
      <c r="E170" s="2388"/>
      <c r="F170" s="2388"/>
      <c r="G170" s="2389"/>
      <c r="H170" s="2388"/>
      <c r="I170" s="2389"/>
      <c r="J170" s="2388"/>
      <c r="K170" s="2388"/>
      <c r="L170" s="2389"/>
      <c r="M170" s="2388"/>
      <c r="N170" s="2388"/>
      <c r="O170" s="2389"/>
      <c r="P170" s="2388"/>
      <c r="Q170" s="2388"/>
      <c r="R170" s="2390"/>
    </row>
    <row r="171" spans="2:18" s="2363" customFormat="1">
      <c r="B171" s="2388"/>
      <c r="C171" s="2388"/>
      <c r="D171" s="2388"/>
      <c r="E171" s="2388"/>
      <c r="F171" s="2388"/>
      <c r="G171" s="2389"/>
      <c r="H171" s="2388"/>
      <c r="I171" s="2389"/>
      <c r="J171" s="2388"/>
      <c r="K171" s="2388"/>
      <c r="L171" s="2389"/>
      <c r="M171" s="2388"/>
      <c r="N171" s="2388"/>
      <c r="O171" s="2389"/>
      <c r="P171" s="2388"/>
      <c r="Q171" s="2388"/>
      <c r="R171" s="2390"/>
    </row>
    <row r="172" spans="2:18" s="2363" customFormat="1">
      <c r="B172" s="2388"/>
      <c r="C172" s="2388"/>
      <c r="D172" s="2388"/>
      <c r="E172" s="2388"/>
      <c r="F172" s="2388"/>
      <c r="G172" s="2389"/>
      <c r="H172" s="2388"/>
      <c r="I172" s="2389"/>
      <c r="J172" s="2388"/>
      <c r="K172" s="2388"/>
      <c r="L172" s="2389"/>
      <c r="M172" s="2388"/>
      <c r="N172" s="2388"/>
      <c r="O172" s="2389"/>
      <c r="P172" s="2388"/>
      <c r="Q172" s="2388"/>
      <c r="R172" s="2390"/>
    </row>
    <row r="173" spans="2:18" s="2363" customFormat="1">
      <c r="B173" s="2388"/>
      <c r="C173" s="2388"/>
      <c r="D173" s="2388"/>
      <c r="E173" s="2388"/>
      <c r="F173" s="2388"/>
      <c r="G173" s="2389"/>
      <c r="H173" s="2388"/>
      <c r="I173" s="2389"/>
      <c r="J173" s="2388"/>
      <c r="K173" s="2388"/>
      <c r="L173" s="2389"/>
      <c r="M173" s="2388"/>
      <c r="N173" s="2388"/>
      <c r="O173" s="2389"/>
      <c r="P173" s="2388"/>
      <c r="Q173" s="2388"/>
      <c r="R173" s="2390"/>
    </row>
    <row r="174" spans="2:18" s="2363" customFormat="1">
      <c r="B174" s="2388"/>
      <c r="C174" s="2388"/>
      <c r="D174" s="2388"/>
      <c r="E174" s="2388"/>
      <c r="F174" s="2388"/>
      <c r="G174" s="2389"/>
      <c r="H174" s="2388"/>
      <c r="I174" s="2389"/>
      <c r="J174" s="2388"/>
      <c r="K174" s="2388"/>
      <c r="L174" s="2389"/>
      <c r="M174" s="2388"/>
      <c r="N174" s="2388"/>
      <c r="O174" s="2389"/>
      <c r="P174" s="2388"/>
      <c r="Q174" s="2388"/>
      <c r="R174" s="2390"/>
    </row>
    <row r="175" spans="2:18" s="2363" customFormat="1">
      <c r="B175" s="2388"/>
      <c r="C175" s="2388"/>
      <c r="D175" s="2388"/>
      <c r="E175" s="2388"/>
      <c r="F175" s="2388"/>
      <c r="G175" s="2389"/>
      <c r="H175" s="2388"/>
      <c r="I175" s="2389"/>
      <c r="J175" s="2388"/>
      <c r="K175" s="2388"/>
      <c r="L175" s="2389"/>
      <c r="M175" s="2388"/>
      <c r="N175" s="2388"/>
      <c r="O175" s="2389"/>
      <c r="P175" s="2388"/>
      <c r="Q175" s="2388"/>
      <c r="R175" s="2390"/>
    </row>
    <row r="176" spans="2:18" s="2363" customFormat="1">
      <c r="B176" s="2388"/>
      <c r="C176" s="2388"/>
      <c r="D176" s="2388"/>
      <c r="E176" s="2388"/>
      <c r="F176" s="2388"/>
      <c r="G176" s="2389"/>
      <c r="H176" s="2388"/>
      <c r="I176" s="2389"/>
      <c r="J176" s="2388"/>
      <c r="K176" s="2388"/>
      <c r="L176" s="2389"/>
      <c r="M176" s="2388"/>
      <c r="N176" s="2388"/>
      <c r="O176" s="2389"/>
      <c r="P176" s="2388"/>
      <c r="Q176" s="2388"/>
      <c r="R176" s="2390"/>
    </row>
    <row r="177" spans="1:18" s="2363" customFormat="1">
      <c r="B177" s="2388"/>
      <c r="C177" s="2388"/>
      <c r="D177" s="2388"/>
      <c r="E177" s="2388"/>
      <c r="F177" s="2388"/>
      <c r="G177" s="2389"/>
      <c r="H177" s="2388"/>
      <c r="I177" s="2389"/>
      <c r="J177" s="2388"/>
      <c r="K177" s="2388"/>
      <c r="L177" s="2389"/>
      <c r="M177" s="2388"/>
      <c r="N177" s="2388"/>
      <c r="O177" s="2389"/>
      <c r="P177" s="2388"/>
      <c r="Q177" s="2388"/>
      <c r="R177" s="2390"/>
    </row>
    <row r="178" spans="1:18" s="2363" customFormat="1">
      <c r="B178" s="2388"/>
      <c r="C178" s="2388"/>
      <c r="D178" s="2388"/>
      <c r="E178" s="2388"/>
      <c r="F178" s="2388"/>
      <c r="G178" s="2389"/>
      <c r="H178" s="2388"/>
      <c r="I178" s="2389"/>
      <c r="J178" s="2388"/>
      <c r="K178" s="2388"/>
      <c r="L178" s="2389"/>
      <c r="M178" s="2388"/>
      <c r="N178" s="2388"/>
      <c r="O178" s="2389"/>
      <c r="P178" s="2388"/>
      <c r="Q178" s="2388"/>
      <c r="R178" s="2390"/>
    </row>
    <row r="179" spans="1:18" s="2363" customFormat="1">
      <c r="B179" s="2388"/>
      <c r="C179" s="2388"/>
      <c r="D179" s="2388"/>
      <c r="E179" s="2388"/>
      <c r="F179" s="2388"/>
      <c r="G179" s="2389"/>
      <c r="H179" s="2388"/>
      <c r="I179" s="2389"/>
      <c r="J179" s="2388"/>
      <c r="K179" s="2388"/>
      <c r="L179" s="2389"/>
      <c r="M179" s="2388"/>
      <c r="N179" s="2388"/>
      <c r="O179" s="2389"/>
      <c r="P179" s="2388"/>
      <c r="Q179" s="2388"/>
      <c r="R179" s="2390"/>
    </row>
    <row r="180" spans="1:18" s="2363" customFormat="1">
      <c r="B180" s="2388"/>
      <c r="C180" s="2388"/>
      <c r="D180" s="2388"/>
      <c r="E180" s="2388"/>
      <c r="F180" s="2388"/>
      <c r="G180" s="2389"/>
      <c r="H180" s="2388"/>
      <c r="I180" s="2389"/>
      <c r="J180" s="2388"/>
      <c r="K180" s="2388"/>
      <c r="L180" s="2389"/>
      <c r="M180" s="2388"/>
      <c r="N180" s="2388"/>
      <c r="O180" s="2389"/>
      <c r="P180" s="2388"/>
      <c r="Q180" s="2388"/>
      <c r="R180" s="2390"/>
    </row>
    <row r="181" spans="1:18" s="2363" customFormat="1">
      <c r="B181" s="2388"/>
      <c r="C181" s="2388"/>
      <c r="D181" s="2388"/>
      <c r="E181" s="2388"/>
      <c r="F181" s="2388"/>
      <c r="G181" s="2389"/>
      <c r="H181" s="2388"/>
      <c r="I181" s="2389"/>
      <c r="J181" s="2388"/>
      <c r="K181" s="2388"/>
      <c r="L181" s="2389"/>
      <c r="M181" s="2388"/>
      <c r="N181" s="2388"/>
      <c r="O181" s="2389"/>
      <c r="P181" s="2388"/>
      <c r="Q181" s="2388"/>
      <c r="R181" s="2390"/>
    </row>
    <row r="182" spans="1:18" s="2363" customFormat="1">
      <c r="B182" s="2388"/>
      <c r="C182" s="2388"/>
      <c r="D182" s="2388"/>
      <c r="E182" s="2388"/>
      <c r="F182" s="2388"/>
      <c r="G182" s="2389"/>
      <c r="H182" s="2388"/>
      <c r="I182" s="2389"/>
      <c r="J182" s="2388"/>
      <c r="K182" s="2388"/>
      <c r="L182" s="2389"/>
      <c r="M182" s="2388"/>
      <c r="N182" s="2388"/>
      <c r="O182" s="2389"/>
      <c r="P182" s="2388"/>
      <c r="Q182" s="2388"/>
      <c r="R182" s="2390"/>
    </row>
    <row r="183" spans="1:18" s="2363" customFormat="1">
      <c r="B183" s="2388"/>
      <c r="C183" s="2388"/>
      <c r="D183" s="2388"/>
      <c r="E183" s="2388"/>
      <c r="F183" s="2388"/>
      <c r="G183" s="2389"/>
      <c r="H183" s="2388"/>
      <c r="I183" s="2389"/>
      <c r="J183" s="2388"/>
      <c r="K183" s="2388"/>
      <c r="L183" s="2389"/>
      <c r="M183" s="2388"/>
      <c r="N183" s="2388"/>
      <c r="O183" s="2389"/>
      <c r="P183" s="2388"/>
      <c r="Q183" s="2388"/>
      <c r="R183" s="2390"/>
    </row>
    <row r="184" spans="1:18" s="2363" customFormat="1">
      <c r="B184" s="2388"/>
      <c r="C184" s="2388"/>
      <c r="D184" s="2388"/>
      <c r="E184" s="2388"/>
      <c r="F184" s="2388"/>
      <c r="G184" s="2389"/>
      <c r="H184" s="2388"/>
      <c r="I184" s="2389"/>
      <c r="J184" s="2388"/>
      <c r="K184" s="2388"/>
      <c r="L184" s="2389"/>
      <c r="M184" s="2388"/>
      <c r="N184" s="2388"/>
      <c r="O184" s="2389"/>
      <c r="P184" s="2388"/>
      <c r="Q184" s="2388"/>
      <c r="R184" s="2390"/>
    </row>
    <row r="185" spans="1:18" s="2363" customFormat="1">
      <c r="B185" s="2388"/>
      <c r="C185" s="2388"/>
      <c r="D185" s="2388"/>
      <c r="E185" s="2388"/>
      <c r="F185" s="2388"/>
      <c r="G185" s="2389"/>
      <c r="H185" s="2388"/>
      <c r="I185" s="2389"/>
      <c r="J185" s="2388"/>
      <c r="K185" s="2388"/>
      <c r="L185" s="2389"/>
      <c r="M185" s="2388"/>
      <c r="N185" s="2388"/>
      <c r="O185" s="2389"/>
      <c r="P185" s="2388"/>
      <c r="Q185" s="2388"/>
      <c r="R185" s="2390"/>
    </row>
    <row r="186" spans="1:18">
      <c r="A186" s="2363"/>
      <c r="B186" s="2388"/>
      <c r="C186" s="2388"/>
      <c r="E186" s="2388"/>
      <c r="F186" s="2388"/>
      <c r="G186" s="2389"/>
    </row>
    <row r="187" spans="1:18">
      <c r="A187" s="2363"/>
      <c r="B187" s="2388"/>
      <c r="C187" s="2388"/>
      <c r="E187" s="2388"/>
      <c r="F187" s="2388"/>
      <c r="G187" s="238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7" customWidth="1"/>
    <col min="2" max="9" width="15.75" style="1737" customWidth="1"/>
    <col min="10" max="16384" width="9" style="1737"/>
  </cols>
  <sheetData>
    <row r="1" spans="1:10" ht="16.5">
      <c r="A1" s="1742" t="s">
        <v>1365</v>
      </c>
      <c r="B1" s="1742">
        <f>SUM(B14:B23)</f>
        <v>4163.47</v>
      </c>
      <c r="C1" s="1741"/>
      <c r="D1" s="1741"/>
      <c r="E1" s="1741"/>
      <c r="F1" s="1741"/>
      <c r="G1" s="1739"/>
    </row>
    <row r="2" spans="1:10" ht="16.5">
      <c r="A2" s="1742" t="s">
        <v>1353</v>
      </c>
      <c r="B2" s="1742">
        <f>SUM(C14:C23)</f>
        <v>1606.66</v>
      </c>
      <c r="C2" s="1741"/>
      <c r="D2" s="1741"/>
      <c r="E2" s="1741"/>
      <c r="F2" s="1741"/>
      <c r="G2" s="1739"/>
    </row>
    <row r="3" spans="1:10" ht="16.5">
      <c r="A3" s="1742" t="s">
        <v>1362</v>
      </c>
      <c r="B3" s="1743">
        <f>项目基本情况!D3</f>
        <v>43132</v>
      </c>
      <c r="C3" s="1741"/>
      <c r="D3" s="1741"/>
      <c r="E3" s="1741"/>
      <c r="F3" s="1741"/>
      <c r="G3" s="1739"/>
    </row>
    <row r="4" spans="1:10" ht="33">
      <c r="A4" s="1742" t="s">
        <v>1361</v>
      </c>
      <c r="B4" s="1742" t="s">
        <v>1360</v>
      </c>
      <c r="C4" s="1742" t="s">
        <v>1359</v>
      </c>
      <c r="D4" s="1742" t="s">
        <v>1358</v>
      </c>
      <c r="E4" s="1741"/>
      <c r="F4" s="1739"/>
      <c r="G4" s="1739"/>
    </row>
    <row r="5" spans="1:10" ht="16.5">
      <c r="A5" s="1742" t="s">
        <v>1357</v>
      </c>
      <c r="B5" s="1742">
        <f ca="1">SUM(D14:D23)</f>
        <v>16817</v>
      </c>
      <c r="C5" s="1742">
        <f ca="1">ROUND(B5*10000/$B$1,0)</f>
        <v>40392</v>
      </c>
      <c r="D5" s="1742">
        <f ca="1">ROUND(B5*10000/$B$2,0)</f>
        <v>104671</v>
      </c>
      <c r="E5" s="1741"/>
      <c r="F5" s="1739"/>
      <c r="G5" s="1739"/>
    </row>
    <row r="6" spans="1:10" ht="16.5">
      <c r="A6" s="1742" t="s">
        <v>1356</v>
      </c>
      <c r="B6" s="1742">
        <f ca="1">SUM(G14:G23)</f>
        <v>16817</v>
      </c>
      <c r="C6" s="1742">
        <f ca="1">ROUND(B6*10000/$B$1,0)</f>
        <v>40392</v>
      </c>
      <c r="D6" s="1742">
        <f ca="1">ROUND(B6*10000/$B$2,0)</f>
        <v>104671</v>
      </c>
      <c r="E6" s="1741"/>
      <c r="F6" s="1739"/>
      <c r="G6" s="1739"/>
    </row>
    <row r="7" spans="1:10" ht="16.5">
      <c r="A7" s="1742" t="s">
        <v>1364</v>
      </c>
      <c r="B7" s="1742">
        <f>SUM(H14:H23)</f>
        <v>0</v>
      </c>
      <c r="C7" s="1742">
        <f>ROUND(B7*10000/$B$1,0)</f>
        <v>0</v>
      </c>
      <c r="D7" s="1742">
        <f>ROUND(B7*10000/$B$2,0)</f>
        <v>0</v>
      </c>
      <c r="E7" s="1741"/>
      <c r="F7" s="1739"/>
      <c r="G7" s="1739"/>
    </row>
    <row r="8" spans="1:10" ht="16.5">
      <c r="A8" s="1742" t="s">
        <v>1285</v>
      </c>
      <c r="B8" s="1742">
        <f>SUM(I14:I23)</f>
        <v>0</v>
      </c>
      <c r="C8" s="1742">
        <f>ROUND(B8*10000/$B$1,0)</f>
        <v>0</v>
      </c>
      <c r="D8" s="1742">
        <f>ROUND(B8*10000/$B$2,0)</f>
        <v>0</v>
      </c>
      <c r="E8" s="1741"/>
      <c r="F8" s="1739"/>
      <c r="G8" s="1739"/>
    </row>
    <row r="9" spans="1:10" ht="16.5">
      <c r="A9" s="1742" t="s">
        <v>1355</v>
      </c>
      <c r="B9" s="1744"/>
      <c r="C9" s="1741"/>
      <c r="D9" s="1741"/>
      <c r="E9" s="1741"/>
      <c r="F9" s="1739"/>
      <c r="G9" s="1739"/>
    </row>
    <row r="10" spans="1:10" ht="16.5">
      <c r="A10" s="1742" t="s">
        <v>1354</v>
      </c>
      <c r="B10" s="1744"/>
      <c r="C10" s="1741"/>
      <c r="D10" s="1741"/>
      <c r="E10" s="1741"/>
      <c r="F10" s="1739"/>
      <c r="G10" s="1739"/>
    </row>
    <row r="11" spans="1:10" ht="16.5">
      <c r="A11" s="1742" t="s">
        <v>1370</v>
      </c>
      <c r="B11" s="1744"/>
      <c r="C11" s="1741"/>
      <c r="D11" s="1741"/>
      <c r="E11" s="1741"/>
      <c r="F11" s="1739"/>
      <c r="G11" s="1739"/>
    </row>
    <row r="12" spans="1:10" ht="16.5">
      <c r="A12" s="1741"/>
      <c r="B12" s="1741"/>
      <c r="C12" s="1741"/>
      <c r="D12" s="1741"/>
      <c r="E12" s="1741"/>
      <c r="F12" s="1739"/>
      <c r="G12" s="1739"/>
    </row>
    <row r="13" spans="1:10" ht="33">
      <c r="A13" s="1747" t="s">
        <v>1369</v>
      </c>
      <c r="B13" s="1740" t="s">
        <v>1366</v>
      </c>
      <c r="C13" s="1740" t="s">
        <v>1368</v>
      </c>
      <c r="D13" s="1740" t="s">
        <v>1367</v>
      </c>
      <c r="E13" s="1742" t="s">
        <v>1359</v>
      </c>
      <c r="F13" s="1742" t="s">
        <v>1358</v>
      </c>
      <c r="G13" s="1740" t="s">
        <v>1352</v>
      </c>
      <c r="H13" s="1740" t="s">
        <v>1363</v>
      </c>
      <c r="I13" s="1740" t="s">
        <v>1351</v>
      </c>
      <c r="J13" s="1739"/>
    </row>
    <row r="14" spans="1:10" ht="16.5">
      <c r="A14" s="1738" t="s">
        <v>1350</v>
      </c>
      <c r="B14" s="1740">
        <f>结果表!B118</f>
        <v>4163.47</v>
      </c>
      <c r="C14" s="1740">
        <f>结果表!C118</f>
        <v>1606.66</v>
      </c>
      <c r="D14" s="1740">
        <f ca="1">结果表!H118</f>
        <v>16817</v>
      </c>
      <c r="E14" s="1740">
        <f ca="1">ROUND(D14*10000/B14,0)</f>
        <v>40392</v>
      </c>
      <c r="F14" s="1740">
        <f ca="1">ROUND(D14*10000/C14,0)</f>
        <v>104671</v>
      </c>
      <c r="G14" s="1740">
        <f ca="1">结果表!D122</f>
        <v>16817</v>
      </c>
      <c r="H14" s="1740" t="str">
        <f>结果表!D124</f>
        <v>——</v>
      </c>
      <c r="I14" s="1740" t="str">
        <f>结果表!D126</f>
        <v>——</v>
      </c>
      <c r="J14" s="1739"/>
    </row>
    <row r="15" spans="1:10" ht="16.5">
      <c r="A15" s="1738" t="s">
        <v>1349</v>
      </c>
      <c r="B15" s="1745"/>
      <c r="C15" s="1745"/>
      <c r="D15" s="1745"/>
      <c r="E15" s="1740" t="e">
        <f t="shared" ref="E15:E23" si="0">ROUND(D15*10000/B15,0)</f>
        <v>#DIV/0!</v>
      </c>
      <c r="F15" s="1740" t="e">
        <f t="shared" ref="F15:F23" si="1">ROUND(D15*10000/C15,0)</f>
        <v>#DIV/0!</v>
      </c>
      <c r="G15" s="1746"/>
      <c r="H15" s="1746"/>
      <c r="I15" s="1745"/>
      <c r="J15" s="1739"/>
    </row>
    <row r="16" spans="1:10" ht="16.5">
      <c r="A16" s="1738" t="s">
        <v>1348</v>
      </c>
      <c r="B16" s="1745"/>
      <c r="C16" s="1745"/>
      <c r="D16" s="1745"/>
      <c r="E16" s="1740" t="e">
        <f t="shared" si="0"/>
        <v>#DIV/0!</v>
      </c>
      <c r="F16" s="1740" t="e">
        <f t="shared" si="1"/>
        <v>#DIV/0!</v>
      </c>
      <c r="G16" s="1746"/>
      <c r="H16" s="1746"/>
      <c r="I16" s="1745"/>
    </row>
    <row r="17" spans="1:9" ht="16.5">
      <c r="A17" s="1738" t="s">
        <v>1347</v>
      </c>
      <c r="B17" s="1745"/>
      <c r="C17" s="1745"/>
      <c r="D17" s="1745"/>
      <c r="E17" s="1740" t="e">
        <f t="shared" si="0"/>
        <v>#DIV/0!</v>
      </c>
      <c r="F17" s="1740" t="e">
        <f t="shared" si="1"/>
        <v>#DIV/0!</v>
      </c>
      <c r="G17" s="1746"/>
      <c r="H17" s="1746"/>
      <c r="I17" s="1745"/>
    </row>
    <row r="18" spans="1:9" ht="16.5">
      <c r="A18" s="1738" t="s">
        <v>1346</v>
      </c>
      <c r="B18" s="1745"/>
      <c r="C18" s="1745"/>
      <c r="D18" s="1745"/>
      <c r="E18" s="1740" t="e">
        <f t="shared" si="0"/>
        <v>#DIV/0!</v>
      </c>
      <c r="F18" s="1740" t="e">
        <f t="shared" si="1"/>
        <v>#DIV/0!</v>
      </c>
      <c r="G18" s="1745"/>
      <c r="H18" s="1745"/>
      <c r="I18" s="1745"/>
    </row>
    <row r="19" spans="1:9" ht="16.5">
      <c r="A19" s="1738" t="s">
        <v>1345</v>
      </c>
      <c r="B19" s="1745"/>
      <c r="C19" s="1745"/>
      <c r="D19" s="1745"/>
      <c r="E19" s="1740" t="e">
        <f t="shared" si="0"/>
        <v>#DIV/0!</v>
      </c>
      <c r="F19" s="1740" t="e">
        <f t="shared" si="1"/>
        <v>#DIV/0!</v>
      </c>
      <c r="G19" s="1745"/>
      <c r="H19" s="1745"/>
      <c r="I19" s="1745"/>
    </row>
    <row r="20" spans="1:9" ht="16.5">
      <c r="A20" s="1738" t="s">
        <v>1344</v>
      </c>
      <c r="B20" s="1745"/>
      <c r="C20" s="1745"/>
      <c r="D20" s="1745"/>
      <c r="E20" s="1740" t="e">
        <f t="shared" si="0"/>
        <v>#DIV/0!</v>
      </c>
      <c r="F20" s="1740" t="e">
        <f t="shared" si="1"/>
        <v>#DIV/0!</v>
      </c>
      <c r="G20" s="1745"/>
      <c r="H20" s="1745"/>
      <c r="I20" s="1745"/>
    </row>
    <row r="21" spans="1:9" ht="16.5">
      <c r="A21" s="1738" t="s">
        <v>1343</v>
      </c>
      <c r="B21" s="1745"/>
      <c r="C21" s="1745"/>
      <c r="D21" s="1745"/>
      <c r="E21" s="1740" t="e">
        <f t="shared" si="0"/>
        <v>#DIV/0!</v>
      </c>
      <c r="F21" s="1740" t="e">
        <f t="shared" si="1"/>
        <v>#DIV/0!</v>
      </c>
      <c r="G21" s="1745"/>
      <c r="H21" s="1745"/>
      <c r="I21" s="1745"/>
    </row>
    <row r="22" spans="1:9" ht="16.5">
      <c r="A22" s="1738" t="s">
        <v>1342</v>
      </c>
      <c r="B22" s="1745"/>
      <c r="C22" s="1745"/>
      <c r="D22" s="1745"/>
      <c r="E22" s="1740" t="e">
        <f t="shared" si="0"/>
        <v>#DIV/0!</v>
      </c>
      <c r="F22" s="1740" t="e">
        <f t="shared" si="1"/>
        <v>#DIV/0!</v>
      </c>
      <c r="G22" s="1745"/>
      <c r="H22" s="1745"/>
      <c r="I22" s="1745"/>
    </row>
    <row r="23" spans="1:9" ht="16.5">
      <c r="A23" s="1738" t="s">
        <v>1341</v>
      </c>
      <c r="B23" s="1745"/>
      <c r="C23" s="1745"/>
      <c r="D23" s="1745"/>
      <c r="E23" s="1742" t="e">
        <f t="shared" si="0"/>
        <v>#DIV/0!</v>
      </c>
      <c r="F23" s="1742" t="e">
        <f t="shared" si="1"/>
        <v>#DIV/0!</v>
      </c>
      <c r="G23" s="1745"/>
      <c r="H23" s="1745"/>
      <c r="I23" s="1745"/>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C36" sqref="C36"/>
    </sheetView>
  </sheetViews>
  <sheetFormatPr defaultColWidth="12.625" defaultRowHeight="21.75" customHeight="1"/>
  <cols>
    <col min="1" max="2" width="12.625" style="2417"/>
    <col min="3" max="4" width="12.625" style="2417" customWidth="1"/>
    <col min="5" max="9" width="12.625" style="2417"/>
    <col min="10" max="11" width="12.625" style="794" customWidth="1"/>
    <col min="12" max="12" width="12.625" style="794"/>
    <col min="13" max="13" width="14.125" style="794" bestFit="1" customWidth="1"/>
    <col min="14" max="26" width="12.625" style="794"/>
    <col min="27" max="35" width="12.625" style="2416"/>
    <col min="36" max="16384" width="12.625" style="2417"/>
  </cols>
  <sheetData>
    <row r="1" spans="1:12" ht="21.75" customHeight="1" thickBot="1">
      <c r="A1" s="2220" t="s">
        <v>2108</v>
      </c>
      <c r="B1" s="2411"/>
      <c r="C1" s="2412"/>
      <c r="D1" s="2411"/>
      <c r="E1" s="2411"/>
      <c r="F1" s="2413" t="s">
        <v>2109</v>
      </c>
      <c r="G1" s="2067" t="s">
        <v>3042</v>
      </c>
      <c r="H1" s="2414" t="str">
        <f>IF(G1="现房","——","估价对象范围")</f>
        <v>——</v>
      </c>
      <c r="I1" s="2415" t="s">
        <v>3208</v>
      </c>
    </row>
    <row r="2" spans="1:12" ht="21.75" customHeight="1" thickBot="1">
      <c r="A2" s="3181" t="str">
        <f>项目基本情况!S2</f>
        <v>北京市丰台区马家堡东路168号院6号楼房地产</v>
      </c>
      <c r="B2" s="3182"/>
      <c r="C2" s="3182"/>
      <c r="D2" s="3182"/>
      <c r="E2" s="3182"/>
      <c r="F2" s="3182"/>
      <c r="G2" s="3182"/>
      <c r="H2" s="3182"/>
      <c r="I2" s="3183"/>
    </row>
    <row r="3" spans="1:12" ht="12.75">
      <c r="A3" s="3184" t="s">
        <v>2110</v>
      </c>
      <c r="B3" s="3185"/>
      <c r="C3" s="3185"/>
      <c r="D3" s="3185"/>
      <c r="E3" s="3185"/>
      <c r="F3" s="3185"/>
      <c r="G3" s="3185"/>
      <c r="H3" s="3185"/>
      <c r="I3" s="3185"/>
    </row>
    <row r="4" spans="1:12" ht="14.25">
      <c r="A4" s="2418" t="s">
        <v>2111</v>
      </c>
      <c r="B4" s="2419" t="s">
        <v>2112</v>
      </c>
      <c r="C4" s="2420" t="s">
        <v>3206</v>
      </c>
      <c r="D4" s="2420" t="s">
        <v>3205</v>
      </c>
      <c r="E4" s="3165" t="s">
        <v>2113</v>
      </c>
      <c r="F4" s="3178"/>
      <c r="G4" s="3178"/>
      <c r="H4" s="3178"/>
      <c r="I4" s="3166"/>
      <c r="K4" s="2421" t="str">
        <f>IF(ISNUMBER(FIND("比较法",结果表!C4)),"比较法",IF(ISNUMBER(FIND("成本法",结果表!C4)),"成本法",IF(ISNUMBER(FIND("假设开发法",结果表!C4)),"假设开发法",IF(ISNUMBER(FIND("收益法",结果表!C4)),"收益法","基准地价系数修正法"))))</f>
        <v>基准地价系数修正法</v>
      </c>
      <c r="L4" s="2421" t="str">
        <f>IF(ISNUMBER(FIND("比较法",结果表!D4)),"比较法",IF(ISNUMBER(FIND("成本法",结果表!D4)),"成本法",IF(ISNUMBER(FIND("假设开发法",结果表!D4)),"假设开发法",IF(ISNUMBER(FIND("收益法",结果表!D4)),"收益法","基准地价系数修正法"))))</f>
        <v>收益法</v>
      </c>
    </row>
    <row r="5" spans="1:12" ht="12.75">
      <c r="A5" s="3156" t="s">
        <v>2114</v>
      </c>
      <c r="B5" s="3082">
        <v>25</v>
      </c>
      <c r="C5" s="3186"/>
      <c r="D5" s="3174"/>
      <c r="E5" s="140" t="s">
        <v>2115</v>
      </c>
      <c r="F5" s="2422"/>
      <c r="G5" s="2422"/>
      <c r="H5" s="2422"/>
      <c r="I5" s="1829"/>
    </row>
    <row r="6" spans="1:12" ht="12.75">
      <c r="A6" s="3156"/>
      <c r="B6" s="3082"/>
      <c r="C6" s="3188"/>
      <c r="D6" s="3174"/>
      <c r="E6" s="140" t="s">
        <v>2116</v>
      </c>
      <c r="F6" s="2422"/>
      <c r="G6" s="2422"/>
      <c r="H6" s="2422"/>
      <c r="I6" s="1829"/>
    </row>
    <row r="7" spans="1:12" ht="12.75">
      <c r="A7" s="3156"/>
      <c r="B7" s="3082"/>
      <c r="C7" s="3187"/>
      <c r="D7" s="3174"/>
      <c r="E7" s="140" t="s">
        <v>2117</v>
      </c>
      <c r="F7" s="2422"/>
      <c r="G7" s="2422"/>
      <c r="H7" s="2422"/>
      <c r="I7" s="1829"/>
    </row>
    <row r="8" spans="1:12" ht="12.75">
      <c r="A8" s="3156" t="s">
        <v>2118</v>
      </c>
      <c r="B8" s="3082">
        <v>15</v>
      </c>
      <c r="C8" s="3186"/>
      <c r="D8" s="3174"/>
      <c r="E8" s="140" t="s">
        <v>2119</v>
      </c>
      <c r="F8" s="2422"/>
      <c r="G8" s="2422"/>
      <c r="H8" s="2422"/>
      <c r="I8" s="1829"/>
    </row>
    <row r="9" spans="1:12" ht="12.75">
      <c r="A9" s="3156"/>
      <c r="B9" s="3082"/>
      <c r="C9" s="3187"/>
      <c r="D9" s="3174"/>
      <c r="E9" s="140" t="s">
        <v>2120</v>
      </c>
      <c r="F9" s="2422"/>
      <c r="G9" s="2422"/>
      <c r="H9" s="2422"/>
      <c r="I9" s="1829"/>
    </row>
    <row r="10" spans="1:12" ht="12.75">
      <c r="A10" s="3156" t="s">
        <v>2121</v>
      </c>
      <c r="B10" s="3082">
        <v>15</v>
      </c>
      <c r="C10" s="3186"/>
      <c r="D10" s="3174"/>
      <c r="E10" s="140" t="s">
        <v>2122</v>
      </c>
      <c r="F10" s="2422"/>
      <c r="G10" s="2422"/>
      <c r="H10" s="2422"/>
      <c r="I10" s="1829"/>
    </row>
    <row r="11" spans="1:12" ht="12.75">
      <c r="A11" s="3156"/>
      <c r="B11" s="3082"/>
      <c r="C11" s="3187"/>
      <c r="D11" s="3174"/>
      <c r="E11" s="140" t="s">
        <v>2123</v>
      </c>
      <c r="F11" s="2422"/>
      <c r="G11" s="2422"/>
      <c r="H11" s="2422"/>
      <c r="I11" s="1829"/>
    </row>
    <row r="12" spans="1:12" ht="12.75">
      <c r="A12" s="3156" t="s">
        <v>2124</v>
      </c>
      <c r="B12" s="3082">
        <v>15</v>
      </c>
      <c r="C12" s="3186"/>
      <c r="D12" s="3174"/>
      <c r="E12" s="140" t="s">
        <v>2125</v>
      </c>
      <c r="F12" s="2422"/>
      <c r="G12" s="2422"/>
      <c r="H12" s="2422"/>
      <c r="I12" s="1829"/>
    </row>
    <row r="13" spans="1:12" ht="12.75">
      <c r="A13" s="3156"/>
      <c r="B13" s="3082"/>
      <c r="C13" s="3187"/>
      <c r="D13" s="3174"/>
      <c r="E13" s="140" t="s">
        <v>2126</v>
      </c>
      <c r="F13" s="2422"/>
      <c r="G13" s="2422"/>
      <c r="H13" s="2422"/>
      <c r="I13" s="1829"/>
    </row>
    <row r="14" spans="1:12" ht="12.75">
      <c r="A14" s="3156" t="s">
        <v>2127</v>
      </c>
      <c r="B14" s="3082">
        <v>30</v>
      </c>
      <c r="C14" s="3186">
        <v>7</v>
      </c>
      <c r="D14" s="3174">
        <v>3</v>
      </c>
      <c r="E14" s="140" t="s">
        <v>2128</v>
      </c>
      <c r="F14" s="2422"/>
      <c r="G14" s="2422"/>
      <c r="H14" s="2422"/>
      <c r="I14" s="1829"/>
    </row>
    <row r="15" spans="1:12" ht="12.75">
      <c r="A15" s="3156"/>
      <c r="B15" s="3082"/>
      <c r="C15" s="3188"/>
      <c r="D15" s="3174"/>
      <c r="E15" s="140" t="s">
        <v>2129</v>
      </c>
      <c r="F15" s="2422"/>
      <c r="G15" s="2422"/>
      <c r="H15" s="2422"/>
      <c r="I15" s="1829"/>
    </row>
    <row r="16" spans="1:12" ht="12.75">
      <c r="A16" s="3156"/>
      <c r="B16" s="3082"/>
      <c r="C16" s="3187"/>
      <c r="D16" s="3174"/>
      <c r="E16" s="140" t="s">
        <v>2130</v>
      </c>
      <c r="F16" s="2422"/>
      <c r="G16" s="2422"/>
      <c r="H16" s="2422"/>
      <c r="I16" s="1829"/>
    </row>
    <row r="17" spans="1:35" ht="15">
      <c r="A17" s="2423" t="s">
        <v>2131</v>
      </c>
      <c r="B17" s="64"/>
      <c r="C17" s="141">
        <f>SUM(C5:C16)</f>
        <v>7</v>
      </c>
      <c r="D17" s="141">
        <f>SUM(D5:D16)</f>
        <v>3</v>
      </c>
      <c r="E17" s="138"/>
      <c r="F17" s="138"/>
      <c r="G17" s="138"/>
      <c r="H17" s="138"/>
      <c r="I17" s="138"/>
      <c r="K17" s="2421"/>
      <c r="L17" s="2424" t="s">
        <v>2132</v>
      </c>
      <c r="M17" s="2424" t="s">
        <v>2133</v>
      </c>
    </row>
    <row r="18" spans="1:35" ht="15.75" thickBot="1">
      <c r="A18" s="2425" t="s">
        <v>2134</v>
      </c>
      <c r="B18" s="2426"/>
      <c r="C18" s="142">
        <f>ROUND(C17/SUM(C17:D17),2)</f>
        <v>0.7</v>
      </c>
      <c r="D18" s="142">
        <f>1-C18</f>
        <v>0.30000000000000004</v>
      </c>
      <c r="E18" s="138"/>
      <c r="F18" s="138"/>
      <c r="G18" s="138"/>
      <c r="H18" s="138"/>
      <c r="I18" s="138"/>
      <c r="K18" s="2421" t="s">
        <v>2135</v>
      </c>
      <c r="L18" s="2421">
        <f>IF(C1="",'数据-汇总表'!E3,SUMIF(项目类型,C1,'数据-汇总表'!E17:E26)+SUMIF(项目类型,C1,'数据-汇总表'!I17:I26))</f>
        <v>4163.47</v>
      </c>
      <c r="M18" s="2421">
        <f>IF(C1="",'数据-汇总表'!E3,SUMIF(项目类型,C1,'数据-汇总表'!E17:E26))</f>
        <v>4163.47</v>
      </c>
    </row>
    <row r="19" spans="1:35" ht="15.75">
      <c r="A19" s="2427" t="s">
        <v>2136</v>
      </c>
      <c r="B19" s="2428" t="s">
        <v>2137</v>
      </c>
      <c r="C19" s="143">
        <f ca="1">SUMIF(INDIRECT("'"&amp;C4&amp;"'"&amp;"!A:A"),结果表!B19,INDIRECT("'"&amp;C4&amp;"'"&amp;"!B:B"))</f>
        <v>18222</v>
      </c>
      <c r="D19" s="144">
        <f ca="1">SUMIF(INDIRECT("'"&amp;D4&amp;"'"&amp;"!A:A"),结果表!B19,INDIRECT("'"&amp;D4&amp;"'"&amp;"!B:B"))</f>
        <v>13538</v>
      </c>
      <c r="E19" s="2427" t="s">
        <v>2138</v>
      </c>
      <c r="F19" s="2428" t="s">
        <v>2137</v>
      </c>
      <c r="G19" s="145">
        <f ca="1">ROUND(C19*$C$18+D19*$D$18,0)</f>
        <v>16817</v>
      </c>
      <c r="H19" s="2429" t="s">
        <v>2139</v>
      </c>
      <c r="I19" s="138"/>
      <c r="J19" s="3014">
        <v>16660</v>
      </c>
      <c r="K19" s="2421" t="s">
        <v>2140</v>
      </c>
      <c r="L19" s="2421">
        <f>IF(C1="",'数据-汇总表'!D3,SUMIF(项目类型,C1,'数据-汇总表'!D17:D26)+SUMIF(项目类型,C1,'数据-汇总表'!H17:H27))</f>
        <v>1606.66</v>
      </c>
      <c r="M19" s="2421">
        <f>IF(C1="",'数据-汇总表'!D3,SUMIF(项目类型,C1,'数据-汇总表'!D17:D26))</f>
        <v>1606.66</v>
      </c>
    </row>
    <row r="20" spans="1:35" ht="15">
      <c r="A20" s="2430"/>
      <c r="B20" s="1246" t="s">
        <v>2141</v>
      </c>
      <c r="C20" s="146">
        <f ca="1">SUMIF(INDIRECT("'"&amp;C4&amp;"'"&amp;"!A:A"),结果表!B20,INDIRECT("'"&amp;C4&amp;"'"&amp;"!B:B"))</f>
        <v>44684</v>
      </c>
      <c r="D20" s="147">
        <f ca="1">SUMIF(INDIRECT("'"&amp;D4&amp;"'"&amp;"!A:A"),结果表!B20,INDIRECT("'"&amp;D4&amp;"'"&amp;"!B:B"))</f>
        <v>32516</v>
      </c>
      <c r="E20" s="2430"/>
      <c r="F20" s="1246" t="s">
        <v>2141</v>
      </c>
      <c r="G20" s="148">
        <f ca="1">ROUND(C20*$C$18+D20*$D$18,0)</f>
        <v>41034</v>
      </c>
      <c r="H20" s="982" t="s">
        <v>2142</v>
      </c>
      <c r="I20" s="138"/>
    </row>
    <row r="21" spans="1:35" ht="15" customHeight="1" thickBot="1">
      <c r="A21" s="1002"/>
      <c r="B21" s="2431" t="s">
        <v>2143</v>
      </c>
      <c r="C21" s="788">
        <f ca="1">ROUND(C19*10000/L19,0)</f>
        <v>113415</v>
      </c>
      <c r="D21" s="789">
        <f ca="1">ROUND(D19*10000/L19,0)</f>
        <v>84262</v>
      </c>
      <c r="E21" s="1002"/>
      <c r="F21" s="2431" t="s">
        <v>2143</v>
      </c>
      <c r="G21" s="149">
        <f ca="1">ROUND(G19*10000/L19,0)</f>
        <v>104671</v>
      </c>
      <c r="H21" s="2432" t="s">
        <v>2142</v>
      </c>
      <c r="I21" s="138"/>
    </row>
    <row r="22" spans="1:35" ht="15" thickBot="1">
      <c r="A22" s="2276" t="s">
        <v>2144</v>
      </c>
      <c r="B22" s="2433"/>
      <c r="C22" s="2434"/>
      <c r="D22" s="790">
        <f ca="1">IF(C19&lt;D19,D19/C19-1,C19/D19-1)</f>
        <v>0.34598906780912975</v>
      </c>
      <c r="E22" s="138"/>
      <c r="F22" s="138"/>
      <c r="G22" s="138"/>
      <c r="H22" s="138"/>
      <c r="I22" s="138"/>
    </row>
    <row r="23" spans="1:35" ht="13.5" hidden="1" thickBot="1">
      <c r="A23" s="2411"/>
      <c r="B23" s="2411"/>
      <c r="C23" s="2411"/>
      <c r="D23" s="2411"/>
      <c r="E23" s="138"/>
      <c r="F23" s="138"/>
      <c r="G23" s="138"/>
      <c r="H23" s="138"/>
      <c r="I23" s="138"/>
    </row>
    <row r="24" spans="1:35" ht="14.25" hidden="1">
      <c r="A24" s="3195" t="s">
        <v>2145</v>
      </c>
      <c r="B24" s="2428" t="s">
        <v>2137</v>
      </c>
      <c r="C24" s="145">
        <f>IF(B30=0,0,D30)</f>
        <v>0</v>
      </c>
      <c r="D24" s="2435"/>
      <c r="E24" s="138"/>
      <c r="F24" s="138"/>
      <c r="G24" s="138"/>
      <c r="H24" s="138"/>
      <c r="I24" s="138"/>
    </row>
    <row r="25" spans="1:35" ht="14.25" hidden="1">
      <c r="A25" s="3196"/>
      <c r="B25" s="1246" t="s">
        <v>2141</v>
      </c>
      <c r="C25" s="150">
        <f>IF(B30=0,0,C30)</f>
        <v>0</v>
      </c>
      <c r="D25" s="2436"/>
      <c r="E25" s="138"/>
      <c r="F25" s="138"/>
      <c r="G25" s="138"/>
      <c r="H25" s="138"/>
      <c r="I25" s="138"/>
    </row>
    <row r="26" spans="1:35" ht="13.5" hidden="1" customHeight="1">
      <c r="A26" s="2437" t="s">
        <v>2146</v>
      </c>
      <c r="B26" s="151" t="s">
        <v>2147</v>
      </c>
      <c r="C26" s="151" t="s">
        <v>2148</v>
      </c>
      <c r="D26" s="152" t="s">
        <v>2149</v>
      </c>
      <c r="E26" s="138"/>
      <c r="F26" s="138"/>
      <c r="G26" s="138"/>
      <c r="H26" s="138"/>
      <c r="I26" s="138"/>
    </row>
    <row r="27" spans="1:35" ht="14.25" hidden="1">
      <c r="A27" s="2437"/>
      <c r="B27" s="151">
        <v>0</v>
      </c>
      <c r="C27" s="151">
        <v>0</v>
      </c>
      <c r="D27" s="152">
        <f>ROUND(C27*B27/10000,0)</f>
        <v>0</v>
      </c>
      <c r="E27" s="138"/>
      <c r="F27" s="138"/>
      <c r="G27" s="138"/>
      <c r="H27" s="138"/>
      <c r="I27" s="138"/>
    </row>
    <row r="28" spans="1:35" ht="14.25" hidden="1">
      <c r="A28" s="2437"/>
      <c r="B28" s="151"/>
      <c r="C28" s="151"/>
      <c r="D28" s="152"/>
      <c r="E28" s="138"/>
      <c r="F28" s="138"/>
      <c r="G28" s="138"/>
      <c r="H28" s="138"/>
      <c r="I28" s="138"/>
    </row>
    <row r="29" spans="1:35" ht="14.25" hidden="1">
      <c r="A29" s="2437"/>
      <c r="B29" s="151"/>
      <c r="C29" s="151"/>
      <c r="D29" s="152"/>
      <c r="E29" s="138"/>
      <c r="F29" s="138"/>
      <c r="G29" s="138"/>
      <c r="H29" s="138"/>
      <c r="I29" s="138"/>
    </row>
    <row r="30" spans="1:35" ht="14.25" hidden="1">
      <c r="A30" s="151" t="s">
        <v>2150</v>
      </c>
      <c r="B30" s="151"/>
      <c r="C30" s="151"/>
      <c r="D30" s="151"/>
      <c r="E30" s="2920" t="s">
        <v>3023</v>
      </c>
      <c r="F30" s="138"/>
      <c r="G30" s="138"/>
      <c r="H30" s="138"/>
      <c r="I30" s="138"/>
    </row>
    <row r="31" spans="1:35" s="2439" customFormat="1" ht="15" hidden="1" thickBot="1">
      <c r="A31" s="2438"/>
      <c r="B31" s="2438"/>
      <c r="C31" s="2438"/>
      <c r="D31" s="2438"/>
      <c r="E31" s="138"/>
      <c r="F31" s="138"/>
      <c r="G31" s="138"/>
      <c r="H31" s="138"/>
      <c r="I31" s="138"/>
      <c r="J31" s="794"/>
      <c r="K31" s="794"/>
      <c r="L31" s="794"/>
      <c r="M31" s="794"/>
      <c r="N31" s="794"/>
      <c r="O31" s="794"/>
      <c r="P31" s="794"/>
      <c r="Q31" s="794"/>
      <c r="R31" s="794"/>
      <c r="S31" s="794"/>
      <c r="T31" s="794"/>
      <c r="U31" s="794"/>
      <c r="V31" s="794"/>
      <c r="W31" s="794"/>
      <c r="X31" s="794"/>
      <c r="Y31" s="794"/>
      <c r="Z31" s="794"/>
      <c r="AA31" s="2416"/>
      <c r="AB31" s="2416"/>
      <c r="AC31" s="2416"/>
      <c r="AD31" s="2416"/>
      <c r="AE31" s="2416"/>
      <c r="AF31" s="2416"/>
      <c r="AG31" s="2416"/>
      <c r="AH31" s="2416"/>
      <c r="AI31" s="2416"/>
    </row>
    <row r="32" spans="1:35" ht="15.75" thickBot="1">
      <c r="A32" s="2440" t="s">
        <v>2151</v>
      </c>
      <c r="B32" s="2441"/>
      <c r="C32" s="153">
        <f ca="1">IF(D32="总价",G19-C24,G20-C25)</f>
        <v>16817</v>
      </c>
      <c r="D32" s="2442" t="s">
        <v>2152</v>
      </c>
      <c r="E32" s="138"/>
      <c r="F32" s="138"/>
      <c r="G32" s="138"/>
      <c r="H32" s="138"/>
      <c r="I32" s="138"/>
    </row>
    <row r="33" spans="1:15" ht="15">
      <c r="A33" s="959" t="s">
        <v>2153</v>
      </c>
      <c r="B33" s="2443"/>
      <c r="C33" s="2444" t="s">
        <v>3213</v>
      </c>
      <c r="D33" s="2445"/>
      <c r="E33" s="2446" t="s">
        <v>2154</v>
      </c>
      <c r="F33" s="2447" t="str">
        <f>IF(D32="楼面单价","取值（单价）","取值（总价）")</f>
        <v>取值（总价）</v>
      </c>
      <c r="G33" s="138"/>
      <c r="H33" s="138"/>
      <c r="I33" s="138"/>
    </row>
    <row r="34" spans="1:15" ht="15">
      <c r="A34" s="2448"/>
      <c r="B34" s="2449" t="s">
        <v>2155</v>
      </c>
      <c r="C34" s="157">
        <f ca="1">IF(C33="自定义",F34,C32-C35)</f>
        <v>15161</v>
      </c>
      <c r="D34" s="1055">
        <f ca="1">IF(C33="自定义",ROUND(C34/C32,3),IF(C33="收益比率",SUMIF(INDIRECT("'"&amp;D33&amp;"'"&amp;"!b:b"),"土地收益比率",INDIRECT("'"&amp;D33&amp;"'"&amp;"!c:c")),SUMIF(INDIRECT("'"&amp;D33&amp;"'"&amp;"!b:b"),"土地成本比率",INDIRECT("'"&amp;D33&amp;"'"&amp;"!c:c"))))</f>
        <v>0.90200000000000002</v>
      </c>
      <c r="E34" s="2450" t="s">
        <v>2156</v>
      </c>
      <c r="F34" s="1735">
        <f ca="1">G19-F35</f>
        <v>15161</v>
      </c>
      <c r="G34" s="138"/>
      <c r="H34" s="138"/>
      <c r="I34" s="138"/>
    </row>
    <row r="35" spans="1:15" ht="15.75" thickBot="1">
      <c r="A35" s="2451"/>
      <c r="B35" s="2452" t="s">
        <v>2157</v>
      </c>
      <c r="C35" s="1440">
        <f ca="1">IF(C33="自定义",F35,ROUND(C32*D35,0))</f>
        <v>1656</v>
      </c>
      <c r="D35" s="1441">
        <f ca="1">IF(C33="自定义",ROUND(C35/C32,3),IF(C33="收益比率",SUMIF(INDIRECT("'"&amp;D33&amp;"'"&amp;"!b:b"),"建筑物收益比率",INDIRECT("'"&amp;D33&amp;"'"&amp;"!c:c")),SUMIF(INDIRECT("'"&amp;D33&amp;"'"&amp;"!b:b"),"建筑物成本比率",INDIRECT("'"&amp;D33&amp;"'"&amp;"!c:c"))))</f>
        <v>9.8000000000000004E-2</v>
      </c>
      <c r="E35" s="2453" t="s">
        <v>2158</v>
      </c>
      <c r="F35" s="163">
        <f ca="1">'收益法-已出租'!C13+'收益法-未出租'!C13</f>
        <v>1656</v>
      </c>
      <c r="G35" s="138"/>
      <c r="H35" s="138"/>
      <c r="I35" s="138"/>
    </row>
    <row r="36" spans="1:15" ht="15.75" thickBot="1">
      <c r="A36" s="3175" t="s">
        <v>2159</v>
      </c>
      <c r="B36" s="2454" t="s">
        <v>2160</v>
      </c>
      <c r="C36" s="154"/>
      <c r="D36" s="2455"/>
      <c r="E36" s="2456"/>
      <c r="F36" s="2457"/>
      <c r="G36" s="138"/>
      <c r="H36" s="138"/>
      <c r="I36" s="138"/>
    </row>
    <row r="37" spans="1:15" ht="15.75" thickBot="1">
      <c r="A37" s="3176"/>
      <c r="B37" s="2262" t="s">
        <v>2161</v>
      </c>
      <c r="C37" s="156"/>
      <c r="D37" s="1391"/>
      <c r="E37" s="1391"/>
      <c r="F37" s="2457"/>
      <c r="G37" s="138"/>
      <c r="H37" s="138"/>
      <c r="I37" s="138"/>
    </row>
    <row r="38" spans="1:15" ht="15.75" thickBot="1">
      <c r="A38" s="3177"/>
      <c r="B38" s="2458" t="s">
        <v>2162</v>
      </c>
      <c r="C38" s="726"/>
      <c r="D38" s="2459" t="s">
        <v>2163</v>
      </c>
      <c r="E38" s="1391"/>
      <c r="F38" s="2457"/>
      <c r="G38" s="138"/>
      <c r="H38" s="138"/>
      <c r="I38" s="138"/>
    </row>
    <row r="39" spans="1:15" ht="15">
      <c r="A39" s="2430" t="s">
        <v>2164</v>
      </c>
      <c r="B39" s="2460" t="s">
        <v>2165</v>
      </c>
      <c r="C39" s="2461" t="s">
        <v>2166</v>
      </c>
      <c r="D39" s="2461" t="s">
        <v>2167</v>
      </c>
      <c r="E39" s="2462" t="s">
        <v>2168</v>
      </c>
      <c r="F39" s="2457"/>
      <c r="G39" s="138"/>
      <c r="H39" s="138"/>
      <c r="I39" s="138"/>
    </row>
    <row r="40" spans="1:15" ht="14.25">
      <c r="A40" s="2463" t="s">
        <v>2169</v>
      </c>
      <c r="B40" s="158"/>
      <c r="C40" s="159"/>
      <c r="D40" s="159"/>
      <c r="E40" s="160"/>
      <c r="F40" s="2457"/>
      <c r="G40" s="138"/>
      <c r="H40" s="138"/>
      <c r="I40" s="138"/>
    </row>
    <row r="41" spans="1:15" ht="14.25">
      <c r="A41" s="2463" t="s">
        <v>2170</v>
      </c>
      <c r="B41" s="158"/>
      <c r="C41" s="159"/>
      <c r="D41" s="159"/>
      <c r="E41" s="160"/>
      <c r="F41" s="2457"/>
      <c r="G41" s="138"/>
      <c r="H41" s="138"/>
      <c r="I41" s="138"/>
    </row>
    <row r="42" spans="1:15" ht="15" thickBot="1">
      <c r="A42" s="2464"/>
      <c r="B42" s="161"/>
      <c r="C42" s="162"/>
      <c r="D42" s="162"/>
      <c r="E42" s="163"/>
      <c r="F42" s="2457"/>
      <c r="G42" s="138"/>
      <c r="H42" s="138"/>
      <c r="I42" s="138"/>
    </row>
    <row r="43" spans="1:15" ht="12.75">
      <c r="A43" s="2161"/>
      <c r="B43" s="2161"/>
      <c r="C43" s="2161"/>
      <c r="D43" s="2161"/>
      <c r="E43" s="2161"/>
      <c r="F43" s="2465"/>
      <c r="G43" s="2465"/>
      <c r="H43" s="2465"/>
      <c r="I43" s="2466"/>
    </row>
    <row r="44" spans="1:15" ht="18.75" hidden="1">
      <c r="A44" s="2467" t="s">
        <v>2171</v>
      </c>
      <c r="B44" s="2468"/>
      <c r="C44" s="2468"/>
      <c r="D44" s="2469"/>
      <c r="E44" s="2469"/>
      <c r="F44" s="2470"/>
      <c r="G44" s="2470"/>
      <c r="H44" s="2470"/>
      <c r="I44" s="2470"/>
      <c r="J44" s="2471" t="s">
        <v>2172</v>
      </c>
      <c r="K44" s="2472"/>
      <c r="L44" s="2472"/>
      <c r="M44" s="2472"/>
      <c r="N44" s="2472"/>
      <c r="O44" s="2472"/>
    </row>
    <row r="45" spans="1:15" ht="14.25" hidden="1" customHeight="1" thickBot="1">
      <c r="A45" s="3192" t="s">
        <v>2173</v>
      </c>
      <c r="B45" s="3193"/>
      <c r="C45" s="3194"/>
      <c r="D45" s="164">
        <f ca="1">ROUND(H101*F45,0)</f>
        <v>16817</v>
      </c>
      <c r="E45" s="165" t="s">
        <v>2174</v>
      </c>
      <c r="F45" s="166">
        <v>1</v>
      </c>
      <c r="G45" s="167" t="s">
        <v>2175</v>
      </c>
      <c r="H45" s="138"/>
      <c r="I45" s="138"/>
      <c r="J45" s="3111" t="s">
        <v>2176</v>
      </c>
      <c r="K45" s="3111"/>
      <c r="L45" s="3111"/>
      <c r="M45" s="3111"/>
      <c r="N45" s="3111"/>
      <c r="O45" s="3111"/>
    </row>
    <row r="46" spans="1:15" ht="14.25" hidden="1" customHeight="1">
      <c r="A46" s="3189" t="s">
        <v>2177</v>
      </c>
      <c r="B46" s="3190"/>
      <c r="C46" s="3190"/>
      <c r="D46" s="3190"/>
      <c r="E46" s="3190"/>
      <c r="F46" s="3190"/>
      <c r="G46" s="3191"/>
      <c r="H46" s="2473"/>
      <c r="I46" s="168"/>
      <c r="J46" s="1807">
        <v>1</v>
      </c>
      <c r="K46" s="3111" t="s">
        <v>2178</v>
      </c>
      <c r="L46" s="3111"/>
      <c r="M46" s="3112"/>
      <c r="N46" s="3112"/>
      <c r="O46" s="3112"/>
    </row>
    <row r="47" spans="1:15" ht="12" hidden="1" customHeight="1">
      <c r="A47" s="169" t="s">
        <v>2179</v>
      </c>
      <c r="B47" s="170"/>
      <c r="C47" s="171"/>
      <c r="D47" s="172" t="s">
        <v>2180</v>
      </c>
      <c r="E47" s="24" t="s">
        <v>2181</v>
      </c>
      <c r="F47" s="173" t="s">
        <v>2182</v>
      </c>
      <c r="G47" s="174" t="s">
        <v>2183</v>
      </c>
      <c r="H47" s="2473"/>
      <c r="I47" s="168"/>
      <c r="J47" s="1807">
        <v>2</v>
      </c>
      <c r="K47" s="3111" t="s">
        <v>2184</v>
      </c>
      <c r="L47" s="3111"/>
      <c r="M47" s="3113">
        <f>'数据-取费表'!B2</f>
        <v>43132</v>
      </c>
      <c r="N47" s="3113"/>
      <c r="O47" s="3113"/>
    </row>
    <row r="48" spans="1:15" ht="25.5" hidden="1">
      <c r="A48" s="3179" t="s">
        <v>2185</v>
      </c>
      <c r="B48" s="3180"/>
      <c r="C48" s="3180"/>
      <c r="D48" s="140">
        <f>IF(H48="情况1",0,IF(H48="情况2",D52,IF(H48="情况3",D53,IF(H48="情况4",D54))))</f>
        <v>0</v>
      </c>
      <c r="E48" s="1796" t="str">
        <f>IF(H48="情况4","(销售额-原购置价)×税（费）率","销售额×税（费）率")</f>
        <v>销售额×税（费）率</v>
      </c>
      <c r="F48" s="175" t="str">
        <f>IF(H48="情况1","免征",'数据-取费表'!B41)</f>
        <v>免征</v>
      </c>
      <c r="G48" s="2474" t="s">
        <v>2186</v>
      </c>
      <c r="H48" s="2475" t="s">
        <v>2187</v>
      </c>
      <c r="I48" s="2473"/>
      <c r="J48" s="1807">
        <v>3</v>
      </c>
      <c r="K48" s="3111" t="s">
        <v>2188</v>
      </c>
      <c r="L48" s="3111"/>
      <c r="M48" s="3114">
        <f ca="1">H101</f>
        <v>16817</v>
      </c>
      <c r="N48" s="3114"/>
      <c r="O48" s="3114"/>
    </row>
    <row r="49" spans="1:35" ht="25.5" hidden="1" customHeight="1">
      <c r="A49" s="176" t="s">
        <v>2189</v>
      </c>
      <c r="B49" s="3159" t="s">
        <v>2190</v>
      </c>
      <c r="C49" s="3159"/>
      <c r="D49" s="177">
        <v>0</v>
      </c>
      <c r="E49" s="23" t="s">
        <v>2191</v>
      </c>
      <c r="F49" s="28" t="s">
        <v>34</v>
      </c>
      <c r="G49" s="3140"/>
      <c r="H49" s="138"/>
      <c r="I49" s="2476"/>
      <c r="J49" s="1807">
        <v>4</v>
      </c>
      <c r="K49" s="3111" t="str">
        <f>IF(项目基本情况!E8="房地产抵押价值","房地产抵押价值","抵押担保权已注销时的房地产抵押价值")</f>
        <v>房地产抵押价值</v>
      </c>
      <c r="L49" s="3111"/>
      <c r="M49" s="3114">
        <f ca="1">IF(项目基本情况!E8="房地产抵押价值",H107,H109)</f>
        <v>16817</v>
      </c>
      <c r="N49" s="3114"/>
      <c r="O49" s="3114"/>
    </row>
    <row r="50" spans="1:35" ht="25.5" hidden="1" customHeight="1">
      <c r="A50" s="178"/>
      <c r="B50" s="3159" t="s">
        <v>2192</v>
      </c>
      <c r="C50" s="3159"/>
      <c r="D50" s="179"/>
      <c r="E50" s="31"/>
      <c r="F50" s="180"/>
      <c r="G50" s="3141"/>
      <c r="H50" s="138"/>
      <c r="I50" s="2476"/>
      <c r="J50" s="3111" t="s">
        <v>2193</v>
      </c>
      <c r="K50" s="3111"/>
      <c r="L50" s="3111"/>
      <c r="M50" s="3111"/>
      <c r="N50" s="3111"/>
      <c r="O50" s="3111"/>
    </row>
    <row r="51" spans="1:35" ht="12" hidden="1" customHeight="1">
      <c r="A51" s="181"/>
      <c r="B51" s="3159" t="s">
        <v>2194</v>
      </c>
      <c r="C51" s="3159"/>
      <c r="D51" s="182"/>
      <c r="E51" s="30"/>
      <c r="F51" s="180"/>
      <c r="G51" s="3142"/>
      <c r="H51" s="138"/>
      <c r="I51" s="2476"/>
      <c r="J51" s="2477" t="s">
        <v>2195</v>
      </c>
      <c r="K51" s="3111" t="s">
        <v>2196</v>
      </c>
      <c r="L51" s="3111"/>
      <c r="M51" s="2477" t="s">
        <v>2197</v>
      </c>
      <c r="N51" s="2477" t="s">
        <v>2198</v>
      </c>
      <c r="O51" s="2477" t="s">
        <v>2199</v>
      </c>
    </row>
    <row r="52" spans="1:35" ht="24" hidden="1" customHeight="1">
      <c r="A52" s="183" t="s">
        <v>2200</v>
      </c>
      <c r="B52" s="3159" t="s">
        <v>2201</v>
      </c>
      <c r="C52" s="3159"/>
      <c r="D52" s="182">
        <f ca="1">ROUND(D45*'数据-取费表'!B41/(1+'数据-取费表'!C42),0)</f>
        <v>897</v>
      </c>
      <c r="E52" s="11" t="s">
        <v>2202</v>
      </c>
      <c r="F52" s="184">
        <f>'数据-取费表'!B41</f>
        <v>5.6000000000000001E-2</v>
      </c>
      <c r="G52" s="2478"/>
      <c r="H52" s="138"/>
      <c r="I52" s="2476"/>
      <c r="J52" s="1807">
        <v>1</v>
      </c>
      <c r="K52" s="3134" t="s">
        <v>2203</v>
      </c>
      <c r="L52" s="3134"/>
      <c r="M52" s="1750">
        <f>D48</f>
        <v>0</v>
      </c>
      <c r="N52" s="1807" t="str">
        <f>E48</f>
        <v>销售额×税（费）率</v>
      </c>
      <c r="O52" s="1751" t="str">
        <f>F48</f>
        <v>免征</v>
      </c>
    </row>
    <row r="53" spans="1:35" ht="12" hidden="1" customHeight="1">
      <c r="A53" s="183" t="s">
        <v>2204</v>
      </c>
      <c r="B53" s="3160" t="s">
        <v>2205</v>
      </c>
      <c r="C53" s="3161"/>
      <c r="D53" s="182">
        <f ca="1">ROUND(D45*'数据-取费表'!B41/(1+'数据-取费表'!C42),0)</f>
        <v>897</v>
      </c>
      <c r="E53" s="11" t="s">
        <v>2202</v>
      </c>
      <c r="F53" s="184">
        <f>'数据-取费表'!B41</f>
        <v>5.6000000000000001E-2</v>
      </c>
      <c r="G53" s="2478"/>
      <c r="H53" s="138"/>
      <c r="I53" s="2476"/>
      <c r="J53" s="1807">
        <v>2</v>
      </c>
      <c r="K53" s="3134" t="s">
        <v>2206</v>
      </c>
      <c r="L53" s="3134"/>
      <c r="M53" s="1750">
        <f t="shared" ref="M53:O54" ca="1" si="0">D55</f>
        <v>8</v>
      </c>
      <c r="N53" s="1807" t="str">
        <f t="shared" si="0"/>
        <v>销售额×税（费）率</v>
      </c>
      <c r="O53" s="1751">
        <f t="shared" si="0"/>
        <v>5.0000000000000001E-4</v>
      </c>
    </row>
    <row r="54" spans="1:35" ht="12" hidden="1" customHeight="1">
      <c r="A54" s="183" t="s">
        <v>2207</v>
      </c>
      <c r="B54" s="3160" t="s">
        <v>2208</v>
      </c>
      <c r="C54" s="3161"/>
      <c r="D54" s="182">
        <f ca="1">C68</f>
        <v>897</v>
      </c>
      <c r="E54" s="30" t="s">
        <v>2209</v>
      </c>
      <c r="F54" s="184">
        <f>'数据-取费表'!B41</f>
        <v>5.6000000000000001E-2</v>
      </c>
      <c r="G54" s="2478"/>
      <c r="H54" s="2479"/>
      <c r="I54" s="2476"/>
      <c r="J54" s="1807">
        <v>3</v>
      </c>
      <c r="K54" s="3134" t="s">
        <v>2210</v>
      </c>
      <c r="L54" s="3134"/>
      <c r="M54" s="1750">
        <f t="shared" ca="1" si="0"/>
        <v>9518</v>
      </c>
      <c r="N54" s="1807" t="str">
        <f t="shared" si="0"/>
        <v>增值额×税（费）率</v>
      </c>
      <c r="O54" s="1752" t="str">
        <f t="shared" si="0"/>
        <v>——</v>
      </c>
    </row>
    <row r="55" spans="1:35" ht="24" hidden="1" customHeight="1">
      <c r="A55" s="3198" t="s">
        <v>2211</v>
      </c>
      <c r="B55" s="3180"/>
      <c r="C55" s="3180"/>
      <c r="D55" s="185">
        <f ca="1">IF(H55="个人住宅",0,ROUND(D45*I55,0))</f>
        <v>8</v>
      </c>
      <c r="E55" s="11" t="s">
        <v>2212</v>
      </c>
      <c r="F55" s="184">
        <f>IF(H55="正常",I55,"免征")</f>
        <v>5.0000000000000001E-4</v>
      </c>
      <c r="G55" s="2478"/>
      <c r="H55" s="2475" t="s">
        <v>2213</v>
      </c>
      <c r="I55" s="186">
        <f>'数据-取费表'!B49</f>
        <v>5.0000000000000001E-4</v>
      </c>
      <c r="J55" s="1807" t="str">
        <f>IF(H59="非个人房产","",4)</f>
        <v/>
      </c>
      <c r="K55" s="3134" t="str">
        <f>IF(H59="非个人房产","——","个人所得税")</f>
        <v>——</v>
      </c>
      <c r="L55" s="3134"/>
      <c r="M55" s="1753" t="str">
        <f>D59</f>
        <v>——</v>
      </c>
      <c r="N55" s="1805" t="str">
        <f>E59</f>
        <v>——</v>
      </c>
      <c r="O55" s="1754" t="str">
        <f>F59</f>
        <v>——</v>
      </c>
    </row>
    <row r="56" spans="1:35" ht="24.75" hidden="1">
      <c r="A56" s="3198" t="s">
        <v>2214</v>
      </c>
      <c r="B56" s="3180"/>
      <c r="C56" s="3180"/>
      <c r="D56" s="185">
        <f ca="1">IF(H56="个人住宅",D57,D58)</f>
        <v>9518</v>
      </c>
      <c r="E56" s="11" t="s">
        <v>2215</v>
      </c>
      <c r="F56" s="184" t="str">
        <f>IF(H56="正常",F58,"免征")</f>
        <v>——</v>
      </c>
      <c r="G56" s="2480" t="s">
        <v>2216</v>
      </c>
      <c r="H56" s="2481" t="s">
        <v>2213</v>
      </c>
      <c r="I56" s="2482"/>
      <c r="J56" s="1807" t="str">
        <f>IF(项目基本情况!K6="上海银行",IF(J55="",4,J55+1),"")</f>
        <v/>
      </c>
      <c r="K56" s="3117" t="str">
        <f>IF(项目基本情况!K6="上海银行","其他处置费用","")</f>
        <v/>
      </c>
      <c r="L56" s="3118"/>
      <c r="M56" s="1750" t="str">
        <f>IF(项目基本情况!K6="上海银行",M69,"")</f>
        <v/>
      </c>
      <c r="N56" s="3120" t="str">
        <f>IF(项目基本情况!K6="上海银行","包含处置中涉及的律师、诉讼、拍卖、评估等费用","")</f>
        <v/>
      </c>
      <c r="O56" s="3121"/>
    </row>
    <row r="57" spans="1:35" ht="12.75" hidden="1">
      <c r="A57" s="183" t="s">
        <v>2189</v>
      </c>
      <c r="B57" s="3165" t="s">
        <v>2217</v>
      </c>
      <c r="C57" s="3166"/>
      <c r="D57" s="187">
        <v>0</v>
      </c>
      <c r="E57" s="23" t="s">
        <v>2191</v>
      </c>
      <c r="F57" s="155"/>
      <c r="G57" s="2478"/>
      <c r="H57" s="2482"/>
      <c r="I57" s="2482"/>
      <c r="J57" s="3134">
        <f>IF(AND(J55="",J56=""),4,IF(项目基本情况!K6="上海银行",结果表!J56+1,结果表!J55+1))</f>
        <v>4</v>
      </c>
      <c r="K57" s="3134" t="s">
        <v>2218</v>
      </c>
      <c r="L57" s="2483" t="s">
        <v>2219</v>
      </c>
      <c r="M57" s="1755"/>
      <c r="N57" s="1756">
        <f ca="1">SUMIF(M52:M56,"&lt;9e307")</f>
        <v>9526</v>
      </c>
      <c r="O57" s="2484"/>
      <c r="P57" s="1749">
        <f ca="1">N57/M49</f>
        <v>0.56645061544865316</v>
      </c>
    </row>
    <row r="58" spans="1:35" ht="24.75" hidden="1">
      <c r="A58" s="183" t="s">
        <v>2200</v>
      </c>
      <c r="B58" s="3165" t="s">
        <v>2220</v>
      </c>
      <c r="C58" s="3178"/>
      <c r="D58" s="185">
        <f ca="1">IF(H58="转让取得",C81,C97)</f>
        <v>9518</v>
      </c>
      <c r="E58" s="11" t="s">
        <v>2215</v>
      </c>
      <c r="F58" s="24" t="s">
        <v>34</v>
      </c>
      <c r="G58" s="2478"/>
      <c r="H58" s="2481" t="s">
        <v>2221</v>
      </c>
      <c r="I58" s="2482"/>
      <c r="J58" s="3134"/>
      <c r="K58" s="3134"/>
      <c r="L58" s="2483" t="s">
        <v>2222</v>
      </c>
      <c r="M58" s="1757"/>
      <c r="N58" s="2485" t="str">
        <f ca="1">NUMBERSTRING(INT(N57*10000),2)&amp;"元整"</f>
        <v>玖仟伍佰贰拾陆万元整</v>
      </c>
      <c r="O58" s="2486"/>
    </row>
    <row r="59" spans="1:35" ht="24.75" hidden="1" thickBot="1">
      <c r="A59" s="3138" t="s">
        <v>2223</v>
      </c>
      <c r="B59" s="3139"/>
      <c r="C59" s="3139"/>
      <c r="D59" s="188" t="str">
        <f>IF(H59="非个人房产","——",IF(H59="个人住宅",0,ROUND(D45*I59,0)))</f>
        <v>——</v>
      </c>
      <c r="E59" s="189" t="str">
        <f>IF(H59="非个人房产","——","销售额×税（费）率")</f>
        <v>——</v>
      </c>
      <c r="F59" s="190" t="str">
        <f>IF(H59="非个人房产","——",IF(H59="个人住宅","免征",I59))</f>
        <v>——</v>
      </c>
      <c r="G59" s="2487" t="s">
        <v>2216</v>
      </c>
      <c r="H59" s="2481" t="s">
        <v>2224</v>
      </c>
      <c r="I59" s="191">
        <v>0.01</v>
      </c>
      <c r="J59" s="3136">
        <f>J57+1</f>
        <v>5</v>
      </c>
      <c r="K59" s="3134" t="s">
        <v>2225</v>
      </c>
      <c r="L59" s="1807" t="s">
        <v>2219</v>
      </c>
      <c r="M59" s="1758"/>
      <c r="N59" s="1759">
        <f ca="1">M49-N57</f>
        <v>7291</v>
      </c>
      <c r="O59" s="2488"/>
    </row>
    <row r="60" spans="1:35" ht="12" hidden="1" customHeight="1">
      <c r="A60" s="2489"/>
      <c r="B60" s="2411"/>
      <c r="C60" s="2411"/>
      <c r="D60" s="2411"/>
      <c r="E60" s="2162"/>
      <c r="F60" s="2482"/>
      <c r="G60" s="2482"/>
      <c r="H60" s="2490"/>
      <c r="I60" s="138"/>
      <c r="J60" s="3137"/>
      <c r="K60" s="3134"/>
      <c r="L60" s="2483" t="s">
        <v>2222</v>
      </c>
      <c r="M60" s="1757"/>
      <c r="N60" s="2485" t="str">
        <f ca="1">NUMBERSTRING(INT(N59*10000),2)&amp;"元整"</f>
        <v>柒仟贰佰玖拾壹万元整</v>
      </c>
      <c r="O60" s="2486"/>
    </row>
    <row r="61" spans="1:35" ht="13.5" hidden="1" thickBot="1">
      <c r="A61" s="3197" t="s">
        <v>2226</v>
      </c>
      <c r="B61" s="3197"/>
      <c r="C61" s="3197"/>
      <c r="D61" s="3197"/>
      <c r="E61" s="3197"/>
      <c r="F61" s="2482"/>
      <c r="G61" s="2482"/>
      <c r="H61" s="2490"/>
      <c r="I61" s="138"/>
      <c r="J61" s="1807">
        <f>J59+1</f>
        <v>6</v>
      </c>
      <c r="K61" s="3134" t="s">
        <v>2227</v>
      </c>
      <c r="L61" s="3134"/>
      <c r="M61" s="1760"/>
      <c r="N61" s="1761">
        <f ca="1">ROUND(N59*10000/'数据-汇总表'!E3,0)</f>
        <v>17512</v>
      </c>
      <c r="O61" s="2491"/>
    </row>
    <row r="62" spans="1:35" ht="12.75" hidden="1">
      <c r="A62" s="3154" t="s">
        <v>2228</v>
      </c>
      <c r="B62" s="3155"/>
      <c r="C62" s="1799"/>
      <c r="D62" s="1799" t="s">
        <v>2229</v>
      </c>
      <c r="E62" s="192" t="s">
        <v>2230</v>
      </c>
      <c r="F62" s="2482"/>
      <c r="G62" s="2482"/>
      <c r="H62" s="2490"/>
      <c r="I62" s="138"/>
    </row>
    <row r="63" spans="1:35" ht="12.75" hidden="1">
      <c r="A63" s="203" t="s">
        <v>775</v>
      </c>
      <c r="B63" s="193" t="s">
        <v>2231</v>
      </c>
      <c r="C63" s="194">
        <f ca="1">ROUND((C64+C65)/(1+'数据-取费表'!C42),0)</f>
        <v>16016</v>
      </c>
      <c r="D63" s="195"/>
      <c r="E63" s="196"/>
      <c r="F63" s="2482"/>
      <c r="G63" s="2482"/>
      <c r="H63" s="2490"/>
      <c r="I63" s="138"/>
      <c r="J63" s="3119" t="s">
        <v>2232</v>
      </c>
      <c r="K63" s="2492" t="s">
        <v>2233</v>
      </c>
      <c r="L63" s="1748">
        <f ca="1">IF(M49&gt;10000,M49*0.5%,IF(AND(M49&gt;1000,M49&lt;=10000),M49*1%,IF(AND(M49&gt;100,M49&lt;=1000),M49*3%,IF(AND(M49&gt;10,M49&lt;=100),M49*5%,M49*8%))))</f>
        <v>84.085000000000008</v>
      </c>
      <c r="M63" s="24">
        <f ca="1">ROUND(L63,1)</f>
        <v>84.1</v>
      </c>
      <c r="Z63" s="2416"/>
      <c r="AI63" s="2417"/>
    </row>
    <row r="64" spans="1:35" ht="14.25" hidden="1" customHeight="1">
      <c r="A64" s="197" t="s">
        <v>770</v>
      </c>
      <c r="B64" s="198" t="s">
        <v>2234</v>
      </c>
      <c r="C64" s="199">
        <f ca="1">D45</f>
        <v>16817</v>
      </c>
      <c r="D64" s="200" t="s">
        <v>32</v>
      </c>
      <c r="E64" s="201"/>
      <c r="F64" s="2482"/>
      <c r="G64" s="2482"/>
      <c r="H64" s="2490"/>
      <c r="I64" s="138"/>
      <c r="J64" s="3119"/>
      <c r="K64" s="2492" t="s">
        <v>2235</v>
      </c>
      <c r="L64" s="1748">
        <f ca="1">IF(M49&gt;2000,M49*0.5%,IF(AND(M49&gt;1000,M49&lt;=2000),M49*0.6%,IF(AND(M49&gt;500,M49&lt;=1000),M49*0.7%,IF(AND(M49&gt;200,M49&lt;=500),M49*0.8%,IF(AND(M49&gt;100,M49&lt;=200),M49*0.9%,IF(AND(M49&gt;50,M49&lt;=100),M49*1%,IF(AND(M49&gt;20,M49&lt;=50),M49*1.5%,IF(AND(M49&gt;10,M49&lt;=20),M49*2%,IF(AND(M49&gt;1,M49&lt;=10),M49*2.5%)))))))))</f>
        <v>84.085000000000008</v>
      </c>
      <c r="M64" s="24">
        <f t="shared" ref="M64:M65" ca="1" si="1">ROUND(L64,1)</f>
        <v>84.1</v>
      </c>
      <c r="N64" s="138" t="s">
        <v>2236</v>
      </c>
      <c r="Z64" s="2416"/>
      <c r="AI64" s="2417"/>
    </row>
    <row r="65" spans="1:35" ht="14.25" hidden="1" customHeight="1">
      <c r="A65" s="197" t="s">
        <v>771</v>
      </c>
      <c r="B65" s="198" t="s">
        <v>2237</v>
      </c>
      <c r="C65" s="202"/>
      <c r="D65" s="200"/>
      <c r="E65" s="201"/>
      <c r="F65" s="2482"/>
      <c r="G65" s="2482"/>
      <c r="H65" s="2490"/>
      <c r="I65" s="138"/>
      <c r="J65" s="3119"/>
      <c r="K65" s="2492" t="s">
        <v>2238</v>
      </c>
      <c r="L65" s="1748">
        <f ca="1">IF(M49&gt;1000,M49*0.1%,IF(AND(M49&gt;500,M49&lt;=1000),M49*0.5%,IF(AND(M49&gt;50,M49&lt;=500),M49*1%,IF(AND(M49&gt;1,M49&lt;=50),M49*1.5%))))</f>
        <v>16.817</v>
      </c>
      <c r="M65" s="24">
        <f t="shared" ca="1" si="1"/>
        <v>16.8</v>
      </c>
      <c r="N65" s="138" t="s">
        <v>2236</v>
      </c>
      <c r="Z65" s="2416"/>
      <c r="AI65" s="2417"/>
    </row>
    <row r="66" spans="1:35" ht="14.25" hidden="1" customHeight="1">
      <c r="A66" s="203" t="s">
        <v>772</v>
      </c>
      <c r="B66" s="204" t="s">
        <v>2239</v>
      </c>
      <c r="C66" s="205"/>
      <c r="D66" s="206" t="s">
        <v>32</v>
      </c>
      <c r="E66" s="1771" t="s">
        <v>1371</v>
      </c>
      <c r="F66" s="2482"/>
      <c r="G66" s="2482"/>
      <c r="H66" s="2490"/>
      <c r="I66" s="138"/>
      <c r="J66" s="3119"/>
      <c r="K66" s="2492" t="s">
        <v>2240</v>
      </c>
      <c r="L66" s="1748">
        <f ca="1">M49*0.5%</f>
        <v>84.085000000000008</v>
      </c>
      <c r="M66" s="24">
        <f ca="1">IF(L66&gt;0.5,0.5,ROUND(L66,0))</f>
        <v>0.5</v>
      </c>
      <c r="N66" s="138" t="s">
        <v>2241</v>
      </c>
      <c r="Z66" s="2416"/>
      <c r="AI66" s="2417"/>
    </row>
    <row r="67" spans="1:35" ht="14.25" hidden="1" customHeight="1">
      <c r="A67" s="203" t="s">
        <v>773</v>
      </c>
      <c r="B67" s="204" t="s">
        <v>2242</v>
      </c>
      <c r="C67" s="207">
        <f ca="1">C63-C66</f>
        <v>16016</v>
      </c>
      <c r="D67" s="200" t="s">
        <v>32</v>
      </c>
      <c r="E67" s="201"/>
      <c r="F67" s="2482"/>
      <c r="G67" s="2482"/>
      <c r="H67" s="2490"/>
      <c r="I67" s="138"/>
      <c r="J67" s="3119"/>
      <c r="K67" s="2492" t="s">
        <v>2243</v>
      </c>
      <c r="L67" s="1748">
        <f ca="1">IF(M49&gt;=10000,(8.25+(M49-10000)*0.01%),IF(AND(M49&gt;=8000,M49&lt;10000),(7.85+(M49-8000)*0.02%),IF(AND(M49&gt;=5000,M49&lt;8000),(6.65+(M49-5000)*0.04%),IF(AND(M49&gt;=2000,M49&lt;5000),(4.25+(PM49-2000)*0.08%),IF(AND(M49&gt;=1000,M49&lt;2000),(2.75+(M49-1000)*0.15%),IF(AND(M49&gt;=100,M49&lt;1000),(0.5+(M49-100)*0.25%),IF(AND(M49&gt;0,M49&lt;100),M49*0.5%)))))))</f>
        <v>8.9316999999999993</v>
      </c>
      <c r="M67" s="24">
        <f ca="1">ROUND(L67*0.9,1)</f>
        <v>8</v>
      </c>
      <c r="Z67" s="2416"/>
      <c r="AI67" s="2417"/>
    </row>
    <row r="68" spans="1:35" ht="14.25" hidden="1" customHeight="1" thickBot="1">
      <c r="A68" s="208" t="s">
        <v>774</v>
      </c>
      <c r="B68" s="209" t="s">
        <v>2244</v>
      </c>
      <c r="C68" s="210">
        <f ca="1">IF(C67&lt;=0,0,ROUND(C67*D68,0))</f>
        <v>897</v>
      </c>
      <c r="D68" s="211">
        <f>'数据-取费表'!B41</f>
        <v>5.6000000000000001E-2</v>
      </c>
      <c r="E68" s="212"/>
      <c r="F68" s="2482"/>
      <c r="G68" s="2482"/>
      <c r="H68" s="2490"/>
      <c r="I68" s="138"/>
      <c r="J68" s="3119"/>
      <c r="K68" s="2492" t="s">
        <v>2245</v>
      </c>
      <c r="L68" s="1748">
        <f ca="1">IF(M49&gt;10000,M49*0.5%,IF(AND(M49&gt;5000,M49&lt;=10000),M49*1%,IF(AND(M49&gt;1000,M49&lt;=5000),M49*2%,IF(AND(M49&gt;200,M49&lt;=1000),M49*3%,M49*5%))))</f>
        <v>84.085000000000008</v>
      </c>
      <c r="M68" s="24">
        <f ca="1">ROUND(L68,1)</f>
        <v>84.1</v>
      </c>
      <c r="Z68" s="2416"/>
      <c r="AI68" s="2417"/>
    </row>
    <row r="69" spans="1:35" s="2439" customFormat="1" ht="16.5" hidden="1" customHeight="1">
      <c r="A69" s="2493"/>
      <c r="B69" s="2494"/>
      <c r="C69" s="2495"/>
      <c r="D69" s="2496"/>
      <c r="E69" s="2497"/>
      <c r="F69" s="2162"/>
      <c r="G69" s="2162"/>
      <c r="H69" s="2161"/>
      <c r="I69" s="2411"/>
      <c r="J69" s="3119"/>
      <c r="K69" s="2492" t="s">
        <v>2246</v>
      </c>
      <c r="L69" s="2498"/>
      <c r="M69" s="24">
        <f ca="1">ROUND(SUM(M63:M68),0)</f>
        <v>278</v>
      </c>
      <c r="N69" s="1749">
        <f ca="1">M69/M49</f>
        <v>1.6530891359933401E-2</v>
      </c>
      <c r="O69" s="794"/>
      <c r="P69" s="794"/>
      <c r="Q69" s="794"/>
      <c r="R69" s="794"/>
      <c r="S69" s="794"/>
      <c r="T69" s="794"/>
      <c r="U69" s="794"/>
      <c r="V69" s="794"/>
      <c r="W69" s="794"/>
      <c r="X69" s="794"/>
      <c r="Y69" s="794"/>
      <c r="Z69" s="2416"/>
      <c r="AA69" s="2416"/>
      <c r="AB69" s="2416"/>
      <c r="AC69" s="2416"/>
      <c r="AD69" s="2416"/>
      <c r="AE69" s="2416"/>
      <c r="AF69" s="2416"/>
      <c r="AG69" s="2416"/>
      <c r="AH69" s="2416"/>
    </row>
    <row r="70" spans="1:35" s="2500" customFormat="1" ht="15" hidden="1" thickBot="1">
      <c r="A70" s="3163" t="s">
        <v>2247</v>
      </c>
      <c r="B70" s="3164"/>
      <c r="C70" s="3164"/>
      <c r="D70" s="3164"/>
      <c r="E70" s="3164"/>
      <c r="F70" s="3164"/>
      <c r="G70" s="3164"/>
      <c r="H70" s="3164"/>
      <c r="I70" s="2499"/>
      <c r="N70" s="2501"/>
      <c r="O70" s="2501"/>
      <c r="P70" s="2501"/>
      <c r="Q70" s="2501"/>
      <c r="R70" s="2501"/>
      <c r="S70" s="2501"/>
      <c r="T70" s="2501"/>
      <c r="U70" s="2501"/>
      <c r="V70" s="2501"/>
      <c r="W70" s="2501"/>
      <c r="X70" s="2501"/>
      <c r="Y70" s="2501"/>
      <c r="Z70" s="2501"/>
      <c r="AA70" s="2502"/>
      <c r="AB70" s="2502"/>
      <c r="AC70" s="2502"/>
      <c r="AD70" s="2502"/>
      <c r="AE70" s="2502"/>
      <c r="AF70" s="2502"/>
      <c r="AG70" s="2502"/>
      <c r="AH70" s="2502"/>
      <c r="AI70" s="2502"/>
    </row>
    <row r="71" spans="1:35" s="2500" customFormat="1" ht="14.25" hidden="1">
      <c r="A71" s="3154" t="s">
        <v>2228</v>
      </c>
      <c r="B71" s="3155"/>
      <c r="C71" s="1799"/>
      <c r="D71" s="1799" t="s">
        <v>2229</v>
      </c>
      <c r="E71" s="213" t="s">
        <v>2230</v>
      </c>
      <c r="F71" s="214"/>
      <c r="G71" s="214"/>
      <c r="H71" s="215"/>
      <c r="I71" s="2503"/>
      <c r="N71" s="2501"/>
      <c r="O71" s="2501"/>
      <c r="P71" s="2501"/>
      <c r="Q71" s="2501"/>
      <c r="R71" s="2501"/>
      <c r="S71" s="2501"/>
      <c r="T71" s="2501"/>
      <c r="U71" s="2501"/>
      <c r="V71" s="2501"/>
      <c r="W71" s="2501"/>
      <c r="X71" s="2501"/>
      <c r="Y71" s="2501"/>
      <c r="Z71" s="2501"/>
      <c r="AA71" s="2502"/>
      <c r="AB71" s="2502"/>
      <c r="AC71" s="2502"/>
      <c r="AD71" s="2502"/>
      <c r="AE71" s="2502"/>
      <c r="AF71" s="2502"/>
      <c r="AG71" s="2502"/>
      <c r="AH71" s="2502"/>
      <c r="AI71" s="2502"/>
    </row>
    <row r="72" spans="1:35" s="2500" customFormat="1" ht="14.25" hidden="1">
      <c r="A72" s="203" t="s">
        <v>775</v>
      </c>
      <c r="B72" s="204" t="s">
        <v>2248</v>
      </c>
      <c r="C72" s="207">
        <f ca="1">ROUND(D45/(1+'数据-取费表'!C42),0)</f>
        <v>16016</v>
      </c>
      <c r="D72" s="200" t="s">
        <v>32</v>
      </c>
      <c r="E72" s="1798"/>
      <c r="F72" s="1792"/>
      <c r="G72" s="1792"/>
      <c r="H72" s="216"/>
      <c r="I72" s="2503"/>
      <c r="N72" s="2501"/>
      <c r="O72" s="2501"/>
      <c r="P72" s="2501"/>
      <c r="Q72" s="2501"/>
      <c r="R72" s="2501"/>
      <c r="S72" s="2501"/>
      <c r="T72" s="2501"/>
      <c r="U72" s="2501"/>
      <c r="V72" s="2501"/>
      <c r="W72" s="2501"/>
      <c r="X72" s="2501"/>
      <c r="Y72" s="2501"/>
      <c r="Z72" s="2501"/>
      <c r="AA72" s="2502"/>
      <c r="AB72" s="2502"/>
      <c r="AC72" s="2502"/>
      <c r="AD72" s="2502"/>
      <c r="AE72" s="2502"/>
      <c r="AF72" s="2502"/>
      <c r="AG72" s="2502"/>
      <c r="AH72" s="2502"/>
      <c r="AI72" s="2502"/>
    </row>
    <row r="73" spans="1:35" s="2500" customFormat="1" ht="14.25" hidden="1">
      <c r="A73" s="203" t="s">
        <v>772</v>
      </c>
      <c r="B73" s="173" t="s">
        <v>2249</v>
      </c>
      <c r="C73" s="207">
        <f ca="1">C74+C78</f>
        <v>96</v>
      </c>
      <c r="D73" s="200" t="s">
        <v>32</v>
      </c>
      <c r="E73" s="1798"/>
      <c r="F73" s="1792"/>
      <c r="G73" s="1792"/>
      <c r="H73" s="216"/>
      <c r="I73" s="2503"/>
      <c r="J73" s="2501"/>
      <c r="K73" s="2501"/>
      <c r="L73" s="2501"/>
      <c r="M73" s="2501"/>
      <c r="N73" s="2501"/>
      <c r="O73" s="2501"/>
      <c r="P73" s="2501"/>
      <c r="Q73" s="2501"/>
      <c r="R73" s="2501"/>
      <c r="S73" s="2501"/>
      <c r="T73" s="2501"/>
      <c r="U73" s="2501"/>
      <c r="V73" s="2501"/>
      <c r="W73" s="2501"/>
      <c r="X73" s="2501"/>
      <c r="Y73" s="2501"/>
      <c r="Z73" s="2501"/>
      <c r="AA73" s="2502"/>
      <c r="AB73" s="2502"/>
      <c r="AC73" s="2502"/>
      <c r="AD73" s="2502"/>
      <c r="AE73" s="2502"/>
      <c r="AF73" s="2502"/>
      <c r="AG73" s="2502"/>
      <c r="AH73" s="2502"/>
      <c r="AI73" s="2502"/>
    </row>
    <row r="74" spans="1:35" s="2500" customFormat="1" ht="24" hidden="1">
      <c r="A74" s="217" t="s">
        <v>770</v>
      </c>
      <c r="B74" s="198" t="s">
        <v>2250</v>
      </c>
      <c r="C74" s="200">
        <f>ROUND(IF(G77="2016年5月1日后购买",C75/(1+'数据-取费表'!C42)+C76+C77,C75+C76+C77),0)</f>
        <v>0</v>
      </c>
      <c r="D74" s="200" t="s">
        <v>32</v>
      </c>
      <c r="E74" s="1798"/>
      <c r="F74" s="1792"/>
      <c r="G74" s="1792"/>
      <c r="H74" s="216"/>
      <c r="I74" s="2503"/>
      <c r="J74" s="2501"/>
      <c r="K74" s="2501"/>
      <c r="L74" s="2501"/>
      <c r="M74" s="2501"/>
      <c r="N74" s="2501"/>
      <c r="O74" s="2501"/>
      <c r="P74" s="2501"/>
      <c r="Q74" s="2501"/>
      <c r="R74" s="2501"/>
      <c r="S74" s="2501"/>
      <c r="T74" s="2501"/>
      <c r="U74" s="2501"/>
      <c r="V74" s="2501"/>
      <c r="W74" s="2501"/>
      <c r="X74" s="2501"/>
      <c r="Y74" s="2501"/>
      <c r="Z74" s="2501"/>
      <c r="AA74" s="2502"/>
      <c r="AB74" s="2502"/>
      <c r="AC74" s="2502"/>
      <c r="AD74" s="2502"/>
      <c r="AE74" s="2502"/>
      <c r="AF74" s="2502"/>
      <c r="AG74" s="2502"/>
      <c r="AH74" s="2502"/>
      <c r="AI74" s="2502"/>
    </row>
    <row r="75" spans="1:35" s="2500" customFormat="1" ht="14.25" hidden="1">
      <c r="A75" s="217" t="s">
        <v>776</v>
      </c>
      <c r="B75" s="198" t="s">
        <v>2251</v>
      </c>
      <c r="C75" s="218"/>
      <c r="D75" s="200" t="s">
        <v>32</v>
      </c>
      <c r="E75" s="219" t="s">
        <v>2252</v>
      </c>
      <c r="F75" s="2504" t="s">
        <v>2253</v>
      </c>
      <c r="G75" s="219" t="s">
        <v>2254</v>
      </c>
      <c r="H75" s="220"/>
      <c r="I75" s="2505"/>
      <c r="J75" s="2501"/>
      <c r="K75" s="2501"/>
      <c r="L75" s="2501"/>
      <c r="M75" s="2501"/>
      <c r="N75" s="2501"/>
      <c r="O75" s="2501"/>
      <c r="P75" s="2501"/>
      <c r="Q75" s="2501"/>
      <c r="R75" s="2501"/>
      <c r="S75" s="2501"/>
      <c r="T75" s="2501"/>
      <c r="U75" s="2501"/>
      <c r="V75" s="2501"/>
      <c r="W75" s="2501"/>
      <c r="X75" s="2501"/>
      <c r="Y75" s="2501"/>
      <c r="Z75" s="2501"/>
      <c r="AA75" s="2502"/>
      <c r="AB75" s="2502"/>
      <c r="AC75" s="2502"/>
      <c r="AD75" s="2502"/>
      <c r="AE75" s="2502"/>
      <c r="AF75" s="2502"/>
      <c r="AG75" s="2502"/>
      <c r="AH75" s="2502"/>
      <c r="AI75" s="2502"/>
    </row>
    <row r="76" spans="1:35" s="2500" customFormat="1" ht="24.75" hidden="1" customHeight="1">
      <c r="A76" s="217" t="s">
        <v>777</v>
      </c>
      <c r="B76" s="221" t="s">
        <v>2255</v>
      </c>
      <c r="C76" s="200">
        <f>IF(F75="购房发票",ROUND(C75*H75*D76,0),0)</f>
        <v>0</v>
      </c>
      <c r="D76" s="222">
        <v>0.05</v>
      </c>
      <c r="E76" s="3160" t="s">
        <v>2256</v>
      </c>
      <c r="F76" s="3159"/>
      <c r="G76" s="3159"/>
      <c r="H76" s="3162"/>
      <c r="I76" s="2503"/>
      <c r="J76" s="2501"/>
      <c r="K76" s="2501"/>
      <c r="L76" s="2501"/>
      <c r="M76" s="2501"/>
      <c r="N76" s="2501"/>
      <c r="O76" s="2501"/>
      <c r="P76" s="2501"/>
      <c r="Q76" s="2501"/>
      <c r="R76" s="2501"/>
      <c r="S76" s="2501"/>
      <c r="T76" s="2501"/>
      <c r="U76" s="2501"/>
      <c r="V76" s="2501"/>
      <c r="W76" s="2501"/>
      <c r="X76" s="2501"/>
      <c r="Y76" s="2501"/>
      <c r="Z76" s="2501"/>
      <c r="AA76" s="2502"/>
      <c r="AB76" s="2502"/>
      <c r="AC76" s="2502"/>
      <c r="AD76" s="2502"/>
      <c r="AE76" s="2502"/>
      <c r="AF76" s="2502"/>
      <c r="AG76" s="2502"/>
      <c r="AH76" s="2502"/>
      <c r="AI76" s="2502"/>
    </row>
    <row r="77" spans="1:35" s="2500" customFormat="1" ht="24.75" hidden="1" customHeight="1">
      <c r="A77" s="217" t="s">
        <v>778</v>
      </c>
      <c r="B77" s="198" t="s">
        <v>2257</v>
      </c>
      <c r="C77" s="200">
        <f>ROUND(IF(G77="个人住宅",0,IF(G77="2016年5月1日前购买",C75*D77,C75*D77/(1+'数据-取费表'!C42))),0)</f>
        <v>0</v>
      </c>
      <c r="D77" s="223">
        <f>'数据-取费表'!B48+'数据-取费表'!B49</f>
        <v>3.0499999999999999E-2</v>
      </c>
      <c r="E77" s="15" t="s">
        <v>2258</v>
      </c>
      <c r="F77" s="224"/>
      <c r="G77" s="2506" t="s">
        <v>2259</v>
      </c>
      <c r="H77" s="1803" t="str">
        <f>IF(G77="个人买卖住房","免征印花税"," ")</f>
        <v xml:space="preserve"> </v>
      </c>
      <c r="I77" s="2503"/>
      <c r="J77" s="2501"/>
      <c r="K77" s="2501"/>
      <c r="L77" s="2501"/>
      <c r="M77" s="2501"/>
      <c r="N77" s="2501"/>
      <c r="O77" s="2501"/>
      <c r="P77" s="2501"/>
      <c r="Q77" s="2501"/>
      <c r="R77" s="2501"/>
      <c r="S77" s="2501"/>
      <c r="T77" s="2501"/>
      <c r="U77" s="2501"/>
      <c r="V77" s="2501"/>
      <c r="W77" s="2501"/>
      <c r="X77" s="2501"/>
      <c r="Y77" s="2501"/>
      <c r="Z77" s="2501"/>
      <c r="AA77" s="2502"/>
      <c r="AB77" s="2502"/>
      <c r="AC77" s="2502"/>
      <c r="AD77" s="2502"/>
      <c r="AE77" s="2502"/>
      <c r="AF77" s="2502"/>
      <c r="AG77" s="2502"/>
      <c r="AH77" s="2502"/>
      <c r="AI77" s="2502"/>
    </row>
    <row r="78" spans="1:35" s="2500" customFormat="1" ht="24.75" hidden="1" customHeight="1">
      <c r="A78" s="217" t="s">
        <v>771</v>
      </c>
      <c r="B78" s="198" t="s">
        <v>2260</v>
      </c>
      <c r="C78" s="225">
        <f ca="1">ROUND(D45*D78/(1+'数据-取费表'!C42),0)</f>
        <v>96</v>
      </c>
      <c r="D78" s="226">
        <f>'数据-取费表'!B43</f>
        <v>6.000000000000001E-3</v>
      </c>
      <c r="E78" s="3151" t="s">
        <v>2261</v>
      </c>
      <c r="F78" s="3152"/>
      <c r="G78" s="3152"/>
      <c r="H78" s="3153"/>
      <c r="I78" s="2507"/>
      <c r="J78" s="2501"/>
      <c r="K78" s="2501"/>
      <c r="L78" s="2501"/>
      <c r="M78" s="2501"/>
      <c r="N78" s="2501"/>
      <c r="O78" s="2501"/>
      <c r="P78" s="2501"/>
      <c r="Q78" s="2501"/>
      <c r="R78" s="2501"/>
      <c r="S78" s="2501"/>
      <c r="T78" s="2501"/>
      <c r="U78" s="2501"/>
      <c r="V78" s="2501"/>
      <c r="W78" s="2501"/>
      <c r="X78" s="2501"/>
      <c r="Y78" s="2501"/>
      <c r="Z78" s="2501"/>
      <c r="AA78" s="2502"/>
      <c r="AB78" s="2502"/>
      <c r="AC78" s="2502"/>
      <c r="AD78" s="2502"/>
      <c r="AE78" s="2502"/>
      <c r="AF78" s="2502"/>
      <c r="AG78" s="2502"/>
      <c r="AH78" s="2502"/>
      <c r="AI78" s="2502"/>
    </row>
    <row r="79" spans="1:35" s="2500" customFormat="1" ht="14.25" hidden="1">
      <c r="A79" s="2508" t="s">
        <v>779</v>
      </c>
      <c r="B79" s="204" t="s">
        <v>2262</v>
      </c>
      <c r="C79" s="207">
        <f ca="1">C72-C73</f>
        <v>15920</v>
      </c>
      <c r="D79" s="200" t="s">
        <v>32</v>
      </c>
      <c r="E79" s="1798"/>
      <c r="F79" s="1792"/>
      <c r="G79" s="1792"/>
      <c r="H79" s="216"/>
      <c r="I79" s="2503"/>
      <c r="J79" s="2501"/>
      <c r="K79" s="2501"/>
      <c r="L79" s="2501"/>
      <c r="M79" s="2501"/>
      <c r="N79" s="2501"/>
      <c r="O79" s="2501"/>
      <c r="P79" s="2501"/>
      <c r="Q79" s="2501"/>
      <c r="R79" s="2501"/>
      <c r="S79" s="2501"/>
      <c r="T79" s="2501"/>
      <c r="U79" s="2501"/>
      <c r="V79" s="2501"/>
      <c r="W79" s="2501"/>
      <c r="X79" s="2501"/>
      <c r="Y79" s="2501"/>
      <c r="Z79" s="2501"/>
      <c r="AA79" s="2502"/>
      <c r="AB79" s="2502"/>
      <c r="AC79" s="2502"/>
      <c r="AD79" s="2502"/>
      <c r="AE79" s="2502"/>
      <c r="AF79" s="2502"/>
      <c r="AG79" s="2502"/>
      <c r="AH79" s="2502"/>
      <c r="AI79" s="2502"/>
    </row>
    <row r="80" spans="1:35" s="2500" customFormat="1" ht="24" hidden="1">
      <c r="A80" s="2508" t="s">
        <v>780</v>
      </c>
      <c r="B80" s="204" t="s">
        <v>2263</v>
      </c>
      <c r="C80" s="227">
        <f ca="1">IF(C79&lt;=0,0,C79/C73)</f>
        <v>165.83333333333334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6"/>
      <c r="I80" s="2503"/>
      <c r="J80" s="2501"/>
      <c r="K80" s="2501"/>
      <c r="L80" s="2501"/>
      <c r="M80" s="2501"/>
      <c r="N80" s="2501"/>
      <c r="O80" s="2501"/>
      <c r="P80" s="2501"/>
      <c r="Q80" s="2501"/>
      <c r="R80" s="2501"/>
      <c r="S80" s="2501"/>
      <c r="T80" s="2501"/>
      <c r="U80" s="2501"/>
      <c r="V80" s="2501"/>
      <c r="W80" s="2501"/>
      <c r="X80" s="2501"/>
      <c r="Y80" s="2501"/>
      <c r="Z80" s="2501"/>
      <c r="AA80" s="2502"/>
      <c r="AB80" s="2502"/>
      <c r="AC80" s="2502"/>
      <c r="AD80" s="2502"/>
      <c r="AE80" s="2502"/>
      <c r="AF80" s="2502"/>
      <c r="AG80" s="2502"/>
      <c r="AH80" s="2502"/>
      <c r="AI80" s="2502"/>
    </row>
    <row r="81" spans="1:35" s="2500" customFormat="1" ht="24.75" hidden="1" thickBot="1">
      <c r="A81" s="2509" t="s">
        <v>781</v>
      </c>
      <c r="B81" s="209" t="s">
        <v>2264</v>
      </c>
      <c r="C81" s="228">
        <f ca="1">ROUND(IF(C79&lt;=0,0,IF(C80&gt;=200%,C79*60%-C73*35%,IF(C80&gt;=100%,C79*50%-C73*15%,IF(C80&gt;=50%,C79*40%-C73*5%,IF(C80&lt;50%,C79*30%,0))))),0)</f>
        <v>9518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3"/>
      <c r="J81" s="2501"/>
      <c r="K81" s="2501"/>
      <c r="L81" s="2501"/>
      <c r="M81" s="2501"/>
      <c r="N81" s="2501"/>
      <c r="O81" s="2501"/>
      <c r="P81" s="2501"/>
      <c r="Q81" s="2501"/>
      <c r="R81" s="2501"/>
      <c r="S81" s="2501"/>
      <c r="T81" s="2501"/>
      <c r="U81" s="2501"/>
      <c r="V81" s="2501"/>
      <c r="W81" s="2501"/>
      <c r="X81" s="2501"/>
      <c r="Y81" s="2501"/>
      <c r="Z81" s="2501"/>
      <c r="AA81" s="2502"/>
      <c r="AB81" s="2502"/>
      <c r="AC81" s="2502"/>
      <c r="AD81" s="2502"/>
      <c r="AE81" s="2502"/>
      <c r="AF81" s="2502"/>
      <c r="AG81" s="2502"/>
      <c r="AH81" s="2502"/>
      <c r="AI81" s="2502"/>
    </row>
    <row r="82" spans="1:35" s="2500" customFormat="1" ht="7.5" hidden="1" customHeight="1">
      <c r="A82" s="732"/>
      <c r="B82" s="733"/>
      <c r="C82" s="7"/>
      <c r="D82" s="7"/>
      <c r="E82" s="733"/>
      <c r="F82" s="733"/>
      <c r="G82" s="733"/>
      <c r="H82" s="734"/>
      <c r="I82" s="2507"/>
      <c r="J82" s="2501"/>
      <c r="K82" s="2501"/>
      <c r="L82" s="2501"/>
      <c r="M82" s="2501"/>
      <c r="N82" s="2501"/>
      <c r="O82" s="2501"/>
      <c r="P82" s="2501"/>
      <c r="Q82" s="2501"/>
      <c r="R82" s="2501"/>
      <c r="S82" s="2501"/>
      <c r="T82" s="2501"/>
      <c r="U82" s="2501"/>
      <c r="V82" s="2501"/>
      <c r="W82" s="2501"/>
      <c r="X82" s="2501"/>
      <c r="Y82" s="2501"/>
      <c r="Z82" s="2501"/>
      <c r="AA82" s="2502"/>
      <c r="AB82" s="2502"/>
      <c r="AC82" s="2502"/>
      <c r="AD82" s="2502"/>
      <c r="AE82" s="2502"/>
      <c r="AF82" s="2502"/>
      <c r="AG82" s="2502"/>
      <c r="AH82" s="2502"/>
      <c r="AI82" s="2502"/>
    </row>
    <row r="83" spans="1:35" s="2500" customFormat="1" ht="15" hidden="1" thickBot="1">
      <c r="A83" s="3163" t="s">
        <v>2265</v>
      </c>
      <c r="B83" s="3164"/>
      <c r="C83" s="3164"/>
      <c r="D83" s="3164"/>
      <c r="E83" s="3164"/>
      <c r="F83" s="3164"/>
      <c r="G83" s="3164"/>
      <c r="H83" s="3164"/>
      <c r="I83" s="2505"/>
      <c r="J83" s="2501"/>
      <c r="K83" s="2501"/>
      <c r="L83" s="2501"/>
      <c r="M83" s="2501"/>
      <c r="N83" s="2501"/>
      <c r="O83" s="2501"/>
      <c r="P83" s="2501"/>
      <c r="Q83" s="2501"/>
      <c r="R83" s="2501"/>
      <c r="S83" s="2501"/>
      <c r="T83" s="2501"/>
      <c r="U83" s="2501"/>
      <c r="V83" s="2501"/>
      <c r="W83" s="2501"/>
      <c r="X83" s="2501"/>
      <c r="Y83" s="2501"/>
      <c r="Z83" s="2501"/>
      <c r="AA83" s="2502"/>
      <c r="AB83" s="2502"/>
      <c r="AC83" s="2502"/>
      <c r="AD83" s="2502"/>
      <c r="AE83" s="2502"/>
      <c r="AF83" s="2502"/>
      <c r="AG83" s="2502"/>
      <c r="AH83" s="2502"/>
      <c r="AI83" s="2502"/>
    </row>
    <row r="84" spans="1:35" s="2500" customFormat="1" ht="14.25" hidden="1">
      <c r="A84" s="3154" t="s">
        <v>2228</v>
      </c>
      <c r="B84" s="3155"/>
      <c r="C84" s="1799"/>
      <c r="D84" s="1799" t="s">
        <v>2229</v>
      </c>
      <c r="E84" s="213" t="s">
        <v>2230</v>
      </c>
      <c r="F84" s="214"/>
      <c r="G84" s="214"/>
      <c r="H84" s="233"/>
      <c r="I84" s="2505"/>
      <c r="J84" s="2501"/>
      <c r="K84" s="2501"/>
      <c r="L84" s="2501"/>
      <c r="M84" s="2501"/>
      <c r="N84" s="2501"/>
      <c r="O84" s="2501"/>
      <c r="P84" s="2501"/>
      <c r="Q84" s="2501"/>
      <c r="R84" s="2501"/>
      <c r="S84" s="2501"/>
      <c r="T84" s="2501"/>
      <c r="U84" s="2501"/>
      <c r="V84" s="2501"/>
      <c r="W84" s="2501"/>
      <c r="X84" s="2501"/>
      <c r="Y84" s="2501"/>
      <c r="Z84" s="2501"/>
      <c r="AA84" s="2502"/>
      <c r="AB84" s="2502"/>
      <c r="AC84" s="2502"/>
      <c r="AD84" s="2502"/>
      <c r="AE84" s="2502"/>
      <c r="AF84" s="2502"/>
      <c r="AG84" s="2502"/>
      <c r="AH84" s="2502"/>
      <c r="AI84" s="2502"/>
    </row>
    <row r="85" spans="1:35" s="2500" customFormat="1" ht="14.25" hidden="1">
      <c r="A85" s="203" t="s">
        <v>775</v>
      </c>
      <c r="B85" s="204" t="s">
        <v>2248</v>
      </c>
      <c r="C85" s="207">
        <f ca="1">ROUND(D45/(1+'数据-取费表'!C42),0)</f>
        <v>16016</v>
      </c>
      <c r="D85" s="200" t="s">
        <v>32</v>
      </c>
      <c r="E85" s="1798"/>
      <c r="F85" s="1792"/>
      <c r="G85" s="1792"/>
      <c r="H85" s="234"/>
      <c r="I85" s="2505"/>
      <c r="J85" s="2501"/>
      <c r="K85" s="2501"/>
      <c r="L85" s="2501"/>
      <c r="M85" s="2501"/>
      <c r="N85" s="2501"/>
      <c r="O85" s="2501"/>
      <c r="P85" s="2501"/>
      <c r="Q85" s="2501"/>
      <c r="R85" s="2501"/>
      <c r="S85" s="2501"/>
      <c r="T85" s="2501"/>
      <c r="U85" s="2501"/>
      <c r="V85" s="2501"/>
      <c r="W85" s="2501"/>
      <c r="X85" s="2501"/>
      <c r="Y85" s="2501"/>
      <c r="Z85" s="2501"/>
      <c r="AA85" s="2502"/>
      <c r="AB85" s="2502"/>
      <c r="AC85" s="2502"/>
      <c r="AD85" s="2502"/>
      <c r="AE85" s="2502"/>
      <c r="AF85" s="2502"/>
      <c r="AG85" s="2502"/>
      <c r="AH85" s="2502"/>
      <c r="AI85" s="2502"/>
    </row>
    <row r="86" spans="1:35" s="2500" customFormat="1" ht="14.25" hidden="1">
      <c r="A86" s="203" t="s">
        <v>772</v>
      </c>
      <c r="B86" s="173" t="s">
        <v>2249</v>
      </c>
      <c r="C86" s="207">
        <f ca="1">IF(H88="仅含出让金",C87+C90+C91+C92+C93+C94,C87+C91+C92+C93+C94)</f>
        <v>96</v>
      </c>
      <c r="D86" s="235"/>
      <c r="E86" s="1798"/>
      <c r="F86" s="1792"/>
      <c r="G86" s="1792"/>
      <c r="H86" s="234"/>
      <c r="I86" s="2505"/>
      <c r="J86" s="2501"/>
      <c r="K86" s="2501"/>
      <c r="L86" s="2501"/>
      <c r="M86" s="2501"/>
      <c r="N86" s="2501"/>
      <c r="O86" s="2501"/>
      <c r="P86" s="2501"/>
      <c r="Q86" s="2501"/>
      <c r="R86" s="2501"/>
      <c r="S86" s="2501"/>
      <c r="T86" s="2501"/>
      <c r="U86" s="2501"/>
      <c r="V86" s="2501"/>
      <c r="W86" s="2501"/>
      <c r="X86" s="2501"/>
      <c r="Y86" s="2501"/>
      <c r="Z86" s="2501"/>
      <c r="AA86" s="2502"/>
      <c r="AB86" s="2502"/>
      <c r="AC86" s="2502"/>
      <c r="AD86" s="2502"/>
      <c r="AE86" s="2502"/>
      <c r="AF86" s="2502"/>
      <c r="AG86" s="2502"/>
      <c r="AH86" s="2502"/>
      <c r="AI86" s="2502"/>
    </row>
    <row r="87" spans="1:35" s="2500" customFormat="1" ht="14.25" hidden="1">
      <c r="A87" s="217" t="s">
        <v>770</v>
      </c>
      <c r="B87" s="198" t="s">
        <v>2266</v>
      </c>
      <c r="C87" s="225">
        <f>C88+C89</f>
        <v>0</v>
      </c>
      <c r="D87" s="226"/>
      <c r="E87" s="1794"/>
      <c r="F87" s="1795"/>
      <c r="G87" s="1795"/>
      <c r="H87" s="1797"/>
      <c r="I87" s="2505"/>
      <c r="J87" s="2501"/>
      <c r="K87" s="2501"/>
      <c r="L87" s="2501"/>
      <c r="M87" s="2501"/>
      <c r="N87" s="2501"/>
      <c r="O87" s="2501"/>
      <c r="P87" s="2501"/>
      <c r="Q87" s="2501"/>
      <c r="R87" s="2501"/>
      <c r="S87" s="2501"/>
      <c r="T87" s="2501"/>
      <c r="U87" s="2501"/>
      <c r="V87" s="2501"/>
      <c r="W87" s="2501"/>
      <c r="X87" s="2501"/>
      <c r="Y87" s="2501"/>
      <c r="Z87" s="2501"/>
      <c r="AA87" s="2502"/>
      <c r="AB87" s="2502"/>
      <c r="AC87" s="2502"/>
      <c r="AD87" s="2502"/>
      <c r="AE87" s="2502"/>
      <c r="AF87" s="2502"/>
      <c r="AG87" s="2502"/>
      <c r="AH87" s="2502"/>
      <c r="AI87" s="2502"/>
    </row>
    <row r="88" spans="1:35" s="2500" customFormat="1" ht="14.25" hidden="1">
      <c r="A88" s="217" t="s">
        <v>776</v>
      </c>
      <c r="B88" s="198" t="s">
        <v>2267</v>
      </c>
      <c r="C88" s="236"/>
      <c r="D88" s="226"/>
      <c r="E88" s="237" t="s">
        <v>2268</v>
      </c>
      <c r="F88" s="1795"/>
      <c r="G88" s="238" t="s">
        <v>2269</v>
      </c>
      <c r="H88" s="2510"/>
      <c r="I88" s="2505"/>
      <c r="J88" s="2501"/>
      <c r="K88" s="2501"/>
      <c r="L88" s="2501"/>
      <c r="M88" s="2501"/>
      <c r="N88" s="2501"/>
      <c r="O88" s="2501"/>
      <c r="P88" s="2501"/>
      <c r="Q88" s="2501"/>
      <c r="R88" s="2501"/>
      <c r="S88" s="2501"/>
      <c r="T88" s="2501"/>
      <c r="U88" s="2501"/>
      <c r="V88" s="2501"/>
      <c r="W88" s="2501"/>
      <c r="X88" s="2501"/>
      <c r="Y88" s="2501"/>
      <c r="Z88" s="2501"/>
      <c r="AA88" s="2502"/>
      <c r="AB88" s="2502"/>
      <c r="AC88" s="2502"/>
      <c r="AD88" s="2502"/>
      <c r="AE88" s="2502"/>
      <c r="AF88" s="2502"/>
      <c r="AG88" s="2502"/>
      <c r="AH88" s="2502"/>
      <c r="AI88" s="2502"/>
    </row>
    <row r="89" spans="1:35" s="2500" customFormat="1" ht="14.25" hidden="1">
      <c r="A89" s="217" t="s">
        <v>777</v>
      </c>
      <c r="B89" s="198" t="s">
        <v>2257</v>
      </c>
      <c r="C89" s="225">
        <f>ROUND(C88*D89,0)</f>
        <v>0</v>
      </c>
      <c r="D89" s="226">
        <f>'数据-取费表'!B48+'数据-取费表'!B49</f>
        <v>3.0499999999999999E-2</v>
      </c>
      <c r="E89" s="237" t="s">
        <v>2270</v>
      </c>
      <c r="F89" s="1795"/>
      <c r="G89" s="1795"/>
      <c r="H89" s="1797"/>
      <c r="I89" s="2505"/>
      <c r="J89" s="2501"/>
      <c r="K89" s="2501"/>
      <c r="L89" s="2501"/>
      <c r="M89" s="2501"/>
      <c r="N89" s="2501"/>
      <c r="O89" s="2501"/>
      <c r="P89" s="2501"/>
      <c r="Q89" s="2501"/>
      <c r="R89" s="2501"/>
      <c r="S89" s="2501"/>
      <c r="T89" s="2501"/>
      <c r="U89" s="2501"/>
      <c r="V89" s="2501"/>
      <c r="W89" s="2501"/>
      <c r="X89" s="2501"/>
      <c r="Y89" s="2501"/>
      <c r="Z89" s="2501"/>
      <c r="AA89" s="2502"/>
      <c r="AB89" s="2502"/>
      <c r="AC89" s="2502"/>
      <c r="AD89" s="2502"/>
      <c r="AE89" s="2502"/>
      <c r="AF89" s="2502"/>
      <c r="AG89" s="2502"/>
      <c r="AH89" s="2502"/>
      <c r="AI89" s="2502"/>
    </row>
    <row r="90" spans="1:35" s="2500" customFormat="1" ht="14.25" hidden="1">
      <c r="A90" s="217" t="s">
        <v>771</v>
      </c>
      <c r="B90" s="198" t="s">
        <v>2271</v>
      </c>
      <c r="C90" s="236"/>
      <c r="D90" s="226"/>
      <c r="E90" s="237" t="str">
        <f>IF(H88="-","土地取得成本中已包含该笔费用"," ")</f>
        <v xml:space="preserve"> </v>
      </c>
      <c r="F90" s="1795"/>
      <c r="G90" s="1795"/>
      <c r="H90" s="1797"/>
      <c r="I90" s="2505"/>
      <c r="J90" s="2501"/>
      <c r="K90" s="2501"/>
      <c r="L90" s="2501"/>
      <c r="M90" s="2501"/>
      <c r="N90" s="2501"/>
      <c r="O90" s="2501"/>
      <c r="P90" s="2501"/>
      <c r="Q90" s="2501"/>
      <c r="R90" s="2501"/>
      <c r="S90" s="2501"/>
      <c r="T90" s="2501"/>
      <c r="U90" s="2501"/>
      <c r="V90" s="2501"/>
      <c r="W90" s="2501"/>
      <c r="X90" s="2501"/>
      <c r="Y90" s="2501"/>
      <c r="Z90" s="2501"/>
      <c r="AA90" s="2502"/>
      <c r="AB90" s="2502"/>
      <c r="AC90" s="2502"/>
      <c r="AD90" s="2502"/>
      <c r="AE90" s="2502"/>
      <c r="AF90" s="2502"/>
      <c r="AG90" s="2502"/>
      <c r="AH90" s="2502"/>
      <c r="AI90" s="2502"/>
    </row>
    <row r="91" spans="1:35" s="2500" customFormat="1" ht="27.75" hidden="1" customHeight="1">
      <c r="A91" s="217" t="s">
        <v>2272</v>
      </c>
      <c r="B91" s="198" t="s">
        <v>2273</v>
      </c>
      <c r="C91" s="225">
        <f>IF(H91="——",成本法!C33,I91)</f>
        <v>0</v>
      </c>
      <c r="D91" s="226"/>
      <c r="E91" s="3151" t="s">
        <v>2274</v>
      </c>
      <c r="F91" s="3152"/>
      <c r="G91" s="3152"/>
      <c r="H91" s="2511" t="s">
        <v>2275</v>
      </c>
      <c r="I91" s="2512"/>
      <c r="J91" s="2501"/>
      <c r="K91" s="2501"/>
      <c r="L91" s="2501"/>
      <c r="M91" s="2501"/>
      <c r="N91" s="2501"/>
      <c r="O91" s="2501"/>
      <c r="P91" s="2501"/>
      <c r="Q91" s="2501"/>
      <c r="R91" s="2501"/>
      <c r="S91" s="2501"/>
      <c r="T91" s="2501"/>
      <c r="U91" s="2501"/>
      <c r="V91" s="2501"/>
      <c r="W91" s="2501"/>
      <c r="X91" s="2501"/>
      <c r="Y91" s="2501"/>
      <c r="Z91" s="2501"/>
      <c r="AA91" s="2502"/>
      <c r="AB91" s="2502"/>
      <c r="AC91" s="2502"/>
      <c r="AD91" s="2502"/>
      <c r="AE91" s="2502"/>
      <c r="AF91" s="2502"/>
      <c r="AG91" s="2502"/>
      <c r="AH91" s="2502"/>
      <c r="AI91" s="2502"/>
    </row>
    <row r="92" spans="1:35" s="2500" customFormat="1" ht="25.5" hidden="1" customHeight="1">
      <c r="A92" s="217" t="s">
        <v>2276</v>
      </c>
      <c r="B92" s="198" t="s">
        <v>2277</v>
      </c>
      <c r="C92" s="225">
        <f>ROUND((C87+C90+C91)*D92,0)</f>
        <v>0</v>
      </c>
      <c r="D92" s="226">
        <v>0.1</v>
      </c>
      <c r="E92" s="3151" t="s">
        <v>2278</v>
      </c>
      <c r="F92" s="3152"/>
      <c r="G92" s="3152"/>
      <c r="H92" s="3153"/>
      <c r="I92" s="2505"/>
      <c r="J92" s="2501"/>
      <c r="K92" s="2501"/>
      <c r="L92" s="2501"/>
      <c r="M92" s="2501"/>
      <c r="N92" s="2501"/>
      <c r="O92" s="2501"/>
      <c r="P92" s="2501"/>
      <c r="Q92" s="2501"/>
      <c r="R92" s="2501"/>
      <c r="S92" s="2501"/>
      <c r="T92" s="2501"/>
      <c r="U92" s="2501"/>
      <c r="V92" s="2501"/>
      <c r="W92" s="2501"/>
      <c r="X92" s="2501"/>
      <c r="Y92" s="2501"/>
      <c r="Z92" s="2501"/>
      <c r="AA92" s="2502"/>
      <c r="AB92" s="2502"/>
      <c r="AC92" s="2502"/>
      <c r="AD92" s="2502"/>
      <c r="AE92" s="2502"/>
      <c r="AF92" s="2502"/>
      <c r="AG92" s="2502"/>
      <c r="AH92" s="2502"/>
      <c r="AI92" s="2502"/>
    </row>
    <row r="93" spans="1:35" s="2500" customFormat="1" ht="25.5" hidden="1" customHeight="1">
      <c r="A93" s="217" t="s">
        <v>2279</v>
      </c>
      <c r="B93" s="198" t="s">
        <v>2260</v>
      </c>
      <c r="C93" s="225">
        <f ca="1">ROUND(D45*D93/(1+'数据-取费表'!C42),0)</f>
        <v>96</v>
      </c>
      <c r="D93" s="226">
        <f>'数据-取费表'!B43</f>
        <v>6.000000000000001E-3</v>
      </c>
      <c r="E93" s="3151" t="s">
        <v>2261</v>
      </c>
      <c r="F93" s="3152"/>
      <c r="G93" s="3152"/>
      <c r="H93" s="3153"/>
      <c r="I93" s="2505"/>
      <c r="J93" s="2501"/>
      <c r="K93" s="2501"/>
      <c r="L93" s="2501"/>
      <c r="M93" s="2501"/>
      <c r="N93" s="2501"/>
      <c r="O93" s="2501"/>
      <c r="P93" s="2501"/>
      <c r="Q93" s="2501"/>
      <c r="R93" s="2501"/>
      <c r="S93" s="2501"/>
      <c r="T93" s="2501"/>
      <c r="U93" s="2501"/>
      <c r="V93" s="2501"/>
      <c r="W93" s="2501"/>
      <c r="X93" s="2501"/>
      <c r="Y93" s="2501"/>
      <c r="Z93" s="2501"/>
      <c r="AA93" s="2502"/>
      <c r="AB93" s="2502"/>
      <c r="AC93" s="2502"/>
      <c r="AD93" s="2502"/>
      <c r="AE93" s="2502"/>
      <c r="AF93" s="2502"/>
      <c r="AG93" s="2502"/>
      <c r="AH93" s="2502"/>
      <c r="AI93" s="2502"/>
    </row>
    <row r="94" spans="1:35" s="2500" customFormat="1" ht="36.75" hidden="1" customHeight="1">
      <c r="A94" s="217" t="s">
        <v>2280</v>
      </c>
      <c r="B94" s="198" t="s">
        <v>2281</v>
      </c>
      <c r="C94" s="236">
        <f>ROUND((C87+C90+C91)*D94,0)</f>
        <v>0</v>
      </c>
      <c r="D94" s="226">
        <v>0.2</v>
      </c>
      <c r="E94" s="3199" t="s">
        <v>2282</v>
      </c>
      <c r="F94" s="3200"/>
      <c r="G94" s="3200"/>
      <c r="H94" s="3201"/>
      <c r="I94" s="2505"/>
      <c r="J94" s="2501"/>
      <c r="K94" s="2501"/>
      <c r="L94" s="2501"/>
      <c r="M94" s="2501"/>
      <c r="N94" s="2501"/>
      <c r="O94" s="2501"/>
      <c r="P94" s="2501"/>
      <c r="Q94" s="2501"/>
      <c r="R94" s="2501"/>
      <c r="S94" s="2501"/>
      <c r="T94" s="2501"/>
      <c r="U94" s="2501"/>
      <c r="V94" s="2501"/>
      <c r="W94" s="2501"/>
      <c r="X94" s="2501"/>
      <c r="Y94" s="2501"/>
      <c r="Z94" s="2501"/>
      <c r="AA94" s="2502"/>
      <c r="AB94" s="2502"/>
      <c r="AC94" s="2502"/>
      <c r="AD94" s="2502"/>
      <c r="AE94" s="2502"/>
      <c r="AF94" s="2502"/>
      <c r="AG94" s="2502"/>
      <c r="AH94" s="2502"/>
      <c r="AI94" s="2502"/>
    </row>
    <row r="95" spans="1:35" s="2500" customFormat="1" ht="14.25" hidden="1">
      <c r="A95" s="2508" t="s">
        <v>779</v>
      </c>
      <c r="B95" s="204" t="s">
        <v>2262</v>
      </c>
      <c r="C95" s="207">
        <f ca="1">ROUND(C85-C86,0)</f>
        <v>15920</v>
      </c>
      <c r="D95" s="200" t="s">
        <v>32</v>
      </c>
      <c r="E95" s="1798"/>
      <c r="F95" s="1792"/>
      <c r="G95" s="1792"/>
      <c r="H95" s="234"/>
      <c r="I95" s="2505"/>
      <c r="J95" s="2501"/>
      <c r="K95" s="2501"/>
      <c r="L95" s="2501"/>
      <c r="M95" s="2501"/>
      <c r="N95" s="2501"/>
      <c r="O95" s="2501"/>
      <c r="P95" s="2501"/>
      <c r="Q95" s="2501"/>
      <c r="R95" s="2501"/>
      <c r="S95" s="2501"/>
      <c r="T95" s="2501"/>
      <c r="U95" s="2501"/>
      <c r="V95" s="2501"/>
      <c r="W95" s="2501"/>
      <c r="X95" s="2501"/>
      <c r="Y95" s="2501"/>
      <c r="Z95" s="2501"/>
      <c r="AA95" s="2502"/>
      <c r="AB95" s="2502"/>
      <c r="AC95" s="2502"/>
      <c r="AD95" s="2502"/>
      <c r="AE95" s="2502"/>
      <c r="AF95" s="2502"/>
      <c r="AG95" s="2502"/>
      <c r="AH95" s="2502"/>
      <c r="AI95" s="2502"/>
    </row>
    <row r="96" spans="1:35" s="2500" customFormat="1" ht="24" hidden="1">
      <c r="A96" s="2508" t="s">
        <v>780</v>
      </c>
      <c r="B96" s="204" t="s">
        <v>2263</v>
      </c>
      <c r="C96" s="227">
        <f ca="1">IF(C95&lt;=0,0,C95/C86)</f>
        <v>165.83333333333334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4"/>
      <c r="I96" s="2505"/>
      <c r="J96" s="2501"/>
      <c r="K96" s="2501"/>
      <c r="L96" s="2501"/>
      <c r="M96" s="2501"/>
      <c r="N96" s="2501"/>
      <c r="O96" s="2501"/>
      <c r="P96" s="2501"/>
      <c r="Q96" s="2501"/>
      <c r="R96" s="2501"/>
      <c r="S96" s="2501"/>
      <c r="T96" s="2501"/>
      <c r="U96" s="2501"/>
      <c r="V96" s="2501"/>
      <c r="W96" s="2501"/>
      <c r="X96" s="2501"/>
      <c r="Y96" s="2501"/>
      <c r="Z96" s="2501"/>
      <c r="AA96" s="2502"/>
      <c r="AB96" s="2502"/>
      <c r="AC96" s="2502"/>
      <c r="AD96" s="2502"/>
      <c r="AE96" s="2502"/>
      <c r="AF96" s="2502"/>
      <c r="AG96" s="2502"/>
      <c r="AH96" s="2502"/>
      <c r="AI96" s="2502"/>
    </row>
    <row r="97" spans="1:35" s="2500" customFormat="1" ht="24.75" hidden="1" thickBot="1">
      <c r="A97" s="2509" t="s">
        <v>781</v>
      </c>
      <c r="B97" s="209" t="s">
        <v>2264</v>
      </c>
      <c r="C97" s="228">
        <f ca="1">ROUND(IF(C95&lt;=0,0,IF(C96&gt;=200%,C95*60%-C86*35%,IF(C96&gt;=100%,C95*50%-C86*15%,IF(C96&gt;=50%,C95*40%-C86*5%,IF(C96&lt;50%,C95*30%,0))))),0)</f>
        <v>9518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5"/>
      <c r="J97" s="2501"/>
      <c r="K97" s="2501"/>
      <c r="L97" s="2501"/>
      <c r="M97" s="2501"/>
      <c r="N97" s="2501"/>
      <c r="O97" s="2501"/>
      <c r="P97" s="2501"/>
      <c r="Q97" s="2501"/>
      <c r="R97" s="2501"/>
      <c r="S97" s="2501"/>
      <c r="T97" s="2501"/>
      <c r="U97" s="2501"/>
      <c r="V97" s="2501"/>
      <c r="W97" s="2501"/>
      <c r="X97" s="2501"/>
      <c r="Y97" s="2501"/>
      <c r="Z97" s="2501"/>
      <c r="AA97" s="2502"/>
      <c r="AB97" s="2502"/>
      <c r="AC97" s="2502"/>
      <c r="AD97" s="2502"/>
      <c r="AE97" s="2502"/>
      <c r="AF97" s="2502"/>
      <c r="AG97" s="2502"/>
      <c r="AH97" s="2502"/>
      <c r="AI97" s="2502"/>
    </row>
    <row r="98" spans="1:35" ht="21.75" hidden="1" customHeight="1">
      <c r="A98" s="2489"/>
      <c r="B98" s="2411"/>
      <c r="C98" s="2411"/>
      <c r="D98" s="2411"/>
      <c r="E98" s="2162"/>
      <c r="F98" s="2162"/>
      <c r="G98" s="2162"/>
      <c r="H98" s="2161"/>
      <c r="I98" s="138"/>
    </row>
    <row r="99" spans="1:35" ht="21.75" customHeight="1" thickBot="1">
      <c r="A99" s="2467" t="s">
        <v>2283</v>
      </c>
      <c r="B99" s="2411"/>
      <c r="C99" s="2411"/>
      <c r="D99" s="2411"/>
      <c r="E99" s="2162"/>
      <c r="F99" s="2162"/>
      <c r="G99" s="2162"/>
      <c r="H99" s="2161"/>
      <c r="I99" s="138"/>
    </row>
    <row r="100" spans="1:35" ht="18.75" customHeight="1">
      <c r="A100" s="3103" t="s">
        <v>2284</v>
      </c>
      <c r="B100" s="3104"/>
      <c r="C100" s="3104"/>
      <c r="D100" s="3135"/>
      <c r="E100" s="3104" t="s">
        <v>2285</v>
      </c>
      <c r="F100" s="3104"/>
      <c r="G100" s="3104"/>
      <c r="H100" s="3135"/>
      <c r="I100" s="138"/>
    </row>
    <row r="101" spans="1:35" ht="18.75" customHeight="1">
      <c r="A101" s="3143" t="s">
        <v>2286</v>
      </c>
      <c r="B101" s="3144"/>
      <c r="C101" s="735" t="str">
        <f>C4</f>
        <v>典型户型修正</v>
      </c>
      <c r="D101" s="736" t="str">
        <f>D4</f>
        <v>收益法（汇总）</v>
      </c>
      <c r="E101" s="3115" t="s">
        <v>2287</v>
      </c>
      <c r="F101" s="3116"/>
      <c r="G101" s="2513" t="s">
        <v>2288</v>
      </c>
      <c r="H101" s="1046">
        <f ca="1">H118</f>
        <v>16817</v>
      </c>
      <c r="I101" s="138"/>
    </row>
    <row r="102" spans="1:35" ht="18.75" customHeight="1">
      <c r="A102" s="3145" t="s">
        <v>2289</v>
      </c>
      <c r="B102" s="2513" t="s">
        <v>2288</v>
      </c>
      <c r="C102" s="735">
        <f ca="1">C19</f>
        <v>18222</v>
      </c>
      <c r="D102" s="736">
        <f ca="1">D19</f>
        <v>13538</v>
      </c>
      <c r="E102" s="3115"/>
      <c r="F102" s="3116"/>
      <c r="G102" s="2513" t="s">
        <v>2290</v>
      </c>
      <c r="H102" s="371">
        <f ca="1">I118</f>
        <v>40392</v>
      </c>
      <c r="I102" s="138"/>
    </row>
    <row r="103" spans="1:35" ht="42.75" customHeight="1">
      <c r="A103" s="3145"/>
      <c r="B103" s="2513" t="s">
        <v>2290</v>
      </c>
      <c r="C103" s="737">
        <f ca="1">C20</f>
        <v>44684</v>
      </c>
      <c r="D103" s="738">
        <f ca="1">D20</f>
        <v>32516</v>
      </c>
      <c r="E103" s="3109" t="s">
        <v>2291</v>
      </c>
      <c r="F103" s="3110"/>
      <c r="G103" s="2514" t="s">
        <v>2292</v>
      </c>
      <c r="H103" s="1046">
        <f>IF(D36="正常操作",H104+H105+H106,H105+H106)</f>
        <v>0</v>
      </c>
      <c r="I103" s="138"/>
    </row>
    <row r="104" spans="1:35" ht="18.75" customHeight="1">
      <c r="A104" s="3145" t="s">
        <v>2293</v>
      </c>
      <c r="B104" s="2515" t="s">
        <v>2288</v>
      </c>
      <c r="C104" s="739">
        <f ca="1">H118</f>
        <v>16817</v>
      </c>
      <c r="D104" s="740"/>
      <c r="E104" s="2262" t="s">
        <v>2294</v>
      </c>
      <c r="F104" s="2253"/>
      <c r="G104" s="2514" t="s">
        <v>2292</v>
      </c>
      <c r="H104" s="1047">
        <f>IF(D36="同一抵押权人同一抵押物续贷",C36&amp;"（未扣减，详见特别提示）",C36)</f>
        <v>0</v>
      </c>
      <c r="I104" s="138"/>
    </row>
    <row r="105" spans="1:35" ht="18.75" customHeight="1" thickBot="1">
      <c r="A105" s="3157"/>
      <c r="B105" s="2516" t="s">
        <v>2290</v>
      </c>
      <c r="C105" s="741">
        <f ca="1">I118</f>
        <v>40392</v>
      </c>
      <c r="D105" s="742"/>
      <c r="E105" s="2262" t="s">
        <v>2295</v>
      </c>
      <c r="F105" s="2253"/>
      <c r="G105" s="2514" t="s">
        <v>2292</v>
      </c>
      <c r="H105" s="1047">
        <f>C37</f>
        <v>0</v>
      </c>
      <c r="I105" s="138"/>
    </row>
    <row r="106" spans="1:35" ht="18.75" customHeight="1">
      <c r="A106" s="2411" t="s">
        <v>2296</v>
      </c>
      <c r="B106" s="2411"/>
      <c r="C106" s="2411"/>
      <c r="D106" s="2411"/>
      <c r="E106" s="2517" t="s">
        <v>2297</v>
      </c>
      <c r="F106" s="2253"/>
      <c r="G106" s="2514" t="s">
        <v>2292</v>
      </c>
      <c r="H106" s="1047">
        <f>C38</f>
        <v>0</v>
      </c>
      <c r="I106" s="138"/>
    </row>
    <row r="107" spans="1:35" ht="18.75" customHeight="1">
      <c r="A107" s="138"/>
      <c r="B107" s="138"/>
      <c r="C107" s="138"/>
      <c r="D107" s="138"/>
      <c r="E107" s="3146" t="str">
        <f>IF(项目基本情况!E8="已注销","——","3.房地产抵押价值")</f>
        <v>3.房地产抵押价值</v>
      </c>
      <c r="F107" s="3116"/>
      <c r="G107" s="2513" t="s">
        <v>2288</v>
      </c>
      <c r="H107" s="1046">
        <f ca="1">IF(E107="——","——",H101-H103)</f>
        <v>16817</v>
      </c>
      <c r="I107" s="138"/>
    </row>
    <row r="108" spans="1:35" ht="18.75" customHeight="1" thickBot="1">
      <c r="A108" s="138"/>
      <c r="B108" s="138"/>
      <c r="C108" s="138"/>
      <c r="D108" s="138"/>
      <c r="E108" s="3146"/>
      <c r="F108" s="3116"/>
      <c r="G108" s="2513" t="s">
        <v>2290</v>
      </c>
      <c r="H108" s="371">
        <f ca="1">ROUND(H107*10000/'数据-汇总表'!E3,0)</f>
        <v>40392</v>
      </c>
      <c r="I108" s="138"/>
    </row>
    <row r="109" spans="1:35" ht="18.75" hidden="1" customHeight="1">
      <c r="A109" s="138"/>
      <c r="B109" s="138"/>
      <c r="C109" s="138"/>
      <c r="D109" s="138"/>
      <c r="E109" s="3146" t="str">
        <f>IF(项目基本情况!E8="已注销及未注销","4.抵押担保权已注销时的房地产抵押价值",IF(项目基本情况!E8="已注销","3.抵押担保权已注销时的房地产抵押价值","——"))</f>
        <v>——</v>
      </c>
      <c r="F109" s="3116"/>
      <c r="G109" s="2513" t="s">
        <v>2288</v>
      </c>
      <c r="H109" s="348" t="str">
        <f>IF(E109="——","——",H101-H105-H106)</f>
        <v>——</v>
      </c>
      <c r="I109" s="138"/>
    </row>
    <row r="110" spans="1:35" ht="18.75" hidden="1" customHeight="1">
      <c r="A110" s="138"/>
      <c r="B110" s="138"/>
      <c r="C110" s="138"/>
      <c r="D110" s="138"/>
      <c r="E110" s="3146"/>
      <c r="F110" s="3116"/>
      <c r="G110" s="2513" t="s">
        <v>2290</v>
      </c>
      <c r="H110" s="371" t="str">
        <f>IF(H109="——","——",ROUND(H109*10000/'数据-汇总表'!E3,0))</f>
        <v>——</v>
      </c>
      <c r="I110" s="138"/>
    </row>
    <row r="111" spans="1:35" ht="18.75" hidden="1" customHeight="1">
      <c r="A111" s="138"/>
      <c r="B111" s="138"/>
      <c r="C111" s="138"/>
      <c r="D111" s="138"/>
      <c r="E111" s="3147" t="str">
        <f>IF(项目基本情况!E9="抵押净值",IF(OR(项目基本情况!E8="已注销",项目基本情况!E8="房地产抵押价值"),"4.抵押净值","5.抵押净值"),"——")</f>
        <v>——</v>
      </c>
      <c r="F111" s="3148"/>
      <c r="G111" s="2513" t="s">
        <v>2288</v>
      </c>
      <c r="H111" s="1046" t="str">
        <f>IF(E111="——","——",N59)</f>
        <v>——</v>
      </c>
      <c r="I111" s="138"/>
    </row>
    <row r="112" spans="1:35" ht="18.75" hidden="1" customHeight="1" thickBot="1">
      <c r="A112" s="138"/>
      <c r="B112" s="138"/>
      <c r="C112" s="138"/>
      <c r="D112" s="138"/>
      <c r="E112" s="3149"/>
      <c r="F112" s="3150"/>
      <c r="G112" s="2518" t="s">
        <v>2290</v>
      </c>
      <c r="H112" s="789" t="str">
        <f>IF(E111="——","——",N61)</f>
        <v>——</v>
      </c>
      <c r="I112" s="138"/>
    </row>
    <row r="113" spans="1:11" ht="18.75" customHeight="1">
      <c r="A113" s="138"/>
      <c r="B113" s="138"/>
      <c r="C113" s="138"/>
      <c r="D113" s="138"/>
      <c r="E113" s="3158" t="s">
        <v>2296</v>
      </c>
      <c r="F113" s="3158"/>
      <c r="G113" s="3158"/>
      <c r="H113" s="3158"/>
      <c r="I113" s="138"/>
    </row>
    <row r="114" spans="1:11" ht="3.75" customHeight="1">
      <c r="A114" s="2411"/>
      <c r="B114" s="2411"/>
      <c r="C114" s="2411"/>
      <c r="D114" s="2411"/>
      <c r="E114" s="2489"/>
      <c r="F114" s="2489"/>
      <c r="G114" s="2489"/>
      <c r="H114" s="2489"/>
      <c r="I114" s="2411"/>
    </row>
    <row r="115" spans="1:11" ht="18.75" customHeight="1">
      <c r="A115" s="3171" t="s">
        <v>2298</v>
      </c>
      <c r="B115" s="3172"/>
      <c r="C115" s="3172"/>
      <c r="D115" s="3172"/>
      <c r="E115" s="3172"/>
      <c r="F115" s="3172"/>
      <c r="G115" s="3172"/>
      <c r="H115" s="3172"/>
      <c r="I115" s="3173"/>
    </row>
    <row r="116" spans="1:11" ht="27" customHeight="1">
      <c r="A116" s="3082" t="s">
        <v>2299</v>
      </c>
      <c r="B116" s="3125" t="s">
        <v>3167</v>
      </c>
      <c r="C116" s="3125" t="s">
        <v>3211</v>
      </c>
      <c r="D116" s="3131" t="s">
        <v>2300</v>
      </c>
      <c r="E116" s="3132"/>
      <c r="F116" s="3167" t="s">
        <v>3212</v>
      </c>
      <c r="G116" s="3167"/>
      <c r="H116" s="3082" t="s">
        <v>2301</v>
      </c>
      <c r="I116" s="3082"/>
    </row>
    <row r="117" spans="1:11" ht="18.75" customHeight="1">
      <c r="A117" s="3082"/>
      <c r="B117" s="3126"/>
      <c r="C117" s="3126"/>
      <c r="D117" s="1793" t="s">
        <v>2302</v>
      </c>
      <c r="E117" s="1793" t="s">
        <v>2303</v>
      </c>
      <c r="F117" s="1793" t="s">
        <v>2302</v>
      </c>
      <c r="G117" s="1793" t="s">
        <v>2304</v>
      </c>
      <c r="H117" s="1793" t="s">
        <v>2302</v>
      </c>
      <c r="I117" s="1793" t="s">
        <v>2304</v>
      </c>
    </row>
    <row r="118" spans="1:11" ht="24.75" customHeight="1">
      <c r="A118" s="2519" t="str">
        <f>项目基本情况!S2</f>
        <v>北京市丰台区马家堡东路168号院6号楼房地产</v>
      </c>
      <c r="B118" s="1793">
        <f>M18</f>
        <v>4163.47</v>
      </c>
      <c r="C118" s="1793">
        <f>M19</f>
        <v>1606.66</v>
      </c>
      <c r="D118" s="1793">
        <f ca="1">ROUND(IF(D32="总价",C34,E118*B118/10000),0)</f>
        <v>15161</v>
      </c>
      <c r="E118" s="1793">
        <f ca="1">ROUND(IF(C33="自定义",IF(D32="楼面单价",C34,D118*10000/B118),I118-G118),0)</f>
        <v>36414</v>
      </c>
      <c r="F118" s="1793">
        <f ca="1">ROUND(IF(D32="总价",C35,G118*B118/10000),0)</f>
        <v>1656</v>
      </c>
      <c r="G118" s="1793">
        <f ca="1">ROUND(IF(D32="楼面单价",C35,F118*10000/B118),0)</f>
        <v>3977</v>
      </c>
      <c r="H118" s="1793">
        <f ca="1">ROUND(IF(D32="总价",C32,I118*B118/10000),0)</f>
        <v>16817</v>
      </c>
      <c r="I118" s="1793">
        <f ca="1">ROUND(IF(D32="楼面单价",C32,H118*10000/B118),0)</f>
        <v>40392</v>
      </c>
    </row>
    <row r="119" spans="1:11" ht="18.75" customHeight="1">
      <c r="A119" s="3082" t="s">
        <v>2305</v>
      </c>
      <c r="B119" s="3082"/>
      <c r="C119" s="3082"/>
      <c r="D119" s="3127" t="str">
        <f ca="1">NUMBERSTRING(INT(D118*10000),2)&amp;"元整"</f>
        <v>壹亿伍仟壹佰陆拾壹万元整</v>
      </c>
      <c r="E119" s="3128"/>
      <c r="F119" s="3127" t="str">
        <f ca="1">NUMBERSTRING(INT(F118*10000),2)&amp;"元整"</f>
        <v>壹仟陆佰伍拾陆万元整</v>
      </c>
      <c r="G119" s="3128"/>
      <c r="H119" s="3127" t="str">
        <f ca="1">NUMBERSTRING(INT(H118*10000),2)&amp;"元整"</f>
        <v>壹亿陆仟捌佰壹拾柒万元整</v>
      </c>
      <c r="I119" s="3128"/>
    </row>
    <row r="120" spans="1:11" ht="18.75" customHeight="1">
      <c r="A120" s="3122" t="str">
        <f>IF(项目基本情况!B9="房地产市场价值","",MID(E103,3,LEN(E103)-2))</f>
        <v>估价师知悉的法定优先受偿款</v>
      </c>
      <c r="B120" s="3123"/>
      <c r="C120" s="3124"/>
      <c r="D120" s="3122">
        <f>H103</f>
        <v>0</v>
      </c>
      <c r="E120" s="3123"/>
      <c r="F120" s="3123"/>
      <c r="G120" s="3123"/>
      <c r="H120" s="3123"/>
      <c r="I120" s="3124"/>
      <c r="K120" s="2416" t="str">
        <f>IF(D120=0,"故，本次评估不存在"&amp;A120,"故，本次评估"&amp;A120&amp;"为人民币"&amp;D120&amp;"万元整。")</f>
        <v>故，本次评估不存在估价师知悉的法定优先受偿款</v>
      </c>
    </row>
    <row r="121" spans="1:11" ht="18.75" customHeight="1">
      <c r="A121" s="3168" t="s">
        <v>2305</v>
      </c>
      <c r="B121" s="3169"/>
      <c r="C121" s="3170"/>
      <c r="D121" s="3127" t="str">
        <f>IF(D120=0,"零元整",NUMBERSTRING(INT(D120*10000),2)&amp;"元整")</f>
        <v>零元整</v>
      </c>
      <c r="E121" s="3129"/>
      <c r="F121" s="3129"/>
      <c r="G121" s="3129"/>
      <c r="H121" s="3129"/>
      <c r="I121" s="3128"/>
    </row>
    <row r="122" spans="1:11" ht="18.75" customHeight="1">
      <c r="A122" s="3133" t="str">
        <f>IF(项目基本情况!B9="房地产市场价值","",MID(E107,3,LEN(E107)-2))</f>
        <v>房地产抵押价值</v>
      </c>
      <c r="B122" s="3133"/>
      <c r="C122" s="3133"/>
      <c r="D122" s="3122">
        <f ca="1">H107</f>
        <v>16817</v>
      </c>
      <c r="E122" s="3123"/>
      <c r="F122" s="3123"/>
      <c r="G122" s="3123"/>
      <c r="H122" s="3123"/>
      <c r="I122" s="3124"/>
    </row>
    <row r="123" spans="1:11" ht="18.75" customHeight="1">
      <c r="A123" s="3082" t="s">
        <v>2305</v>
      </c>
      <c r="B123" s="3082"/>
      <c r="C123" s="3082"/>
      <c r="D123" s="3127" t="str">
        <f ca="1">NUMBERSTRING(INT(D122*10000),2)&amp;"元整"</f>
        <v>壹亿陆仟捌佰壹拾柒万元整</v>
      </c>
      <c r="E123" s="3129"/>
      <c r="F123" s="3129"/>
      <c r="G123" s="3129"/>
      <c r="H123" s="3129"/>
      <c r="I123" s="3128"/>
    </row>
    <row r="124" spans="1:11" ht="18.75" customHeight="1">
      <c r="A124" s="3133" t="str">
        <f>IF(项目基本情况!B9="房地产市场价值","",MID(E109,3,LEN(E109)-2))</f>
        <v/>
      </c>
      <c r="B124" s="3133"/>
      <c r="C124" s="3133"/>
      <c r="D124" s="3122" t="str">
        <f>H109</f>
        <v>——</v>
      </c>
      <c r="E124" s="3123"/>
      <c r="F124" s="3123"/>
      <c r="G124" s="3123"/>
      <c r="H124" s="3123"/>
      <c r="I124" s="3124"/>
    </row>
    <row r="125" spans="1:11" ht="18.75" customHeight="1">
      <c r="A125" s="3082" t="s">
        <v>2305</v>
      </c>
      <c r="B125" s="3082"/>
      <c r="C125" s="3082"/>
      <c r="D125" s="3127" t="e">
        <f>NUMBERSTRING(INT(D124*10000),2)&amp;"元整"</f>
        <v>#VALUE!</v>
      </c>
      <c r="E125" s="3129"/>
      <c r="F125" s="3129"/>
      <c r="G125" s="3129"/>
      <c r="H125" s="3129"/>
      <c r="I125" s="3128"/>
    </row>
    <row r="126" spans="1:11" ht="18.75" customHeight="1">
      <c r="A126" s="3133" t="str">
        <f>IF(项目基本情况!B9="房地产市场价值","",MID(E111,3,LEN(E111)-2))</f>
        <v/>
      </c>
      <c r="B126" s="3133"/>
      <c r="C126" s="3133"/>
      <c r="D126" s="3122" t="str">
        <f>H111</f>
        <v>——</v>
      </c>
      <c r="E126" s="3123"/>
      <c r="F126" s="3123"/>
      <c r="G126" s="3123"/>
      <c r="H126" s="3123"/>
      <c r="I126" s="3124"/>
    </row>
    <row r="127" spans="1:11" ht="18.75" customHeight="1">
      <c r="A127" s="3082" t="s">
        <v>2305</v>
      </c>
      <c r="B127" s="3082"/>
      <c r="C127" s="3082"/>
      <c r="D127" s="3127" t="e">
        <f>NUMBERSTRING(INT(D126*10000),2)&amp;"元整"</f>
        <v>#VALUE!</v>
      </c>
      <c r="E127" s="3129"/>
      <c r="F127" s="3129"/>
      <c r="G127" s="3129"/>
      <c r="H127" s="3129"/>
      <c r="I127" s="3128"/>
    </row>
    <row r="128" spans="1:11" ht="21.75" customHeight="1">
      <c r="A128" s="3130" t="s">
        <v>2306</v>
      </c>
      <c r="B128" s="3130"/>
      <c r="C128" s="3130"/>
      <c r="D128" s="3130"/>
      <c r="E128" s="3130"/>
      <c r="F128" s="3130"/>
      <c r="G128" s="3130"/>
      <c r="H128" s="3130"/>
      <c r="I128" s="3130"/>
    </row>
    <row r="129" spans="1:35" ht="21.75" customHeight="1">
      <c r="A129" s="2520" t="s">
        <v>2307</v>
      </c>
      <c r="B129" s="2521"/>
      <c r="C129" s="2522" t="s">
        <v>2308</v>
      </c>
      <c r="D129" s="2523"/>
      <c r="E129" s="2523"/>
      <c r="F129" s="2523"/>
      <c r="G129" s="2523"/>
      <c r="H129" s="2524"/>
      <c r="I129" s="2525"/>
    </row>
    <row r="130" spans="1:35" ht="21.75" customHeight="1">
      <c r="A130" s="2526">
        <v>1</v>
      </c>
      <c r="B130" s="2527"/>
      <c r="C130" s="2527"/>
      <c r="D130" s="2528"/>
      <c r="E130" s="2528"/>
      <c r="F130" s="2528"/>
      <c r="G130" s="2528"/>
      <c r="H130" s="2529"/>
      <c r="I130" s="2530"/>
    </row>
    <row r="131" spans="1:35" ht="21.75" customHeight="1">
      <c r="A131" s="2526">
        <v>2</v>
      </c>
      <c r="B131" s="2527"/>
      <c r="C131" s="2527"/>
      <c r="D131" s="2528"/>
      <c r="E131" s="2528"/>
      <c r="F131" s="2528"/>
      <c r="G131" s="2528"/>
      <c r="H131" s="2529"/>
      <c r="I131" s="2530"/>
    </row>
    <row r="132" spans="1:35" ht="21.75" customHeight="1">
      <c r="A132" s="2526">
        <v>3</v>
      </c>
      <c r="B132" s="2527"/>
      <c r="C132" s="2527"/>
      <c r="D132" s="2528"/>
      <c r="E132" s="2528"/>
      <c r="F132" s="2528"/>
      <c r="G132" s="2528"/>
      <c r="H132" s="2529"/>
      <c r="I132" s="2530"/>
    </row>
    <row r="133" spans="1:35" ht="21.75" customHeight="1">
      <c r="A133" s="2531"/>
      <c r="B133" s="2532"/>
      <c r="C133" s="2532"/>
      <c r="D133" s="2533"/>
      <c r="E133" s="2533"/>
      <c r="F133" s="2533"/>
      <c r="G133" s="2533"/>
      <c r="H133" s="2534"/>
      <c r="I133" s="2535"/>
    </row>
    <row r="134" spans="1:35" ht="21.75" customHeight="1">
      <c r="A134" s="2527"/>
      <c r="B134" s="2527"/>
      <c r="C134" s="2527"/>
      <c r="D134" s="2528"/>
      <c r="E134" s="2528"/>
      <c r="F134" s="2528"/>
      <c r="G134" s="2528"/>
      <c r="H134" s="2529"/>
      <c r="I134" s="794"/>
    </row>
    <row r="135" spans="1:35" ht="21.75" customHeight="1">
      <c r="A135" s="794"/>
      <c r="B135" s="794"/>
      <c r="C135" s="794"/>
      <c r="D135" s="794"/>
      <c r="E135" s="794"/>
      <c r="F135" s="2536" t="s">
        <v>2309</v>
      </c>
      <c r="G135" s="2537"/>
      <c r="H135" s="2537"/>
      <c r="I135" s="2538" t="s">
        <v>2310</v>
      </c>
    </row>
    <row r="136" spans="1:35" ht="21.75" customHeight="1">
      <c r="A136" s="794"/>
      <c r="B136" s="2539" t="s">
        <v>2311</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7"/>
      <c r="C138" s="2537"/>
      <c r="D138" s="2537"/>
      <c r="E138" s="2537"/>
      <c r="F138" s="2537"/>
      <c r="G138" s="2537"/>
      <c r="H138" s="2537"/>
      <c r="I138" s="2538" t="s">
        <v>2312</v>
      </c>
    </row>
    <row r="139" spans="1:35" ht="21.75" customHeight="1">
      <c r="A139" s="794"/>
      <c r="B139" s="2539" t="s">
        <v>2313</v>
      </c>
      <c r="C139" s="794"/>
      <c r="D139" s="794"/>
      <c r="E139" s="794"/>
      <c r="F139" s="794"/>
      <c r="G139" s="794"/>
      <c r="H139" s="794"/>
      <c r="I139" s="794"/>
    </row>
    <row r="140" spans="1:35" ht="21.75" customHeight="1">
      <c r="A140" s="794"/>
      <c r="B140" s="2539"/>
      <c r="C140" s="794"/>
      <c r="D140" s="794"/>
      <c r="E140" s="794"/>
      <c r="F140" s="794"/>
      <c r="G140" s="794"/>
      <c r="H140" s="794"/>
      <c r="I140" s="794"/>
    </row>
    <row r="141" spans="1:35" ht="21.75" customHeight="1">
      <c r="A141" s="794"/>
      <c r="B141" s="2537"/>
      <c r="C141" s="2537"/>
      <c r="D141" s="2537"/>
      <c r="E141" s="2537"/>
      <c r="F141" s="2537"/>
      <c r="G141" s="2537"/>
      <c r="H141" s="2537"/>
      <c r="I141" s="2538" t="s">
        <v>2312</v>
      </c>
    </row>
    <row r="142" spans="1:35" ht="21.75" customHeight="1">
      <c r="A142" s="794"/>
      <c r="B142" s="2539"/>
      <c r="C142" s="2540"/>
      <c r="D142" s="2541"/>
      <c r="E142" s="2541"/>
      <c r="F142" s="2336"/>
      <c r="G142" s="794"/>
      <c r="H142" s="794"/>
      <c r="I142" s="794"/>
    </row>
    <row r="143" spans="1:35" s="139" customFormat="1" ht="21.75" customHeight="1">
      <c r="A143" s="794"/>
      <c r="B143" s="2539"/>
      <c r="C143" s="2540"/>
      <c r="D143" s="2541"/>
      <c r="E143" s="2541"/>
      <c r="F143" s="2336"/>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6"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6"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6"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6"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6"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6"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6"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6"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6"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6"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6"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6"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6"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6"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6"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6"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6"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6"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6"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6"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6"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6"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6"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6"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6"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6"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6"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6"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6"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6"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6"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6"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6"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6"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6"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6"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6"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6"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6"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6"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6"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6"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6"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6"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6"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6"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6"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6"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6"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6"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6"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6"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6"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6"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6"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6"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6"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6"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6"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6"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6"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6"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6"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6"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6"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6"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6"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6"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6"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6"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6"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6"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6"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6"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6"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6"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6"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6"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6"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6"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6"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6"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6"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6"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6"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6"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6"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6"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6"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6"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6"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6"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6"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6"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6"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6"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6"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6"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6"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6"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6"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6"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6"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6"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63" priority="21" stopIfTrue="1" operator="equal">
      <formula>25</formula>
    </cfRule>
  </conditionalFormatting>
  <conditionalFormatting sqref="C8:C9">
    <cfRule type="cellIs" dxfId="162" priority="19" stopIfTrue="1" operator="equal">
      <formula>15</formula>
    </cfRule>
  </conditionalFormatting>
  <conditionalFormatting sqref="C14:C16">
    <cfRule type="cellIs" dxfId="161" priority="13" stopIfTrue="1" operator="equal">
      <formula>30</formula>
    </cfRule>
  </conditionalFormatting>
  <conditionalFormatting sqref="D5:D7">
    <cfRule type="cellIs" dxfId="160" priority="10" stopIfTrue="1" operator="equal">
      <formula>25</formula>
    </cfRule>
  </conditionalFormatting>
  <conditionalFormatting sqref="D8:D9">
    <cfRule type="cellIs" dxfId="159" priority="9" stopIfTrue="1" operator="equal">
      <formula>15</formula>
    </cfRule>
  </conditionalFormatting>
  <conditionalFormatting sqref="C10:D13">
    <cfRule type="cellIs" dxfId="158" priority="8" stopIfTrue="1" operator="equal">
      <formula>15</formula>
    </cfRule>
  </conditionalFormatting>
  <conditionalFormatting sqref="D14:D16">
    <cfRule type="cellIs" dxfId="157" priority="6" stopIfTrue="1" operator="equal">
      <formula>30</formula>
    </cfRule>
  </conditionalFormatting>
  <conditionalFormatting sqref="C90">
    <cfRule type="expression" dxfId="156" priority="3" stopIfTrue="1">
      <formula>$H$88&lt;&gt;"仅含出让金"</formula>
    </cfRule>
  </conditionalFormatting>
  <conditionalFormatting sqref="C91">
    <cfRule type="expression" dxfId="155" priority="2" stopIfTrue="1">
      <formula>$H$91="由企业提供"</formula>
    </cfRule>
  </conditionalFormatting>
  <conditionalFormatting sqref="E36">
    <cfRule type="expression" dxfId="154"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2314</v>
      </c>
      <c r="B1" s="1935"/>
      <c r="C1" s="242"/>
      <c r="D1" s="242"/>
      <c r="E1" s="242"/>
      <c r="F1" s="242"/>
      <c r="G1" s="1378">
        <f>MATCH(B1,'数据-取费表'!A6:A16,0)+5</f>
        <v>8</v>
      </c>
    </row>
    <row r="2" spans="1:9" s="244" customFormat="1" ht="18" customHeight="1">
      <c r="A2" s="245" t="s">
        <v>2315</v>
      </c>
      <c r="B2" s="246">
        <f ca="1">IF(D2="——",C52,C52-E2)</f>
        <v>1890</v>
      </c>
      <c r="C2" s="243" t="s">
        <v>2316</v>
      </c>
      <c r="D2" s="2542" t="s">
        <v>70</v>
      </c>
      <c r="E2" s="1439" t="e">
        <f ca="1">SUMIF(INDIRECT("'"&amp;G2&amp;"'"&amp;"!A:A"),"承租人权益价值",INDIRECT("'"&amp;G2&amp;"'"&amp;"!c:c"))</f>
        <v>#REF!</v>
      </c>
      <c r="F2" s="2543" t="s">
        <v>2316</v>
      </c>
      <c r="G2" s="2544"/>
    </row>
    <row r="3" spans="1:9" s="244" customFormat="1" ht="18" customHeight="1" thickBot="1">
      <c r="A3" s="247" t="s">
        <v>2317</v>
      </c>
      <c r="B3" s="248">
        <f ca="1">ROUND(B2*10000/(IF(B1="",'数据-汇总表'!E3,INDIRECT("'数据-取费表'!k"&amp;$G$1))),0)</f>
        <v>4539</v>
      </c>
      <c r="C3" s="243" t="s">
        <v>2318</v>
      </c>
      <c r="D3" s="243"/>
      <c r="E3" s="243"/>
      <c r="F3" s="243"/>
      <c r="G3" s="243"/>
    </row>
    <row r="4" spans="1:9" s="252" customFormat="1" ht="15.75">
      <c r="A4" s="249" t="s">
        <v>2319</v>
      </c>
      <c r="B4" s="250"/>
      <c r="C4" s="250"/>
      <c r="D4" s="250"/>
      <c r="E4" s="250"/>
      <c r="F4" s="250"/>
      <c r="G4" s="251"/>
    </row>
    <row r="5" spans="1:9" s="258" customFormat="1" ht="13.5" customHeight="1">
      <c r="A5" s="299" t="s">
        <v>2320</v>
      </c>
      <c r="B5" s="254" t="s">
        <v>2321</v>
      </c>
      <c r="C5" s="255">
        <f>C6+C7+C8</f>
        <v>83</v>
      </c>
      <c r="D5" s="255" t="s">
        <v>2322</v>
      </c>
      <c r="E5" s="256" t="s">
        <v>2323</v>
      </c>
      <c r="F5" s="256" t="s">
        <v>2324</v>
      </c>
      <c r="G5" s="257"/>
    </row>
    <row r="6" spans="1:9" s="258" customFormat="1" ht="13.5" customHeight="1">
      <c r="A6" s="951" t="s">
        <v>2325</v>
      </c>
      <c r="B6" s="259" t="s">
        <v>2326</v>
      </c>
      <c r="C6" s="260"/>
      <c r="D6" s="261"/>
      <c r="E6" s="262"/>
      <c r="F6" s="262"/>
      <c r="G6" s="263"/>
    </row>
    <row r="7" spans="1:9" s="258" customFormat="1" ht="13.5" customHeight="1">
      <c r="A7" s="951" t="s">
        <v>2327</v>
      </c>
      <c r="B7" s="259" t="s">
        <v>2328</v>
      </c>
      <c r="C7" s="264">
        <f>ROUND(C6*F7,0)</f>
        <v>0</v>
      </c>
      <c r="D7" s="264"/>
      <c r="E7" s="262"/>
      <c r="F7" s="265">
        <f>'数据-取费表'!B48+'数据-取费表'!B49</f>
        <v>3.0499999999999999E-2</v>
      </c>
      <c r="G7" s="263"/>
    </row>
    <row r="8" spans="1:9" s="267" customFormat="1">
      <c r="A8" s="951" t="s">
        <v>2329</v>
      </c>
      <c r="B8" s="259" t="s">
        <v>2330</v>
      </c>
      <c r="C8" s="264">
        <f>IF(G8="已包含在土地购买价格中","0",IF(B1="",'数据-取费表'!B29,IF(G9="全部缴纳",C9+C10,H9)))</f>
        <v>83</v>
      </c>
      <c r="D8" s="266"/>
      <c r="E8" s="264"/>
      <c r="F8" s="265"/>
      <c r="G8" s="2545"/>
    </row>
    <row r="9" spans="1:9" s="258" customFormat="1" ht="13.5" customHeight="1">
      <c r="A9" s="952" t="s">
        <v>800</v>
      </c>
      <c r="B9" s="268" t="s">
        <v>2331</v>
      </c>
      <c r="C9" s="269">
        <f ca="1">ROUND(D9*E9/10000,0)</f>
        <v>0</v>
      </c>
      <c r="D9" s="1034">
        <f ca="1">IF(B1="",'数据-汇总表'!E5,IF(INDIRECT("'数据-取费表'!c"&amp;$G$1)="住宅",INDIRECT("'数据-取费表'!k"&amp;$G$1),0))</f>
        <v>0</v>
      </c>
      <c r="E9" s="269">
        <f>'数据-取费表'!B27</f>
        <v>0</v>
      </c>
      <c r="F9" s="265"/>
      <c r="G9" s="2546"/>
      <c r="H9" s="1389"/>
      <c r="I9" s="2547" t="s">
        <v>2332</v>
      </c>
    </row>
    <row r="10" spans="1:9" s="258" customFormat="1" ht="13.5" customHeight="1">
      <c r="A10" s="952" t="s">
        <v>801</v>
      </c>
      <c r="B10" s="268" t="s">
        <v>2333</v>
      </c>
      <c r="C10" s="269">
        <f ca="1">ROUND(D10*E10/10000,0)</f>
        <v>83</v>
      </c>
      <c r="D10" s="1034">
        <f ca="1">IF(B1="",'数据-汇总表'!E6,IF(INDIRECT("'数据-取费表'!c"&amp;$G$1)="住宅",INDIRECT("'数据-取费表'!s"&amp;$G$1),INDIRECT("'数据-取费表'!k"&amp;$G$1)+INDIRECT("'数据-取费表'!s"&amp;$G$1)))</f>
        <v>4163.47</v>
      </c>
      <c r="E10" s="269">
        <f>'数据-取费表'!B28</f>
        <v>200</v>
      </c>
      <c r="F10" s="265"/>
      <c r="G10" s="270"/>
    </row>
    <row r="11" spans="1:9" s="258" customFormat="1" ht="13.5" hidden="1" customHeight="1">
      <c r="A11" s="271" t="s">
        <v>7</v>
      </c>
      <c r="B11" s="259" t="s">
        <v>2334</v>
      </c>
      <c r="C11" s="255"/>
      <c r="D11" s="1036"/>
      <c r="E11" s="262"/>
      <c r="F11" s="262"/>
      <c r="G11" s="263"/>
    </row>
    <row r="12" spans="1:9" s="258" customFormat="1" ht="13.5" hidden="1" customHeight="1">
      <c r="A12" s="271" t="s">
        <v>8</v>
      </c>
      <c r="B12" s="259" t="s">
        <v>2335</v>
      </c>
      <c r="C12" s="255">
        <v>0</v>
      </c>
      <c r="D12" s="1036"/>
      <c r="E12" s="272"/>
      <c r="F12" s="265">
        <v>3.0499999999999999E-2</v>
      </c>
      <c r="G12" s="263"/>
    </row>
    <row r="13" spans="1:9" s="258" customFormat="1" ht="13.5" hidden="1" customHeight="1">
      <c r="A13" s="271" t="s">
        <v>9</v>
      </c>
      <c r="B13" s="259" t="s">
        <v>2336</v>
      </c>
      <c r="C13" s="255"/>
      <c r="D13" s="1036"/>
      <c r="E13" s="262"/>
      <c r="F13" s="262"/>
      <c r="G13" s="263"/>
    </row>
    <row r="14" spans="1:9" s="258" customFormat="1" ht="13.5" hidden="1" customHeight="1">
      <c r="A14" s="271" t="s">
        <v>10</v>
      </c>
      <c r="B14" s="259" t="s">
        <v>2337</v>
      </c>
      <c r="C14" s="255"/>
      <c r="D14" s="1036"/>
      <c r="E14" s="262"/>
      <c r="F14" s="262"/>
      <c r="G14" s="263" t="s">
        <v>2338</v>
      </c>
    </row>
    <row r="15" spans="1:9" s="258" customFormat="1" ht="13.5" hidden="1" customHeight="1">
      <c r="A15" s="271" t="s">
        <v>11</v>
      </c>
      <c r="B15" s="259" t="s">
        <v>2339</v>
      </c>
      <c r="C15" s="264"/>
      <c r="D15" s="1036"/>
      <c r="E15" s="262"/>
      <c r="F15" s="262"/>
      <c r="G15" s="263" t="s">
        <v>2340</v>
      </c>
    </row>
    <row r="16" spans="1:9" s="258" customFormat="1" ht="13.5" hidden="1" customHeight="1">
      <c r="A16" s="271" t="s">
        <v>12</v>
      </c>
      <c r="B16" s="259" t="s">
        <v>2337</v>
      </c>
      <c r="C16" s="264"/>
      <c r="D16" s="1036"/>
      <c r="E16" s="262"/>
      <c r="F16" s="262"/>
      <c r="G16" s="263"/>
    </row>
    <row r="17" spans="1:7" s="258" customFormat="1" ht="13.5" hidden="1" customHeight="1">
      <c r="A17" s="271" t="s">
        <v>13</v>
      </c>
      <c r="B17" s="259" t="s">
        <v>2341</v>
      </c>
      <c r="C17" s="273"/>
      <c r="D17" s="1037"/>
      <c r="E17" s="273"/>
      <c r="F17" s="273"/>
      <c r="G17" s="263" t="s">
        <v>2340</v>
      </c>
    </row>
    <row r="18" spans="1:7" s="258" customFormat="1" ht="13.5" hidden="1" customHeight="1">
      <c r="A18" s="271" t="s">
        <v>14</v>
      </c>
      <c r="B18" s="259" t="s">
        <v>2342</v>
      </c>
      <c r="C18" s="264">
        <v>0</v>
      </c>
      <c r="D18" s="1036"/>
      <c r="E18" s="262"/>
      <c r="F18" s="265">
        <v>3.0499999999999999E-2</v>
      </c>
      <c r="G18" s="263" t="s">
        <v>2343</v>
      </c>
    </row>
    <row r="19" spans="1:7" s="267" customFormat="1" ht="13.5" customHeight="1">
      <c r="A19" s="299" t="s">
        <v>2344</v>
      </c>
      <c r="B19" s="254" t="s">
        <v>2345</v>
      </c>
      <c r="C19" s="255">
        <f ca="1">IF(G19="已包含在土地取得成本中","0",ROUND(D19*E19/10000,0))</f>
        <v>83</v>
      </c>
      <c r="D19" s="1038">
        <f ca="1">D9+D10</f>
        <v>4163.47</v>
      </c>
      <c r="E19" s="255">
        <f>'数据-取费表'!B31</f>
        <v>200</v>
      </c>
      <c r="F19" s="275"/>
      <c r="G19" s="2545"/>
    </row>
    <row r="20" spans="1:7" s="258" customFormat="1" ht="13.5" customHeight="1">
      <c r="A20" s="299" t="s">
        <v>2346</v>
      </c>
      <c r="B20" s="254" t="s">
        <v>2347</v>
      </c>
      <c r="C20" s="276">
        <f ca="1">ROUND((C5+C19)*F20,0)</f>
        <v>2</v>
      </c>
      <c r="D20" s="276"/>
      <c r="E20" s="276"/>
      <c r="F20" s="277">
        <f>'数据-取费表'!B37</f>
        <v>0.01</v>
      </c>
      <c r="G20" s="278" t="s">
        <v>2348</v>
      </c>
    </row>
    <row r="21" spans="1:7" s="258" customFormat="1" ht="13.5" customHeight="1">
      <c r="A21" s="299" t="s">
        <v>2349</v>
      </c>
      <c r="B21" s="254" t="s">
        <v>2350</v>
      </c>
      <c r="C21" s="279">
        <f>F21</f>
        <v>0.01</v>
      </c>
      <c r="D21" s="280" t="s">
        <v>2351</v>
      </c>
      <c r="E21" s="276"/>
      <c r="F21" s="277">
        <f>'数据-取费表'!B38</f>
        <v>0.01</v>
      </c>
      <c r="G21" s="278" t="s">
        <v>2352</v>
      </c>
    </row>
    <row r="22" spans="1:7" s="258" customFormat="1" ht="13.5" customHeight="1">
      <c r="A22" s="299" t="s">
        <v>2353</v>
      </c>
      <c r="B22" s="254" t="s">
        <v>2354</v>
      </c>
      <c r="C22" s="1353">
        <f ca="1">ROUND(SUM(C23:C25),0)</f>
        <v>16</v>
      </c>
      <c r="D22" s="279">
        <f ca="1">C26</f>
        <v>5.0000000000000001E-4</v>
      </c>
      <c r="E22" s="280" t="s">
        <v>2351</v>
      </c>
      <c r="F22" s="281">
        <f ca="1">'数据-取费表'!B40</f>
        <v>4.7500000000000001E-2</v>
      </c>
      <c r="G22" s="278" t="str">
        <f>IF('数据-取费表'!B22&lt;=1,"单利计息","复利计息")</f>
        <v>复利计息</v>
      </c>
    </row>
    <row r="23" spans="1:7" s="258" customFormat="1" ht="13.5" customHeight="1">
      <c r="A23" s="953" t="s">
        <v>2355</v>
      </c>
      <c r="B23" s="259" t="s">
        <v>2356</v>
      </c>
      <c r="C23" s="1354">
        <f ca="1">ROUND(IF('数据-取费表'!B22&lt;=1,C5*F22*'数据-取费表'!B23,C5*(POWER((1+F22),'数据-取费表'!B23)-1)),0)</f>
        <v>8</v>
      </c>
      <c r="D23" s="282"/>
      <c r="E23" s="282"/>
      <c r="F23" s="283"/>
      <c r="G23" s="284" t="s">
        <v>2357</v>
      </c>
    </row>
    <row r="24" spans="1:7" s="258" customFormat="1" ht="13.5" customHeight="1">
      <c r="A24" s="953" t="s">
        <v>2358</v>
      </c>
      <c r="B24" s="259" t="s">
        <v>2359</v>
      </c>
      <c r="C24" s="1354">
        <f ca="1">ROUND(IF('数据-取费表'!B22&lt;=1,C19*F22*('数据-取费表'!B19/2+'数据-取费表'!B21),C19*(POWER((1+F22),('数据-取费表'!B19/2+'数据-取费表'!B21))-1)),0)</f>
        <v>8</v>
      </c>
      <c r="D24" s="282"/>
      <c r="E24" s="282"/>
      <c r="F24" s="283"/>
      <c r="G24" s="284" t="s">
        <v>2360</v>
      </c>
    </row>
    <row r="25" spans="1:7" s="258" customFormat="1" ht="24">
      <c r="A25" s="953" t="s">
        <v>2361</v>
      </c>
      <c r="B25" s="259" t="s">
        <v>2362</v>
      </c>
      <c r="C25" s="1354">
        <f ca="1">ROUND(IF('数据-取费表'!B22&lt;=1,C20*F22*'数据-取费表'!B23/2,C20*(POWER((1+F22),'数据-取费表'!B23/2)-1)),0)</f>
        <v>0</v>
      </c>
      <c r="D25" s="282"/>
      <c r="E25" s="285"/>
      <c r="F25" s="283"/>
      <c r="G25" s="286" t="s">
        <v>2363</v>
      </c>
    </row>
    <row r="26" spans="1:7" s="258" customFormat="1">
      <c r="A26" s="953" t="s">
        <v>795</v>
      </c>
      <c r="B26" s="259" t="s">
        <v>2364</v>
      </c>
      <c r="C26" s="282">
        <f ca="1">ROUND(IF('数据-取费表'!B22&lt;=1,F21*F22*'数据-取费表'!B23/2,F21*(POWER((1+F22),'数据-取费表'!B23/2)-1)),4)</f>
        <v>5.0000000000000001E-4</v>
      </c>
      <c r="D26" s="282"/>
      <c r="E26" s="285"/>
      <c r="F26" s="283"/>
      <c r="G26" s="287"/>
    </row>
    <row r="27" spans="1:7" s="258" customFormat="1" ht="24.75">
      <c r="A27" s="299" t="s">
        <v>2365</v>
      </c>
      <c r="B27" s="288" t="s">
        <v>2366</v>
      </c>
      <c r="C27" s="289">
        <f ca="1">C28</f>
        <v>34</v>
      </c>
      <c r="D27" s="279">
        <f ca="1">C29</f>
        <v>2E-3</v>
      </c>
      <c r="E27" s="280" t="s">
        <v>2367</v>
      </c>
      <c r="F27" s="290">
        <f ca="1">IF(B1="",'数据-取费表'!Q16,INDIRECT("'数据-取费表'!q"&amp;$G$1))</f>
        <v>0.2</v>
      </c>
      <c r="G27" s="291" t="s">
        <v>2368</v>
      </c>
    </row>
    <row r="28" spans="1:7" s="258" customFormat="1" ht="13.5" customHeight="1">
      <c r="A28" s="953" t="s">
        <v>791</v>
      </c>
      <c r="B28" s="292" t="s">
        <v>2369</v>
      </c>
      <c r="C28" s="293">
        <f ca="1">ROUND((C5+C19+C20)*F27*'数据-取费表'!B21/'数据-取费表'!B20,0)</f>
        <v>34</v>
      </c>
      <c r="D28" s="279"/>
      <c r="E28" s="280"/>
      <c r="F28" s="290"/>
      <c r="G28" s="291"/>
    </row>
    <row r="29" spans="1:7" s="258" customFormat="1" ht="13.5" customHeight="1">
      <c r="A29" s="953" t="s">
        <v>792</v>
      </c>
      <c r="B29" s="292" t="s">
        <v>2370</v>
      </c>
      <c r="C29" s="282">
        <f ca="1">ROUND(C21*F27*'数据-取费表'!B21/'数据-取费表'!B20,4)</f>
        <v>2E-3</v>
      </c>
      <c r="D29" s="279"/>
      <c r="E29" s="280"/>
      <c r="F29" s="290"/>
      <c r="G29" s="291"/>
    </row>
    <row r="30" spans="1:7" s="258" customFormat="1" ht="13.5" customHeight="1">
      <c r="A30" s="299" t="s">
        <v>2371</v>
      </c>
      <c r="B30" s="254" t="s">
        <v>2372</v>
      </c>
      <c r="C30" s="279">
        <f>ROUND(F30/(1+'数据-取费表'!C42),4)</f>
        <v>5.33E-2</v>
      </c>
      <c r="D30" s="280" t="s">
        <v>2367</v>
      </c>
      <c r="E30" s="285"/>
      <c r="F30" s="281">
        <f>'数据-取费表'!B41</f>
        <v>5.6000000000000001E-2</v>
      </c>
      <c r="G30" s="278" t="s">
        <v>2373</v>
      </c>
    </row>
    <row r="31" spans="1:7" ht="16.5" customHeight="1">
      <c r="A31" s="253">
        <v>1</v>
      </c>
      <c r="B31" s="254" t="s">
        <v>2374</v>
      </c>
      <c r="C31" s="255">
        <f ca="1">ROUND((C5+C19+C20+C22+C27)/(1-C21-D22-D27-C30),0)</f>
        <v>233</v>
      </c>
      <c r="D31" s="274"/>
      <c r="E31" s="255"/>
      <c r="F31" s="294"/>
      <c r="G31" s="278" t="s">
        <v>2375</v>
      </c>
    </row>
    <row r="32" spans="1:7" s="252" customFormat="1" ht="15.75">
      <c r="A32" s="296" t="s">
        <v>2376</v>
      </c>
      <c r="B32" s="297"/>
      <c r="C32" s="297"/>
      <c r="D32" s="297"/>
      <c r="E32" s="297"/>
      <c r="F32" s="297"/>
      <c r="G32" s="298"/>
    </row>
    <row r="33" spans="1:7" s="258" customFormat="1" ht="13.5" customHeight="1">
      <c r="A33" s="299" t="s">
        <v>782</v>
      </c>
      <c r="B33" s="254" t="s">
        <v>2377</v>
      </c>
      <c r="C33" s="300">
        <f ca="1">SUM(C34:C38)</f>
        <v>1413</v>
      </c>
      <c r="D33" s="276"/>
      <c r="E33" s="256"/>
      <c r="F33" s="285"/>
      <c r="G33" s="278"/>
    </row>
    <row r="34" spans="1:7" s="302" customFormat="1" ht="13.5" customHeight="1">
      <c r="A34" s="953" t="s">
        <v>791</v>
      </c>
      <c r="B34" s="259" t="s">
        <v>2378</v>
      </c>
      <c r="C34" s="264">
        <f ca="1">IF(B1="",IF(F34=100%,'数据-取费表'!M16,'数据-取费表'!O16),IF(F34=100%,INDIRECT("'数据-取费表'!m"&amp;$G$1)+INDIRECT("'数据-取费表'!t"&amp;$G$1),INDIRECT("'数据-取费表'!o"&amp;$G$1)+INDIRECT("'数据-取费表'!aq"&amp;$G$1)))</f>
        <v>1249</v>
      </c>
      <c r="D34" s="261"/>
      <c r="E34" s="264"/>
      <c r="F34" s="301">
        <f ca="1">IF('数据-取费表'!B24=0,1,IF(B1="",'数据-取费表'!N16,INDIRECT("'数据-取费表'!n"&amp;$G$1)))</f>
        <v>1</v>
      </c>
      <c r="G34" s="263" t="s">
        <v>2379</v>
      </c>
    </row>
    <row r="35" spans="1:7" ht="13.5" customHeight="1">
      <c r="A35" s="953" t="s">
        <v>796</v>
      </c>
      <c r="B35" s="259" t="s">
        <v>2380</v>
      </c>
      <c r="C35" s="264">
        <f ca="1">ROUND(C34*F35,0)</f>
        <v>62</v>
      </c>
      <c r="D35" s="264"/>
      <c r="E35" s="264"/>
      <c r="F35" s="303">
        <f>'数据-取费表'!B33</f>
        <v>0.05</v>
      </c>
      <c r="G35" s="263" t="s">
        <v>2381</v>
      </c>
    </row>
    <row r="36" spans="1:7" ht="24">
      <c r="A36" s="953" t="s">
        <v>797</v>
      </c>
      <c r="B36" s="259" t="s">
        <v>2382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2383</v>
      </c>
    </row>
    <row r="37" spans="1:7" s="302" customFormat="1" ht="13.5" customHeight="1">
      <c r="A37" s="953" t="s">
        <v>798</v>
      </c>
      <c r="B37" s="259" t="s">
        <v>2384</v>
      </c>
      <c r="C37" s="293">
        <f ca="1">ROUND(E37*D37*F34/10000,0)</f>
        <v>83</v>
      </c>
      <c r="D37" s="261">
        <f ca="1">D19</f>
        <v>4163.47</v>
      </c>
      <c r="E37" s="293">
        <f>'数据-取费表'!B35</f>
        <v>200</v>
      </c>
      <c r="F37" s="303"/>
      <c r="G37" s="305" t="s">
        <v>2385</v>
      </c>
    </row>
    <row r="38" spans="1:7" ht="13.5" customHeight="1">
      <c r="A38" s="953" t="s">
        <v>799</v>
      </c>
      <c r="B38" s="259" t="s">
        <v>2386</v>
      </c>
      <c r="C38" s="264">
        <f ca="1">ROUND(C34*F38,0)</f>
        <v>19</v>
      </c>
      <c r="D38" s="264"/>
      <c r="E38" s="264"/>
      <c r="F38" s="303">
        <f>'数据-取费表'!B36</f>
        <v>1.4999999999999999E-2</v>
      </c>
      <c r="G38" s="263" t="s">
        <v>2381</v>
      </c>
    </row>
    <row r="39" spans="1:7" s="258" customFormat="1" ht="13.5" customHeight="1">
      <c r="A39" s="299" t="s">
        <v>2387</v>
      </c>
      <c r="B39" s="254" t="s">
        <v>2388</v>
      </c>
      <c r="C39" s="276">
        <f ca="1">ROUND(C33*F20,0)</f>
        <v>14</v>
      </c>
      <c r="D39" s="276"/>
      <c r="E39" s="276"/>
      <c r="F39" s="277"/>
      <c r="G39" s="278" t="s">
        <v>2389</v>
      </c>
    </row>
    <row r="40" spans="1:7" s="258" customFormat="1" ht="13.5" customHeight="1">
      <c r="A40" s="299" t="s">
        <v>2390</v>
      </c>
      <c r="B40" s="254" t="s">
        <v>2391</v>
      </c>
      <c r="C40" s="1727">
        <f>F21</f>
        <v>0.01</v>
      </c>
      <c r="D40" s="280" t="s">
        <v>2392</v>
      </c>
      <c r="E40" s="276"/>
      <c r="F40" s="277"/>
      <c r="G40" s="278" t="s">
        <v>2393</v>
      </c>
    </row>
    <row r="41" spans="1:7" s="258" customFormat="1" ht="13.5" customHeight="1">
      <c r="A41" s="299" t="s">
        <v>2394</v>
      </c>
      <c r="B41" s="254" t="s">
        <v>2395</v>
      </c>
      <c r="C41" s="276">
        <f ca="1">ROUND(SUM(C42:C43),0)</f>
        <v>68</v>
      </c>
      <c r="D41" s="279">
        <f ca="1">C44</f>
        <v>5.0000000000000001E-4</v>
      </c>
      <c r="E41" s="280" t="s">
        <v>2392</v>
      </c>
      <c r="F41" s="281"/>
      <c r="G41" s="278" t="str">
        <f>IF('数据-取费表'!B22&lt;=1,"单利计息","复利计息")</f>
        <v>复利计息</v>
      </c>
    </row>
    <row r="42" spans="1:7" ht="13.5" customHeight="1">
      <c r="A42" s="953" t="s">
        <v>791</v>
      </c>
      <c r="B42" s="259" t="s">
        <v>2396</v>
      </c>
      <c r="C42" s="282">
        <f ca="1">ROUND(IF('数据-取费表'!B22&lt;=1,C33*F22*'数据-取费表'!B21/2,C33*(POWER((1+F22),'数据-取费表'!B21/2)-1)),0)</f>
        <v>67</v>
      </c>
      <c r="D42" s="282"/>
      <c r="E42" s="282"/>
      <c r="F42" s="283"/>
      <c r="G42" s="3202" t="s">
        <v>2397</v>
      </c>
    </row>
    <row r="43" spans="1:7" ht="13.5" customHeight="1">
      <c r="A43" s="953" t="s">
        <v>792</v>
      </c>
      <c r="B43" s="259" t="s">
        <v>2398</v>
      </c>
      <c r="C43" s="282">
        <f ca="1">ROUND(IF('数据-取费表'!B22&lt;=1,C39*F22*'数据-取费表'!B21/2,C39*(POWER((1+F22),'数据-取费表'!B21/2)-1)),0)</f>
        <v>1</v>
      </c>
      <c r="D43" s="282"/>
      <c r="E43" s="282"/>
      <c r="F43" s="283"/>
      <c r="G43" s="3203"/>
    </row>
    <row r="44" spans="1:7" ht="13.5" customHeight="1">
      <c r="A44" s="953" t="s">
        <v>793</v>
      </c>
      <c r="B44" s="259" t="s">
        <v>2399</v>
      </c>
      <c r="C44" s="282">
        <f ca="1">ROUND(IF('数据-取费表'!B22&lt;=1,C40*F22*'数据-取费表'!B21/2,C40*(POWER((1+F22),'数据-取费表'!B21/2)-1)),4)</f>
        <v>5.0000000000000001E-4</v>
      </c>
      <c r="D44" s="282"/>
      <c r="E44" s="282"/>
      <c r="F44" s="283"/>
      <c r="G44" s="3204"/>
    </row>
    <row r="45" spans="1:7" s="258" customFormat="1" ht="13.5" customHeight="1">
      <c r="A45" s="299" t="s">
        <v>2400</v>
      </c>
      <c r="B45" s="288" t="s">
        <v>2366</v>
      </c>
      <c r="C45" s="289">
        <f ca="1">C46</f>
        <v>285</v>
      </c>
      <c r="D45" s="279">
        <f ca="1">C47</f>
        <v>2E-3</v>
      </c>
      <c r="E45" s="280" t="s">
        <v>2392</v>
      </c>
      <c r="F45" s="290"/>
      <c r="G45" s="291" t="s">
        <v>2401</v>
      </c>
    </row>
    <row r="46" spans="1:7" s="258" customFormat="1" ht="13.5" customHeight="1">
      <c r="A46" s="953" t="s">
        <v>791</v>
      </c>
      <c r="B46" s="292" t="s">
        <v>2402</v>
      </c>
      <c r="C46" s="293">
        <f ca="1">ROUND((C33+C39)*F27,0)</f>
        <v>285</v>
      </c>
      <c r="D46" s="307"/>
      <c r="E46" s="280"/>
      <c r="F46" s="290"/>
      <c r="G46" s="291"/>
    </row>
    <row r="47" spans="1:7" s="258" customFormat="1" ht="13.5" customHeight="1">
      <c r="A47" s="953" t="s">
        <v>792</v>
      </c>
      <c r="B47" s="292" t="s">
        <v>2403</v>
      </c>
      <c r="C47" s="282">
        <f ca="1">ROUND(C40*F27,4)</f>
        <v>2E-3</v>
      </c>
      <c r="D47" s="307"/>
      <c r="E47" s="280"/>
      <c r="F47" s="290"/>
      <c r="G47" s="291"/>
    </row>
    <row r="48" spans="1:7" s="258" customFormat="1" ht="13.5" customHeight="1">
      <c r="A48" s="299" t="s">
        <v>2365</v>
      </c>
      <c r="B48" s="254" t="s">
        <v>2404</v>
      </c>
      <c r="C48" s="1727">
        <f>ROUND(F30/(1+'数据-取费表'!C42),4)</f>
        <v>5.33E-2</v>
      </c>
      <c r="D48" s="280" t="s">
        <v>2392</v>
      </c>
      <c r="E48" s="276"/>
      <c r="F48" s="281"/>
      <c r="G48" s="278" t="s">
        <v>2405</v>
      </c>
    </row>
    <row r="49" spans="1:7" ht="16.5" customHeight="1">
      <c r="A49" s="299" t="s">
        <v>2371</v>
      </c>
      <c r="B49" s="254" t="s">
        <v>2406</v>
      </c>
      <c r="C49" s="276">
        <f ca="1">ROUND((C33+C39+C41+C45)/(1-C40-D41-D45-C48),0)</f>
        <v>1905</v>
      </c>
      <c r="D49" s="276"/>
      <c r="E49" s="276"/>
      <c r="F49" s="308"/>
      <c r="G49" s="278" t="s">
        <v>2407</v>
      </c>
    </row>
    <row r="50" spans="1:7" s="302" customFormat="1" ht="24">
      <c r="A50" s="299" t="s">
        <v>2408</v>
      </c>
      <c r="B50" s="254" t="s">
        <v>2409</v>
      </c>
      <c r="C50" s="276"/>
      <c r="D50" s="276"/>
      <c r="E50" s="276"/>
      <c r="F50" s="308">
        <f>IF('数据-取费表'!B24=0,'数据-取费表'!N16,1)</f>
        <v>0.87</v>
      </c>
      <c r="G50" s="291" t="s">
        <v>2410</v>
      </c>
    </row>
    <row r="51" spans="1:7" ht="16.5" customHeight="1">
      <c r="A51" s="299" t="s">
        <v>2411</v>
      </c>
      <c r="B51" s="254" t="s">
        <v>2412</v>
      </c>
      <c r="C51" s="276">
        <f ca="1">ROUND(C49*F50,0)</f>
        <v>1657</v>
      </c>
      <c r="D51" s="276"/>
      <c r="E51" s="276"/>
      <c r="F51" s="308"/>
      <c r="G51" s="278" t="s">
        <v>2413</v>
      </c>
    </row>
    <row r="52" spans="1:7" s="252" customFormat="1" ht="16.5" thickBot="1">
      <c r="A52" s="309" t="s">
        <v>2414</v>
      </c>
      <c r="B52" s="310"/>
      <c r="C52" s="311">
        <f ca="1">C31+C51</f>
        <v>1890</v>
      </c>
      <c r="D52" s="310"/>
      <c r="E52" s="310"/>
      <c r="F52" s="310"/>
      <c r="G52" s="312"/>
    </row>
    <row r="55" spans="1:7" ht="15">
      <c r="B55" s="314" t="s">
        <v>2415</v>
      </c>
      <c r="C55" s="315"/>
    </row>
    <row r="56" spans="1:7">
      <c r="B56" s="317" t="s">
        <v>1513</v>
      </c>
      <c r="C56" s="319">
        <f ca="1">1-C57</f>
        <v>0.123</v>
      </c>
    </row>
    <row r="57" spans="1:7">
      <c r="B57" s="317" t="s">
        <v>1514</v>
      </c>
      <c r="C57" s="318">
        <f ca="1">ROUND(C51/C52,3)</f>
        <v>0.877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3016" t="str">
        <f>项目基本情况!B1</f>
        <v>北京市丰台区马家堡东路168号院6号楼房地产抵押价值预评估</v>
      </c>
      <c r="C37" s="3016"/>
      <c r="D37" s="3016"/>
      <c r="E37" s="3016"/>
      <c r="F37" s="3016"/>
      <c r="G37" s="3016"/>
      <c r="H37" s="3016"/>
      <c r="I37" s="3016"/>
    </row>
    <row r="38" spans="1:9">
      <c r="A38" s="1018"/>
      <c r="B38" s="1018"/>
    </row>
    <row r="39" spans="1:9">
      <c r="A39" s="1016" t="s">
        <v>818</v>
      </c>
      <c r="B39" s="1016" t="s">
        <v>820</v>
      </c>
    </row>
    <row r="40" spans="1:9">
      <c r="A40" s="1016"/>
      <c r="B40" s="1940" t="str">
        <f>项目基本情况!B5</f>
        <v>北京匠心置业有限公司</v>
      </c>
    </row>
    <row r="41" spans="1:9">
      <c r="A41" s="1016"/>
      <c r="B41" s="1016"/>
    </row>
    <row r="42" spans="1:9">
      <c r="A42" s="1016" t="s">
        <v>818</v>
      </c>
      <c r="B42" s="1016" t="s">
        <v>821</v>
      </c>
    </row>
    <row r="43" spans="1:9">
      <c r="A43" s="1016"/>
      <c r="B43" s="1940" t="s">
        <v>822</v>
      </c>
    </row>
    <row r="44" spans="1:9">
      <c r="A44" s="1016"/>
      <c r="B44" s="1016"/>
    </row>
    <row r="45" spans="1:9">
      <c r="A45" s="1016" t="s">
        <v>818</v>
      </c>
      <c r="B45" s="1016" t="s">
        <v>823</v>
      </c>
    </row>
    <row r="46" spans="1:9" s="1016" customFormat="1" ht="12.75">
      <c r="B46" s="1940" t="str">
        <f ca="1">项目基本情况!K4</f>
        <v>欧红伟（注册号：1120000080)、崔锴（注册号：1120100036)</v>
      </c>
    </row>
    <row r="47" spans="1:9">
      <c r="A47" s="1016"/>
      <c r="B47" s="1016" t="str">
        <f>项目基本情况!K5</f>
        <v/>
      </c>
    </row>
    <row r="48" spans="1:9">
      <c r="A48" s="1016" t="s">
        <v>818</v>
      </c>
      <c r="B48" s="1016" t="s">
        <v>824</v>
      </c>
    </row>
    <row r="49" spans="2:2">
      <c r="B49" s="1940" t="str">
        <f>"康正预评字"&amp;项目基本情况!B2&amp;"号"</f>
        <v>康正预评字2018-1-0069-F01DYGJ1 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2314</v>
      </c>
      <c r="B1" s="1935"/>
      <c r="C1" s="2548" t="s">
        <v>2416</v>
      </c>
      <c r="D1" s="242"/>
      <c r="E1" s="242"/>
      <c r="F1" s="242"/>
      <c r="G1" s="1378">
        <f>MATCH(B1,'数据-取费表'!A6:A16,0)+5</f>
        <v>8</v>
      </c>
      <c r="H1" s="1281" t="str">
        <f>IF(ISERROR(FIND("住宅",B1)),"非住宅","住宅")</f>
        <v>非住宅</v>
      </c>
    </row>
    <row r="2" spans="1:8" s="244" customFormat="1" ht="18" customHeight="1">
      <c r="A2" s="245" t="s">
        <v>2315</v>
      </c>
      <c r="B2" s="246">
        <f ca="1">ROUND(IF(D2="——",C52/10000,C52/10000-E2),0)</f>
        <v>1892</v>
      </c>
      <c r="C2" s="243" t="s">
        <v>2316</v>
      </c>
      <c r="D2" s="2542" t="s">
        <v>70</v>
      </c>
      <c r="E2" s="1439" t="e">
        <f ca="1">SUMIF(INDIRECT("'"&amp;G2&amp;"'"&amp;"!A:A"),"承租人权益价值",INDIRECT("'"&amp;G2&amp;"'"&amp;"!c:c"))</f>
        <v>#REF!</v>
      </c>
      <c r="F2" s="2543" t="s">
        <v>2316</v>
      </c>
      <c r="G2" s="2544"/>
    </row>
    <row r="3" spans="1:8" s="244" customFormat="1" ht="18" customHeight="1" thickBot="1">
      <c r="A3" s="247" t="s">
        <v>2317</v>
      </c>
      <c r="B3" s="248">
        <f ca="1">ROUND(B2*10000/(IF(B1="",'数据-汇总表'!E3,INDIRECT("'数据-取费表'!k"&amp;$G$1))),0)</f>
        <v>4544</v>
      </c>
      <c r="C3" s="243" t="s">
        <v>2318</v>
      </c>
      <c r="D3" s="243"/>
      <c r="E3" s="243"/>
      <c r="F3" s="243"/>
      <c r="G3" s="243"/>
    </row>
    <row r="4" spans="1:8" s="252" customFormat="1" ht="15.75">
      <c r="A4" s="249" t="s">
        <v>2319</v>
      </c>
      <c r="B4" s="250"/>
      <c r="C4" s="250"/>
      <c r="D4" s="250"/>
      <c r="E4" s="250"/>
      <c r="F4" s="250"/>
      <c r="G4" s="251"/>
    </row>
    <row r="5" spans="1:8" s="258" customFormat="1" ht="13.5" customHeight="1">
      <c r="A5" s="299" t="s">
        <v>2320</v>
      </c>
      <c r="B5" s="254" t="s">
        <v>2321</v>
      </c>
      <c r="C5" s="255">
        <f ca="1">C6+C7+C8</f>
        <v>832694</v>
      </c>
      <c r="D5" s="255" t="s">
        <v>2322</v>
      </c>
      <c r="E5" s="256" t="s">
        <v>2323</v>
      </c>
      <c r="F5" s="256" t="s">
        <v>2324</v>
      </c>
      <c r="G5" s="257"/>
    </row>
    <row r="6" spans="1:8" s="258" customFormat="1" ht="13.5" customHeight="1">
      <c r="A6" s="951" t="s">
        <v>2325</v>
      </c>
      <c r="B6" s="259" t="s">
        <v>2326</v>
      </c>
      <c r="C6" s="260"/>
      <c r="D6" s="261"/>
      <c r="E6" s="262"/>
      <c r="F6" s="262"/>
      <c r="G6" s="263"/>
    </row>
    <row r="7" spans="1:8" s="258" customFormat="1" ht="13.5" customHeight="1">
      <c r="A7" s="951" t="s">
        <v>2327</v>
      </c>
      <c r="B7" s="259" t="s">
        <v>2328</v>
      </c>
      <c r="C7" s="264">
        <f>ROUND(C6*F7,0)</f>
        <v>0</v>
      </c>
      <c r="D7" s="264"/>
      <c r="E7" s="262"/>
      <c r="F7" s="265">
        <f>'数据-取费表'!B48+'数据-取费表'!B49</f>
        <v>3.0499999999999999E-2</v>
      </c>
      <c r="G7" s="263"/>
    </row>
    <row r="8" spans="1:8" s="267" customFormat="1">
      <c r="A8" s="951" t="s">
        <v>2329</v>
      </c>
      <c r="B8" s="259" t="s">
        <v>2330</v>
      </c>
      <c r="C8" s="264">
        <f ca="1">IF(G8="已包含在土地购买价格中",0,C9+C10)</f>
        <v>832694</v>
      </c>
      <c r="D8" s="266"/>
      <c r="E8" s="264"/>
      <c r="F8" s="265"/>
      <c r="G8" s="2545"/>
    </row>
    <row r="9" spans="1:8" s="258" customFormat="1" ht="13.5" customHeight="1">
      <c r="A9" s="952" t="s">
        <v>800</v>
      </c>
      <c r="B9" s="268" t="s">
        <v>2331</v>
      </c>
      <c r="C9" s="269">
        <f ca="1">ROUND(D9*E9,0)</f>
        <v>0</v>
      </c>
      <c r="D9" s="1034">
        <f ca="1">IF(B1="",'数据-汇总表'!E5,IF(INDIRECT("'数据-取费表'!c"&amp;$G$1)="住宅",INDIRECT("'数据-取费表'!k"&amp;$G$1),0))</f>
        <v>0</v>
      </c>
      <c r="E9" s="269">
        <f>'数据-取费表'!B27</f>
        <v>0</v>
      </c>
      <c r="F9" s="265"/>
      <c r="G9" s="270"/>
    </row>
    <row r="10" spans="1:8" s="258" customFormat="1" ht="13.5" customHeight="1">
      <c r="A10" s="952" t="s">
        <v>801</v>
      </c>
      <c r="B10" s="268" t="s">
        <v>2333</v>
      </c>
      <c r="C10" s="269">
        <f ca="1">ROUND(D10*E10,0)</f>
        <v>832694</v>
      </c>
      <c r="D10" s="1034">
        <f ca="1">IF(B1="",'数据-汇总表'!E6,IF(INDIRECT("'数据-取费表'!c"&amp;$G$1)="住宅",INDIRECT("'数据-取费表'!s"&amp;$G$1),INDIRECT("'数据-取费表'!k"&amp;$G$1)+INDIRECT("'数据-取费表'!s"&amp;$G$1)))</f>
        <v>4163.47</v>
      </c>
      <c r="E10" s="269">
        <f>'数据-取费表'!B28</f>
        <v>200</v>
      </c>
      <c r="F10" s="265"/>
      <c r="G10" s="270"/>
    </row>
    <row r="11" spans="1:8" s="258" customFormat="1" ht="13.5" hidden="1" customHeight="1">
      <c r="A11" s="271" t="s">
        <v>7</v>
      </c>
      <c r="B11" s="259" t="s">
        <v>2334</v>
      </c>
      <c r="C11" s="255"/>
      <c r="D11" s="1036"/>
      <c r="E11" s="262"/>
      <c r="F11" s="262"/>
      <c r="G11" s="263"/>
    </row>
    <row r="12" spans="1:8" s="258" customFormat="1" ht="13.5" hidden="1" customHeight="1">
      <c r="A12" s="271" t="s">
        <v>8</v>
      </c>
      <c r="B12" s="259" t="s">
        <v>2417</v>
      </c>
      <c r="C12" s="255">
        <v>0</v>
      </c>
      <c r="D12" s="1036"/>
      <c r="E12" s="272"/>
      <c r="F12" s="265">
        <v>3.0499999999999999E-2</v>
      </c>
      <c r="G12" s="263"/>
    </row>
    <row r="13" spans="1:8" s="258" customFormat="1" ht="13.5" hidden="1" customHeight="1">
      <c r="A13" s="271" t="s">
        <v>9</v>
      </c>
      <c r="B13" s="259" t="s">
        <v>2418</v>
      </c>
      <c r="C13" s="255"/>
      <c r="D13" s="1036"/>
      <c r="E13" s="262"/>
      <c r="F13" s="262"/>
      <c r="G13" s="263"/>
    </row>
    <row r="14" spans="1:8" s="258" customFormat="1" ht="13.5" hidden="1" customHeight="1">
      <c r="A14" s="271" t="s">
        <v>10</v>
      </c>
      <c r="B14" s="259" t="s">
        <v>2330</v>
      </c>
      <c r="C14" s="255"/>
      <c r="D14" s="1036"/>
      <c r="E14" s="262"/>
      <c r="F14" s="262"/>
      <c r="G14" s="263" t="s">
        <v>2419</v>
      </c>
    </row>
    <row r="15" spans="1:8" s="258" customFormat="1" ht="13.5" hidden="1" customHeight="1">
      <c r="A15" s="271" t="s">
        <v>11</v>
      </c>
      <c r="B15" s="259" t="s">
        <v>2420</v>
      </c>
      <c r="C15" s="264"/>
      <c r="D15" s="1036"/>
      <c r="E15" s="262"/>
      <c r="F15" s="262"/>
      <c r="G15" s="263" t="s">
        <v>2421</v>
      </c>
    </row>
    <row r="16" spans="1:8" s="258" customFormat="1" ht="13.5" hidden="1" customHeight="1">
      <c r="A16" s="271" t="s">
        <v>12</v>
      </c>
      <c r="B16" s="259" t="s">
        <v>2330</v>
      </c>
      <c r="C16" s="264"/>
      <c r="D16" s="1036"/>
      <c r="E16" s="262"/>
      <c r="F16" s="262"/>
      <c r="G16" s="263"/>
    </row>
    <row r="17" spans="1:7" s="258" customFormat="1" ht="13.5" hidden="1" customHeight="1">
      <c r="A17" s="271" t="s">
        <v>13</v>
      </c>
      <c r="B17" s="259" t="s">
        <v>2422</v>
      </c>
      <c r="C17" s="273"/>
      <c r="D17" s="1037"/>
      <c r="E17" s="273"/>
      <c r="F17" s="273"/>
      <c r="G17" s="263" t="s">
        <v>2421</v>
      </c>
    </row>
    <row r="18" spans="1:7" s="258" customFormat="1" ht="13.5" hidden="1" customHeight="1">
      <c r="A18" s="271" t="s">
        <v>14</v>
      </c>
      <c r="B18" s="259" t="s">
        <v>2423</v>
      </c>
      <c r="C18" s="264">
        <v>0</v>
      </c>
      <c r="D18" s="1036"/>
      <c r="E18" s="262"/>
      <c r="F18" s="265">
        <v>3.0499999999999999E-2</v>
      </c>
      <c r="G18" s="263" t="s">
        <v>2424</v>
      </c>
    </row>
    <row r="19" spans="1:7" s="267" customFormat="1" ht="13.5" customHeight="1">
      <c r="A19" s="299" t="s">
        <v>2425</v>
      </c>
      <c r="B19" s="254" t="s">
        <v>2426</v>
      </c>
      <c r="C19" s="255">
        <f ca="1">IF(G19="已包含在土地取得成本中","0",ROUND(D19*E19,0))</f>
        <v>832694</v>
      </c>
      <c r="D19" s="1038">
        <f ca="1">D9+D10</f>
        <v>4163.47</v>
      </c>
      <c r="E19" s="255">
        <f>'数据-取费表'!B31</f>
        <v>200</v>
      </c>
      <c r="F19" s="275"/>
      <c r="G19" s="2545"/>
    </row>
    <row r="20" spans="1:7" s="258" customFormat="1" ht="13.5" customHeight="1">
      <c r="A20" s="299" t="s">
        <v>2427</v>
      </c>
      <c r="B20" s="254" t="s">
        <v>2428</v>
      </c>
      <c r="C20" s="276">
        <f ca="1">ROUND((C5+C19)*F20,0)</f>
        <v>16654</v>
      </c>
      <c r="D20" s="276"/>
      <c r="E20" s="276"/>
      <c r="F20" s="277">
        <f>'数据-取费表'!B37</f>
        <v>0.01</v>
      </c>
      <c r="G20" s="278" t="s">
        <v>2429</v>
      </c>
    </row>
    <row r="21" spans="1:7" s="258" customFormat="1" ht="13.5" customHeight="1">
      <c r="A21" s="299" t="s">
        <v>2430</v>
      </c>
      <c r="B21" s="254" t="s">
        <v>2431</v>
      </c>
      <c r="C21" s="279">
        <f>F21</f>
        <v>0.01</v>
      </c>
      <c r="D21" s="280" t="s">
        <v>2432</v>
      </c>
      <c r="E21" s="276"/>
      <c r="F21" s="277">
        <f>'数据-取费表'!B38</f>
        <v>0.01</v>
      </c>
      <c r="G21" s="278" t="s">
        <v>2433</v>
      </c>
    </row>
    <row r="22" spans="1:7" s="258" customFormat="1" ht="13.5" customHeight="1">
      <c r="A22" s="299" t="s">
        <v>2434</v>
      </c>
      <c r="B22" s="254" t="s">
        <v>2435</v>
      </c>
      <c r="C22" s="1379">
        <f ca="1">ROUND(SUM(C23:C25),0)</f>
        <v>162761</v>
      </c>
      <c r="D22" s="279">
        <f ca="1">C26</f>
        <v>5.0000000000000001E-4</v>
      </c>
      <c r="E22" s="280" t="s">
        <v>2432</v>
      </c>
      <c r="F22" s="281">
        <f ca="1">'数据-取费表'!B40</f>
        <v>4.7500000000000001E-2</v>
      </c>
      <c r="G22" s="278" t="str">
        <f>IF('数据-取费表'!B22&lt;=1,"单利计息","复利计息")</f>
        <v>复利计息</v>
      </c>
    </row>
    <row r="23" spans="1:7" s="258" customFormat="1" ht="13.5" customHeight="1">
      <c r="A23" s="953" t="s">
        <v>2325</v>
      </c>
      <c r="B23" s="259" t="s">
        <v>2436</v>
      </c>
      <c r="C23" s="1380">
        <f ca="1">ROUND(IF('数据-取费表'!B22&lt;=1,C5*F22*'数据-取费表'!B22,C5*(POWER((1+F22),'数据-取费表'!B22)-1)),0)</f>
        <v>80985</v>
      </c>
      <c r="D23" s="282"/>
      <c r="E23" s="282"/>
      <c r="F23" s="283"/>
      <c r="G23" s="284" t="s">
        <v>2437</v>
      </c>
    </row>
    <row r="24" spans="1:7" s="258" customFormat="1" ht="13.5" customHeight="1">
      <c r="A24" s="953" t="s">
        <v>2327</v>
      </c>
      <c r="B24" s="259" t="s">
        <v>2438</v>
      </c>
      <c r="C24" s="1380">
        <f ca="1">ROUND(IF('数据-取费表'!B22&lt;=1,C19*F22*('数据-取费表'!B19/2+'数据-取费表'!B20),C19*(POWER((1+F22),('数据-取费表'!B19/2+'数据-取费表'!B20))-1)),0)</f>
        <v>80985</v>
      </c>
      <c r="D24" s="282"/>
      <c r="E24" s="282"/>
      <c r="F24" s="283"/>
      <c r="G24" s="284" t="s">
        <v>2439</v>
      </c>
    </row>
    <row r="25" spans="1:7" s="258" customFormat="1" ht="24">
      <c r="A25" s="953" t="s">
        <v>2329</v>
      </c>
      <c r="B25" s="259" t="s">
        <v>2440</v>
      </c>
      <c r="C25" s="1380">
        <f ca="1">ROUND(IF('数据-取费表'!B22&lt;=1,C20*F22*'数据-取费表'!B22/2,C20*(POWER((1+F22),'数据-取费表'!B22/2)-1)),0)</f>
        <v>791</v>
      </c>
      <c r="D25" s="282"/>
      <c r="E25" s="285"/>
      <c r="F25" s="283"/>
      <c r="G25" s="286" t="s">
        <v>2441</v>
      </c>
    </row>
    <row r="26" spans="1:7" s="258" customFormat="1">
      <c r="A26" s="953" t="s">
        <v>795</v>
      </c>
      <c r="B26" s="259" t="s">
        <v>2364</v>
      </c>
      <c r="C26" s="282">
        <f ca="1">ROUND(IF('数据-取费表'!B22&lt;=1,F21*F22*'数据-取费表'!B22/2,F21*(POWER((1+F22),'数据-取费表'!B22/2)-1)),4)</f>
        <v>5.0000000000000001E-4</v>
      </c>
      <c r="D26" s="282"/>
      <c r="E26" s="285"/>
      <c r="F26" s="283"/>
      <c r="G26" s="287"/>
    </row>
    <row r="27" spans="1:7" s="258" customFormat="1" ht="24.75">
      <c r="A27" s="299" t="s">
        <v>2365</v>
      </c>
      <c r="B27" s="288" t="s">
        <v>2366</v>
      </c>
      <c r="C27" s="289">
        <f ca="1">C28</f>
        <v>336408</v>
      </c>
      <c r="D27" s="279">
        <f ca="1">C29</f>
        <v>2E-3</v>
      </c>
      <c r="E27" s="280" t="s">
        <v>2367</v>
      </c>
      <c r="F27" s="290">
        <f ca="1">IF(B1="",'数据-取费表'!Q16,INDIRECT("'数据-取费表'!q"&amp;$G$1))</f>
        <v>0.2</v>
      </c>
      <c r="G27" s="291" t="s">
        <v>2368</v>
      </c>
    </row>
    <row r="28" spans="1:7" s="258" customFormat="1" ht="13.5" customHeight="1">
      <c r="A28" s="953" t="s">
        <v>791</v>
      </c>
      <c r="B28" s="292" t="s">
        <v>2369</v>
      </c>
      <c r="C28" s="293">
        <f ca="1">ROUND((C5+C19+C20)*F27,0)</f>
        <v>336408</v>
      </c>
      <c r="D28" s="279"/>
      <c r="E28" s="280"/>
      <c r="F28" s="290"/>
      <c r="G28" s="291"/>
    </row>
    <row r="29" spans="1:7" s="258" customFormat="1" ht="13.5" customHeight="1">
      <c r="A29" s="953" t="s">
        <v>792</v>
      </c>
      <c r="B29" s="292" t="s">
        <v>2370</v>
      </c>
      <c r="C29" s="282">
        <f ca="1">ROUND(C21*F27,4)</f>
        <v>2E-3</v>
      </c>
      <c r="D29" s="279"/>
      <c r="E29" s="280"/>
      <c r="F29" s="290"/>
      <c r="G29" s="291"/>
    </row>
    <row r="30" spans="1:7" s="258" customFormat="1" ht="13.5" customHeight="1">
      <c r="A30" s="299" t="s">
        <v>2371</v>
      </c>
      <c r="B30" s="254" t="s">
        <v>2372</v>
      </c>
      <c r="C30" s="279">
        <f>ROUND(F30/(1+'数据-取费表'!C42),4)</f>
        <v>5.33E-2</v>
      </c>
      <c r="D30" s="280" t="s">
        <v>2367</v>
      </c>
      <c r="E30" s="285"/>
      <c r="F30" s="281">
        <f>'数据-取费表'!B41</f>
        <v>5.6000000000000001E-2</v>
      </c>
      <c r="G30" s="278" t="s">
        <v>2373</v>
      </c>
    </row>
    <row r="31" spans="1:7" ht="16.5" customHeight="1">
      <c r="A31" s="253">
        <v>1</v>
      </c>
      <c r="B31" s="254" t="s">
        <v>2374</v>
      </c>
      <c r="C31" s="255">
        <f ca="1">ROUND((C5+C19+C20+C22+C27)/(1-C21-D22-D27-C30),0)</f>
        <v>2334844</v>
      </c>
      <c r="D31" s="274"/>
      <c r="E31" s="255"/>
      <c r="F31" s="294"/>
      <c r="G31" s="278" t="s">
        <v>2375</v>
      </c>
    </row>
    <row r="32" spans="1:7" s="252" customFormat="1" ht="15.75">
      <c r="A32" s="296" t="s">
        <v>2442</v>
      </c>
      <c r="B32" s="297"/>
      <c r="C32" s="297"/>
      <c r="D32" s="297"/>
      <c r="E32" s="297"/>
      <c r="F32" s="297"/>
      <c r="G32" s="298"/>
    </row>
    <row r="33" spans="1:7" s="258" customFormat="1" ht="13.5" customHeight="1">
      <c r="A33" s="299" t="s">
        <v>782</v>
      </c>
      <c r="B33" s="254" t="s">
        <v>2443</v>
      </c>
      <c r="C33" s="300">
        <f ca="1">SUM(C34:C38)</f>
        <v>14134981</v>
      </c>
      <c r="D33" s="276"/>
      <c r="E33" s="256"/>
      <c r="F33" s="285"/>
      <c r="G33" s="278"/>
    </row>
    <row r="34" spans="1:7" s="302" customFormat="1" ht="13.5" customHeight="1">
      <c r="A34" s="953" t="s">
        <v>791</v>
      </c>
      <c r="B34" s="259" t="s">
        <v>2378</v>
      </c>
      <c r="C34" s="264">
        <f ca="1">ROUND(IF(B1="",SUMPRODUCT('数据-取费表'!K6:K14,'数据-取费表'!L6:L14),INDIRECT("'数据-取费表'!l"&amp;$G$1)*INDIRECT("'数据-取费表'!k"&amp;$G$1)+'数据-取费表'!L14*INDIRECT("'数据-取费表'!S"&amp;$G$1)),0)</f>
        <v>12490410</v>
      </c>
      <c r="D34" s="261"/>
      <c r="E34" s="264"/>
      <c r="F34" s="301"/>
      <c r="G34" s="263"/>
    </row>
    <row r="35" spans="1:7" ht="13.5" customHeight="1">
      <c r="A35" s="953" t="s">
        <v>796</v>
      </c>
      <c r="B35" s="259" t="s">
        <v>2380</v>
      </c>
      <c r="C35" s="264">
        <f ca="1">ROUND(C34*F35,0)</f>
        <v>624521</v>
      </c>
      <c r="D35" s="264"/>
      <c r="E35" s="264"/>
      <c r="F35" s="303">
        <f>'数据-取费表'!B33</f>
        <v>0.05</v>
      </c>
      <c r="G35" s="263" t="s">
        <v>2381</v>
      </c>
    </row>
    <row r="36" spans="1:7" ht="24">
      <c r="A36" s="953" t="s">
        <v>797</v>
      </c>
      <c r="B36" s="259" t="s">
        <v>2382</v>
      </c>
      <c r="C36" s="264">
        <f ca="1">ROUND(IF(B1="",SUM('数据-取费表'!AP6:AP13)*F36,IF(INDIRECT("'数据-取费表'!c"&amp;$G$1)="住宅",INDIRECT("'数据-取费表'!k"&amp;$G$1)*INDIRECT("'数据-取费表'!l"&amp;$G$1)*F36,0)),0)</f>
        <v>0</v>
      </c>
      <c r="D36" s="264"/>
      <c r="E36" s="264"/>
      <c r="F36" s="303">
        <f>'数据-取费表'!B34</f>
        <v>0</v>
      </c>
      <c r="G36" s="304" t="s">
        <v>2383</v>
      </c>
    </row>
    <row r="37" spans="1:7" s="302" customFormat="1" ht="13.5" customHeight="1">
      <c r="A37" s="953" t="s">
        <v>798</v>
      </c>
      <c r="B37" s="259" t="s">
        <v>2384</v>
      </c>
      <c r="C37" s="293">
        <f ca="1">ROUND(E37*D37,0)</f>
        <v>832694</v>
      </c>
      <c r="D37" s="261">
        <f ca="1">D19</f>
        <v>4163.47</v>
      </c>
      <c r="E37" s="293">
        <f>'数据-取费表'!B35</f>
        <v>200</v>
      </c>
      <c r="F37" s="303"/>
      <c r="G37" s="305"/>
    </row>
    <row r="38" spans="1:7" ht="13.5" customHeight="1">
      <c r="A38" s="953" t="s">
        <v>799</v>
      </c>
      <c r="B38" s="259" t="s">
        <v>2386</v>
      </c>
      <c r="C38" s="264">
        <f ca="1">ROUND(C34*F38,0)</f>
        <v>187356</v>
      </c>
      <c r="D38" s="264"/>
      <c r="E38" s="264"/>
      <c r="F38" s="303">
        <f>'数据-取费表'!B36</f>
        <v>1.4999999999999999E-2</v>
      </c>
      <c r="G38" s="263" t="s">
        <v>2381</v>
      </c>
    </row>
    <row r="39" spans="1:7" s="258" customFormat="1" ht="13.5" customHeight="1">
      <c r="A39" s="299" t="s">
        <v>2387</v>
      </c>
      <c r="B39" s="254" t="s">
        <v>2388</v>
      </c>
      <c r="C39" s="276">
        <f ca="1">ROUND(C33*F20,0)</f>
        <v>141350</v>
      </c>
      <c r="D39" s="276"/>
      <c r="E39" s="276"/>
      <c r="F39" s="277"/>
      <c r="G39" s="278" t="s">
        <v>2389</v>
      </c>
    </row>
    <row r="40" spans="1:7" s="258" customFormat="1" ht="13.5" customHeight="1">
      <c r="A40" s="299" t="s">
        <v>2390</v>
      </c>
      <c r="B40" s="254" t="s">
        <v>2391</v>
      </c>
      <c r="C40" s="1727">
        <f>F21</f>
        <v>0.01</v>
      </c>
      <c r="D40" s="280" t="s">
        <v>2392</v>
      </c>
      <c r="E40" s="276"/>
      <c r="F40" s="277"/>
      <c r="G40" s="278" t="s">
        <v>2393</v>
      </c>
    </row>
    <row r="41" spans="1:7" s="258" customFormat="1" ht="13.5" customHeight="1">
      <c r="A41" s="299" t="s">
        <v>2394</v>
      </c>
      <c r="B41" s="254" t="s">
        <v>2395</v>
      </c>
      <c r="C41" s="276">
        <f ca="1">ROUND(SUM(C42:C43),0)</f>
        <v>678126</v>
      </c>
      <c r="D41" s="279">
        <f ca="1">C44</f>
        <v>5.0000000000000001E-4</v>
      </c>
      <c r="E41" s="280" t="s">
        <v>2392</v>
      </c>
      <c r="F41" s="281"/>
      <c r="G41" s="278" t="str">
        <f>IF('数据-取费表'!B22&lt;=1,"单利计息","复利计息")</f>
        <v>复利计息</v>
      </c>
    </row>
    <row r="42" spans="1:7" ht="13.5" customHeight="1">
      <c r="A42" s="953" t="s">
        <v>791</v>
      </c>
      <c r="B42" s="259" t="s">
        <v>2396</v>
      </c>
      <c r="C42" s="282">
        <f ca="1">ROUND(IF('数据-取费表'!B22&lt;=1,C33*F22*'数据-取费表'!B20/2,C33*(POWER((1+F22),'数据-取费表'!B20/2)-1)),0)</f>
        <v>671412</v>
      </c>
      <c r="D42" s="282"/>
      <c r="E42" s="282"/>
      <c r="F42" s="283"/>
      <c r="G42" s="3202" t="s">
        <v>2444</v>
      </c>
    </row>
    <row r="43" spans="1:7" ht="13.5" customHeight="1">
      <c r="A43" s="953" t="s">
        <v>792</v>
      </c>
      <c r="B43" s="259" t="s">
        <v>2398</v>
      </c>
      <c r="C43" s="282">
        <f ca="1">ROUND(IF('数据-取费表'!B22&lt;=1,C39*F22*'数据-取费表'!B20/2,C39*(POWER((1+F22),'数据-取费表'!B20/2)-1)),0)</f>
        <v>6714</v>
      </c>
      <c r="D43" s="282"/>
      <c r="E43" s="282"/>
      <c r="F43" s="283"/>
      <c r="G43" s="3203"/>
    </row>
    <row r="44" spans="1:7" ht="13.5" customHeight="1">
      <c r="A44" s="953" t="s">
        <v>793</v>
      </c>
      <c r="B44" s="259" t="s">
        <v>2399</v>
      </c>
      <c r="C44" s="282">
        <f ca="1">ROUND(IF('数据-取费表'!B22&lt;=1,C40*F22*'数据-取费表'!B20/2,C40*(POWER((1+F22),'数据-取费表'!B20/2)-1)),4)</f>
        <v>5.0000000000000001E-4</v>
      </c>
      <c r="D44" s="282"/>
      <c r="E44" s="282"/>
      <c r="F44" s="283"/>
      <c r="G44" s="3204"/>
    </row>
    <row r="45" spans="1:7" s="258" customFormat="1" ht="13.5" customHeight="1">
      <c r="A45" s="299" t="s">
        <v>2400</v>
      </c>
      <c r="B45" s="288" t="s">
        <v>2366</v>
      </c>
      <c r="C45" s="289">
        <f ca="1">C46</f>
        <v>2855266</v>
      </c>
      <c r="D45" s="279">
        <f ca="1">C47</f>
        <v>2E-3</v>
      </c>
      <c r="E45" s="280" t="s">
        <v>2392</v>
      </c>
      <c r="F45" s="290"/>
      <c r="G45" s="291" t="s">
        <v>2401</v>
      </c>
    </row>
    <row r="46" spans="1:7" s="258" customFormat="1" ht="13.5" customHeight="1">
      <c r="A46" s="953" t="s">
        <v>791</v>
      </c>
      <c r="B46" s="292" t="s">
        <v>2402</v>
      </c>
      <c r="C46" s="293">
        <f ca="1">ROUND((C33+C39)*F27,0)</f>
        <v>2855266</v>
      </c>
      <c r="D46" s="307"/>
      <c r="E46" s="280"/>
      <c r="F46" s="290"/>
      <c r="G46" s="291"/>
    </row>
    <row r="47" spans="1:7" s="258" customFormat="1" ht="13.5" customHeight="1">
      <c r="A47" s="953" t="s">
        <v>792</v>
      </c>
      <c r="B47" s="292" t="s">
        <v>2403</v>
      </c>
      <c r="C47" s="282">
        <f ca="1">ROUND(C40*F27,4)</f>
        <v>2E-3</v>
      </c>
      <c r="D47" s="307"/>
      <c r="E47" s="280"/>
      <c r="F47" s="290"/>
      <c r="G47" s="291"/>
    </row>
    <row r="48" spans="1:7" s="258" customFormat="1" ht="13.5" customHeight="1">
      <c r="A48" s="299" t="s">
        <v>2365</v>
      </c>
      <c r="B48" s="254" t="s">
        <v>2404</v>
      </c>
      <c r="C48" s="306">
        <f>ROUND(F30/(1+'数据-取费表'!C42),4)</f>
        <v>5.33E-2</v>
      </c>
      <c r="D48" s="280" t="s">
        <v>2392</v>
      </c>
      <c r="E48" s="276"/>
      <c r="F48" s="281"/>
      <c r="G48" s="278" t="s">
        <v>2405</v>
      </c>
    </row>
    <row r="49" spans="1:7" ht="16.5" customHeight="1">
      <c r="A49" s="299" t="s">
        <v>2371</v>
      </c>
      <c r="B49" s="254" t="s">
        <v>2445</v>
      </c>
      <c r="C49" s="276">
        <f ca="1">ROUND((C33+C39+C41+C45)/(1-C40-D41-D45-C48),0)</f>
        <v>19064144</v>
      </c>
      <c r="D49" s="276"/>
      <c r="E49" s="276"/>
      <c r="F49" s="308"/>
      <c r="G49" s="278" t="s">
        <v>2407</v>
      </c>
    </row>
    <row r="50" spans="1:7" s="302" customFormat="1">
      <c r="A50" s="299" t="s">
        <v>2408</v>
      </c>
      <c r="B50" s="254" t="s">
        <v>2409</v>
      </c>
      <c r="C50" s="276"/>
      <c r="D50" s="276"/>
      <c r="E50" s="276"/>
      <c r="F50" s="308">
        <f>IF('数据-取费表'!B24=0,'数据-取费表'!N16,1)</f>
        <v>0.87</v>
      </c>
      <c r="G50" s="291"/>
    </row>
    <row r="51" spans="1:7" ht="16.5" customHeight="1">
      <c r="A51" s="299" t="s">
        <v>2411</v>
      </c>
      <c r="B51" s="254" t="s">
        <v>2446</v>
      </c>
      <c r="C51" s="276">
        <f ca="1">ROUND(C49*F50,0)</f>
        <v>16585805</v>
      </c>
      <c r="D51" s="276"/>
      <c r="E51" s="276"/>
      <c r="F51" s="308"/>
      <c r="G51" s="278" t="s">
        <v>2413</v>
      </c>
    </row>
    <row r="52" spans="1:7" s="252" customFormat="1" ht="16.5" thickBot="1">
      <c r="A52" s="309" t="s">
        <v>2414</v>
      </c>
      <c r="B52" s="310"/>
      <c r="C52" s="311">
        <f ca="1">C31+C51</f>
        <v>18920649</v>
      </c>
      <c r="D52" s="310"/>
      <c r="E52" s="310"/>
      <c r="F52" s="310"/>
      <c r="G52" s="312"/>
    </row>
    <row r="55" spans="1:7" ht="15">
      <c r="B55" s="314" t="s">
        <v>2415</v>
      </c>
      <c r="C55" s="315"/>
    </row>
    <row r="56" spans="1:7">
      <c r="B56" s="317" t="s">
        <v>1513</v>
      </c>
      <c r="C56" s="319">
        <f ca="1">1-C57</f>
        <v>0.123</v>
      </c>
    </row>
    <row r="57" spans="1:7">
      <c r="B57" s="317" t="s">
        <v>1514</v>
      </c>
      <c r="C57" s="318">
        <f ca="1">ROUND(C51/C52,3)</f>
        <v>0.877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7" customWidth="1"/>
    <col min="2" max="2" width="25.75" style="954" customWidth="1"/>
    <col min="3" max="3" width="10.375" style="997" customWidth="1"/>
    <col min="4" max="4" width="9.875" style="954" customWidth="1"/>
    <col min="5" max="5" width="9.5" style="797"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40" t="s">
        <v>2447</v>
      </c>
      <c r="B1" s="1580"/>
      <c r="C1" s="1581"/>
      <c r="D1" s="1579"/>
      <c r="E1" s="320"/>
      <c r="F1" s="320"/>
      <c r="G1" s="1580"/>
      <c r="H1" s="320"/>
      <c r="I1" s="320"/>
      <c r="J1" s="320"/>
      <c r="K1" s="320">
        <f>MATCH(C1,'数据-取费表'!A6:A16,0)+5</f>
        <v>8</v>
      </c>
    </row>
    <row r="2" spans="1:33" ht="18" customHeight="1">
      <c r="A2" s="245" t="s">
        <v>2315</v>
      </c>
      <c r="B2" s="248">
        <f ca="1">C32</f>
        <v>0</v>
      </c>
      <c r="C2" s="320" t="s">
        <v>2448</v>
      </c>
      <c r="D2" s="320"/>
      <c r="E2" s="320"/>
      <c r="F2" s="320"/>
      <c r="G2" s="320"/>
      <c r="H2" s="320"/>
      <c r="I2" s="320"/>
      <c r="J2" s="320"/>
      <c r="K2" s="320"/>
    </row>
    <row r="3" spans="1:33" ht="18" customHeight="1" thickBot="1">
      <c r="A3" s="247" t="s">
        <v>2317</v>
      </c>
      <c r="B3" s="248">
        <f ca="1">ROUND(B2*10000/IF(C1="",'数据-汇总表'!E3,INDIRECT("'数据-取费表'!K"&amp;$K$1)),0)</f>
        <v>0</v>
      </c>
      <c r="C3" s="320" t="s">
        <v>2449</v>
      </c>
      <c r="D3" s="320"/>
      <c r="E3" s="320"/>
      <c r="F3" s="320"/>
      <c r="G3" s="320"/>
      <c r="H3" s="320"/>
      <c r="I3" s="320"/>
      <c r="J3" s="320"/>
      <c r="K3" s="320"/>
    </row>
    <row r="4" spans="1:33" s="958" customFormat="1" ht="16.5" customHeight="1">
      <c r="A4" s="955" t="s">
        <v>2450</v>
      </c>
      <c r="B4" s="956"/>
      <c r="C4" s="998">
        <f>SUM(C8:K8)</f>
        <v>0</v>
      </c>
      <c r="D4" s="956"/>
      <c r="E4" s="956"/>
      <c r="F4" s="956"/>
      <c r="G4" s="956"/>
      <c r="H4" s="956"/>
      <c r="I4" s="956"/>
      <c r="J4" s="956"/>
      <c r="K4" s="957"/>
    </row>
    <row r="5" spans="1:33" s="962" customFormat="1" ht="24.75">
      <c r="A5" s="959" t="s">
        <v>2451</v>
      </c>
      <c r="B5" s="960" t="s">
        <v>2452</v>
      </c>
      <c r="C5" s="2549" t="s">
        <v>2453</v>
      </c>
      <c r="D5" s="2549" t="s">
        <v>2454</v>
      </c>
      <c r="E5" s="2549" t="s">
        <v>2455</v>
      </c>
      <c r="F5" s="2549"/>
      <c r="G5" s="2549"/>
      <c r="H5" s="2549"/>
      <c r="I5" s="2549"/>
      <c r="J5" s="2549"/>
      <c r="K5" s="2549"/>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40" t="s">
        <v>2456</v>
      </c>
      <c r="C6" s="964"/>
      <c r="D6" s="964"/>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2457</v>
      </c>
      <c r="B7" s="140" t="s">
        <v>2458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50" t="s">
        <v>2459</v>
      </c>
      <c r="B8" s="177" t="s">
        <v>2460</v>
      </c>
      <c r="C8" s="999"/>
      <c r="D8" s="999"/>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2461</v>
      </c>
      <c r="B9" s="956"/>
      <c r="C9" s="956"/>
      <c r="D9" s="956"/>
      <c r="E9" s="956"/>
      <c r="F9" s="956"/>
      <c r="G9" s="956"/>
      <c r="H9" s="956"/>
      <c r="I9" s="956"/>
      <c r="J9" s="956"/>
      <c r="K9" s="957"/>
    </row>
    <row r="10" spans="1:33" s="972" customFormat="1" ht="13.5" customHeight="1">
      <c r="A10" s="959" t="s">
        <v>2462</v>
      </c>
      <c r="B10" s="8" t="s">
        <v>2463</v>
      </c>
      <c r="C10" s="968" t="s">
        <v>2464</v>
      </c>
      <c r="D10" s="969" t="s">
        <v>2465</v>
      </c>
      <c r="E10" s="969" t="s">
        <v>2466</v>
      </c>
      <c r="F10" s="969" t="s">
        <v>2467</v>
      </c>
      <c r="G10" s="8"/>
      <c r="H10" s="970"/>
      <c r="I10" s="970"/>
      <c r="J10" s="970"/>
      <c r="K10" s="971"/>
    </row>
    <row r="11" spans="1:33" s="977" customFormat="1" ht="13.5" customHeight="1">
      <c r="A11" s="973" t="s">
        <v>1334</v>
      </c>
      <c r="B11" s="974" t="s">
        <v>2468</v>
      </c>
      <c r="C11" s="323">
        <f ca="1">IF(C1="",'数据-取费表'!P16,INDIRECT("'数据-取费表'!p"&amp;$K$1)+INDIRECT("'数据-取费表'!ar"&amp;$K$1))</f>
        <v>0</v>
      </c>
      <c r="D11" s="975"/>
      <c r="E11" s="375"/>
      <c r="F11" s="976">
        <f ca="1">1-IF('数据-取费表'!B24=0,1,IF(C1="",'数据-取费表'!N16,INDIRECT("'数据-取费表'!n"&amp;$K$1)))</f>
        <v>0</v>
      </c>
      <c r="G11" s="8"/>
      <c r="H11" s="970"/>
      <c r="I11" s="970"/>
      <c r="J11" s="970"/>
      <c r="K11" s="971"/>
    </row>
    <row r="12" spans="1:33" s="977" customFormat="1" ht="13.5" customHeight="1">
      <c r="A12" s="973" t="s">
        <v>1335</v>
      </c>
      <c r="B12" s="974" t="s">
        <v>2469</v>
      </c>
      <c r="C12" s="24">
        <f ca="1">ROUND(C11*F12,0)</f>
        <v>0</v>
      </c>
      <c r="D12" s="975"/>
      <c r="E12" s="375"/>
      <c r="F12" s="978">
        <f>'数据-取费表'!B33</f>
        <v>0.05</v>
      </c>
      <c r="G12" s="8" t="s">
        <v>2470</v>
      </c>
      <c r="H12" s="970"/>
      <c r="I12" s="970"/>
      <c r="J12" s="970"/>
      <c r="K12" s="971"/>
    </row>
    <row r="13" spans="1:33" s="977" customFormat="1" ht="13.5" customHeight="1">
      <c r="A13" s="973" t="s">
        <v>1336</v>
      </c>
      <c r="B13" s="974" t="s">
        <v>2471</v>
      </c>
      <c r="C13" s="24">
        <f ca="1">ROUND(IF(C1="",SUMIF('数据-取费表'!C:C,"住宅",'数据-取费表'!P:P)*F13,IF(INDIRECT("'数据-取费表'!c"&amp;$K$1)="住宅",INDIRECT("'数据-取费表'!P"&amp;$K$1)*F13,0)),0)</f>
        <v>0</v>
      </c>
      <c r="D13" s="1035"/>
      <c r="E13" s="375"/>
      <c r="F13" s="978">
        <f>'数据-取费表'!B34</f>
        <v>0</v>
      </c>
      <c r="G13" s="8" t="s">
        <v>2472</v>
      </c>
      <c r="H13" s="970"/>
      <c r="I13" s="970"/>
      <c r="J13" s="970"/>
      <c r="K13" s="971"/>
    </row>
    <row r="14" spans="1:33" s="979" customFormat="1" ht="13.5" customHeight="1">
      <c r="A14" s="973" t="s">
        <v>1337</v>
      </c>
      <c r="B14" s="974" t="s">
        <v>2473</v>
      </c>
      <c r="C14" s="24">
        <f ca="1">ROUND(D14*E14*F11/10000,0)</f>
        <v>0</v>
      </c>
      <c r="D14" s="1035">
        <f ca="1">IF(C1="",'数据-汇总表'!E3,INDIRECT("'数据-取费表'!K"&amp;$K$1)+INDIRECT("'数据-取费表'!S"&amp;$K$1))</f>
        <v>4163.47</v>
      </c>
      <c r="E14" s="24">
        <f>'数据-取费表'!B35</f>
        <v>200</v>
      </c>
      <c r="F14" s="978"/>
      <c r="G14" s="8" t="s">
        <v>2474</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1338</v>
      </c>
      <c r="B15" s="974" t="s">
        <v>2475</v>
      </c>
      <c r="C15" s="985">
        <f ca="1">ROUND(C11*F15,0)</f>
        <v>0</v>
      </c>
      <c r="D15" s="980"/>
      <c r="E15" s="985"/>
      <c r="F15" s="986">
        <f>'数据-取费表'!B36</f>
        <v>1.4999999999999999E-2</v>
      </c>
      <c r="G15" s="140" t="s">
        <v>2476</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2477</v>
      </c>
      <c r="C16" s="985">
        <f ca="1">SUM(C11:C15)</f>
        <v>0</v>
      </c>
      <c r="D16" s="980"/>
      <c r="E16" s="985"/>
      <c r="F16" s="986"/>
      <c r="G16" s="140"/>
      <c r="H16" s="1577"/>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2478</v>
      </c>
      <c r="C17" s="24">
        <f ca="1">ROUND(D17*E17/10000,0)</f>
        <v>0</v>
      </c>
      <c r="D17" s="1035">
        <f ca="1">D14</f>
        <v>4163.47</v>
      </c>
      <c r="E17" s="24">
        <f>'数据-取费表'!B32</f>
        <v>0</v>
      </c>
      <c r="F17" s="980"/>
      <c r="G17" s="140" t="s">
        <v>2479</v>
      </c>
      <c r="H17" s="1577"/>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1339</v>
      </c>
      <c r="B18" s="974" t="s">
        <v>2480</v>
      </c>
      <c r="C18" s="24">
        <f ca="1">C19+C20-IF(C1="",'数据-取费表'!B29,IF(G18="已全部缴纳",C19+C20,H18))</f>
        <v>0</v>
      </c>
      <c r="D18" s="1035"/>
      <c r="E18" s="24"/>
      <c r="F18" s="978"/>
      <c r="G18" s="2551"/>
      <c r="H18" s="1576"/>
      <c r="I18" s="2552" t="s">
        <v>2481</v>
      </c>
      <c r="J18" s="981"/>
      <c r="K18" s="982"/>
    </row>
    <row r="19" spans="1:33" s="977" customFormat="1" ht="13.5" customHeight="1">
      <c r="A19" s="973" t="s">
        <v>805</v>
      </c>
      <c r="B19" s="974" t="s">
        <v>2482</v>
      </c>
      <c r="C19" s="24">
        <f ca="1">ROUND(D19*E19/10000,0)</f>
        <v>0</v>
      </c>
      <c r="D19" s="1035">
        <f ca="1">IF(C1="",'数据-汇总表'!E5,IF(INDIRECT("'数据-取费表'!c"&amp;$K$1)="住宅",INDIRECT("'数据-取费表'!k"&amp;$K$1),0))</f>
        <v>0</v>
      </c>
      <c r="E19" s="24">
        <f>'数据-取费表'!B27</f>
        <v>0</v>
      </c>
      <c r="F19" s="978"/>
      <c r="G19" s="15"/>
      <c r="H19" s="1578"/>
      <c r="I19" s="983"/>
      <c r="J19" s="983"/>
      <c r="K19" s="984"/>
    </row>
    <row r="20" spans="1:33" s="977" customFormat="1" ht="13.5" customHeight="1">
      <c r="A20" s="973" t="s">
        <v>806</v>
      </c>
      <c r="B20" s="974" t="s">
        <v>2483</v>
      </c>
      <c r="C20" s="24">
        <f ca="1">ROUND(D20*E20/10000,0)</f>
        <v>83</v>
      </c>
      <c r="D20" s="1035">
        <f ca="1">IF(C1="",'数据-汇总表'!E6,IF(INDIRECT("'数据-取费表'!c"&amp;$K$1)="住宅",INDIRECT("'数据-取费表'!s"&amp;$K$1),INDIRECT("'数据-取费表'!k"&amp;$K$1)+INDIRECT("'数据-取费表'!s"&amp;$K$1)))</f>
        <v>4163.47</v>
      </c>
      <c r="E20" s="24">
        <f>'数据-取费表'!B28</f>
        <v>200</v>
      </c>
      <c r="F20" s="978"/>
      <c r="G20" s="15"/>
      <c r="H20" s="983"/>
      <c r="I20" s="983"/>
      <c r="J20" s="983"/>
      <c r="K20" s="984"/>
    </row>
    <row r="21" spans="1:33" s="977" customFormat="1" ht="13.5" customHeight="1">
      <c r="A21" s="963" t="s">
        <v>802</v>
      </c>
      <c r="B21" s="987" t="s">
        <v>2484</v>
      </c>
      <c r="C21" s="988">
        <f ca="1">C16+C17+C18</f>
        <v>0</v>
      </c>
      <c r="D21" s="989"/>
      <c r="E21" s="325"/>
      <c r="F21" s="325"/>
      <c r="G21" s="140" t="s">
        <v>2485</v>
      </c>
      <c r="H21" s="981"/>
      <c r="I21" s="981"/>
      <c r="J21" s="981"/>
      <c r="K21" s="982"/>
    </row>
    <row r="22" spans="1:33" s="977" customFormat="1" ht="13.5" customHeight="1">
      <c r="A22" s="963" t="s">
        <v>2457</v>
      </c>
      <c r="B22" s="987" t="s">
        <v>2486</v>
      </c>
      <c r="C22" s="988">
        <f ca="1">ROUND(C21*F22,0)</f>
        <v>0</v>
      </c>
      <c r="D22" s="325"/>
      <c r="E22" s="325"/>
      <c r="F22" s="990">
        <f>'数据-取费表'!B37</f>
        <v>0.01</v>
      </c>
      <c r="G22" s="8" t="s">
        <v>2487</v>
      </c>
      <c r="H22" s="970"/>
      <c r="I22" s="970"/>
      <c r="J22" s="970"/>
      <c r="K22" s="971"/>
    </row>
    <row r="23" spans="1:33" s="977" customFormat="1" ht="13.5" customHeight="1">
      <c r="A23" s="963" t="s">
        <v>2459</v>
      </c>
      <c r="B23" s="987" t="s">
        <v>2488</v>
      </c>
      <c r="C23" s="988">
        <f ca="1">ROUND(C4*F23*F11,0)</f>
        <v>0</v>
      </c>
      <c r="D23" s="325"/>
      <c r="E23" s="325"/>
      <c r="F23" s="990">
        <f>'数据-取费表'!B38</f>
        <v>0.01</v>
      </c>
      <c r="G23" s="8" t="s">
        <v>2489</v>
      </c>
      <c r="H23" s="970"/>
      <c r="I23" s="970"/>
      <c r="J23" s="970"/>
      <c r="K23" s="971"/>
    </row>
    <row r="24" spans="1:33" s="977" customFormat="1" ht="13.5" customHeight="1">
      <c r="A24" s="963" t="s">
        <v>2490</v>
      </c>
      <c r="B24" s="987" t="s">
        <v>2491</v>
      </c>
      <c r="C24" s="324">
        <f>ROUND(F24/(1+'数据-取费表'!C42),4)</f>
        <v>2.9000000000000001E-2</v>
      </c>
      <c r="D24" s="325" t="s">
        <v>15</v>
      </c>
      <c r="E24" s="325"/>
      <c r="F24" s="990">
        <f>'数据-取费表'!B48+'数据-取费表'!B49</f>
        <v>3.0499999999999999E-2</v>
      </c>
      <c r="G24" s="8" t="s">
        <v>2492</v>
      </c>
      <c r="H24" s="992"/>
      <c r="I24" s="992"/>
      <c r="J24" s="992"/>
      <c r="K24" s="993"/>
    </row>
    <row r="25" spans="1:33" s="977" customFormat="1" ht="13.5" customHeight="1">
      <c r="A25" s="963" t="s">
        <v>2493</v>
      </c>
      <c r="B25" s="989" t="s">
        <v>2494</v>
      </c>
      <c r="C25" s="1355">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2"/>
      <c r="I25" s="992"/>
      <c r="J25" s="992"/>
      <c r="K25" s="993"/>
    </row>
    <row r="26" spans="1:33" s="995" customFormat="1" ht="13.5" customHeight="1">
      <c r="A26" s="973" t="s">
        <v>803</v>
      </c>
      <c r="B26" s="994" t="s">
        <v>2495</v>
      </c>
      <c r="C26" s="1356">
        <f ca="1">ROUND(IF('数据-取费表'!B22&lt;=1,(1+C24)*F25*'数据-取费表'!B24,(1+C24)*(POWER((1+F25),'数据-取费表'!B24)-1)),4)</f>
        <v>0</v>
      </c>
      <c r="D26" s="328"/>
      <c r="E26" s="329"/>
      <c r="F26" s="330"/>
      <c r="G26" s="2553" t="str">
        <f>IF('数据-取费表'!B22&lt;=1,"（(1)+取得税费率/(1+5%)）×年利率×建设期","（(1)+取得税费率）/(1+5%)×((1+年利率)^建设期-1)")</f>
        <v>（(1)+取得税费率）/(1+5%)×((1+年利率)^建设期-1)</v>
      </c>
      <c r="H26" s="981"/>
      <c r="I26" s="981"/>
      <c r="J26" s="981"/>
      <c r="K26" s="982"/>
    </row>
    <row r="27" spans="1:33" s="995" customFormat="1" ht="13.5" customHeight="1">
      <c r="A27" s="973" t="s">
        <v>804</v>
      </c>
      <c r="B27" s="994" t="s">
        <v>2496</v>
      </c>
      <c r="C27" s="1357">
        <f ca="1">ROUND(IF('数据-取费表'!B22&lt;=1,(C21+C22+C23)*F25*'数据-取费表'!B24/2,(C21+C22+C23)*(POWER((1+F25),'数据-取费表'!B24/2)-1)),0)</f>
        <v>0</v>
      </c>
      <c r="D27" s="328"/>
      <c r="E27" s="329"/>
      <c r="F27" s="330"/>
      <c r="G27" s="2553" t="str">
        <f>IF('数据-取费表'!B22&lt;=1,"（1）-（3）项×年利率×建设期÷2","（1）-（3）项×((1+年利率)^(建设期÷2)-1)")</f>
        <v>（1）-（3）项×((1+年利率)^(建设期÷2)-1)</v>
      </c>
      <c r="H27" s="981"/>
      <c r="I27" s="981"/>
      <c r="J27" s="981"/>
      <c r="K27" s="982"/>
    </row>
    <row r="28" spans="1:33" s="333" customFormat="1" ht="13.5" customHeight="1">
      <c r="A28" s="963" t="s">
        <v>2497</v>
      </c>
      <c r="B28" s="2554" t="s">
        <v>2498</v>
      </c>
      <c r="C28" s="331">
        <f ca="1">C30</f>
        <v>0</v>
      </c>
      <c r="D28" s="324">
        <f ca="1">C29</f>
        <v>0</v>
      </c>
      <c r="E28" s="326" t="s">
        <v>15</v>
      </c>
      <c r="F28" s="332">
        <f ca="1">IF(C1="",'数据-取费表'!Q16,INDIRECT("'数据-取费表'!q"&amp;$K$1))</f>
        <v>0.2</v>
      </c>
      <c r="G28" s="991"/>
      <c r="H28" s="992"/>
      <c r="I28" s="992"/>
      <c r="J28" s="992"/>
      <c r="K28" s="993"/>
    </row>
    <row r="29" spans="1:33" s="335" customFormat="1" ht="13.5" customHeight="1">
      <c r="A29" s="973" t="s">
        <v>803</v>
      </c>
      <c r="B29" s="996" t="s">
        <v>2499</v>
      </c>
      <c r="C29" s="328">
        <f ca="1">ROUND((1+C24)*F28*'数据-取费表'!B24/'数据-取费表'!B20,4)</f>
        <v>0</v>
      </c>
      <c r="D29" s="328"/>
      <c r="E29" s="329"/>
      <c r="F29" s="334"/>
      <c r="G29" s="140" t="s">
        <v>2500</v>
      </c>
      <c r="H29" s="981"/>
      <c r="I29" s="981"/>
      <c r="J29" s="981"/>
      <c r="K29" s="982"/>
    </row>
    <row r="30" spans="1:33" s="335" customFormat="1" ht="13.5" customHeight="1">
      <c r="A30" s="973" t="s">
        <v>804</v>
      </c>
      <c r="B30" s="996" t="s">
        <v>2501</v>
      </c>
      <c r="C30" s="336">
        <f ca="1">ROUND((C21+C22+C23)*F28,0)</f>
        <v>0</v>
      </c>
      <c r="D30" s="328"/>
      <c r="E30" s="329"/>
      <c r="F30" s="334"/>
      <c r="G30" s="140"/>
      <c r="H30" s="981"/>
      <c r="I30" s="981"/>
      <c r="J30" s="981"/>
      <c r="K30" s="982"/>
    </row>
    <row r="31" spans="1:33" s="977" customFormat="1" ht="13.5" customHeight="1" thickBot="1">
      <c r="A31" s="2555" t="s">
        <v>2502</v>
      </c>
      <c r="B31" s="1007" t="s">
        <v>2503</v>
      </c>
      <c r="C31" s="1008">
        <f>ROUND(C4*F31/(1+'数据-取费表'!C42),0)</f>
        <v>0</v>
      </c>
      <c r="D31" s="1009"/>
      <c r="E31" s="1010"/>
      <c r="F31" s="1011">
        <f>'数据-取费表'!B41</f>
        <v>5.6000000000000001E-2</v>
      </c>
      <c r="G31" s="1012" t="s">
        <v>2504</v>
      </c>
      <c r="H31" s="1013"/>
      <c r="I31" s="1013"/>
      <c r="J31" s="1013"/>
      <c r="K31" s="1014"/>
    </row>
    <row r="32" spans="1:33" s="972" customFormat="1" ht="13.5" customHeight="1" thickBot="1">
      <c r="A32" s="1002" t="s">
        <v>2505</v>
      </c>
      <c r="B32" s="1003"/>
      <c r="C32" s="1004">
        <f ca="1">ROUND((C4-C21-C22-C23-C25-C28-C31)/(1+C24+D25+D28),0)</f>
        <v>0</v>
      </c>
      <c r="D32" s="1003"/>
      <c r="E32" s="1003"/>
      <c r="F32" s="1003"/>
      <c r="G32" s="1005" t="s">
        <v>2506</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K15" sqref="K15"/>
    </sheetView>
  </sheetViews>
  <sheetFormatPr defaultRowHeight="14.25"/>
  <cols>
    <col min="1" max="1" width="10.5" style="403" customWidth="1"/>
    <col min="2" max="2" width="15.75" style="403" customWidth="1"/>
    <col min="3" max="3" width="18.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2516</v>
      </c>
      <c r="B1" s="2577" t="s">
        <v>2630</v>
      </c>
      <c r="C1" s="1633" t="s">
        <v>2518</v>
      </c>
      <c r="D1" s="1620" t="s">
        <v>3053</v>
      </c>
      <c r="E1" s="2652"/>
      <c r="F1" s="2579" t="s">
        <v>3060</v>
      </c>
      <c r="G1" s="1630" t="s">
        <v>2631</v>
      </c>
      <c r="H1" s="1629"/>
      <c r="I1" s="1629"/>
      <c r="J1" s="1629"/>
      <c r="K1" s="1631"/>
      <c r="L1" s="1632"/>
      <c r="M1" s="1633"/>
      <c r="N1" s="1633"/>
      <c r="O1" s="1633"/>
      <c r="P1" s="2653"/>
      <c r="Q1" s="2654"/>
      <c r="R1" s="2654"/>
      <c r="S1" s="2654"/>
      <c r="T1" s="2654"/>
      <c r="U1" s="2654"/>
      <c r="V1" s="2654"/>
      <c r="W1" s="2654"/>
      <c r="X1" s="2654"/>
      <c r="Y1" s="2654"/>
      <c r="Z1" s="2654"/>
      <c r="AA1" s="2654"/>
      <c r="AB1" s="2654"/>
      <c r="AC1" s="2655"/>
    </row>
    <row r="2" spans="1:29" s="398" customFormat="1" ht="28.5" customHeight="1" thickTop="1">
      <c r="A2" s="1616" t="s">
        <v>2315</v>
      </c>
      <c r="B2" s="1417">
        <f>IF(C2="——",ROUND(C49*D3/10000,0),ROUND(C49*D3/10000,0)-D2)</f>
        <v>0</v>
      </c>
      <c r="C2" s="2581" t="s">
        <v>70</v>
      </c>
      <c r="D2" s="1364" t="e">
        <f ca="1">SUMIF(INDIRECT("'"&amp;F2&amp;"'"&amp;"!A:A"),"承租人权益价值",INDIRECT("'"&amp;F2&amp;"'"&amp;"!c:c"))</f>
        <v>#REF!</v>
      </c>
      <c r="E2" s="2582" t="s">
        <v>2316</v>
      </c>
      <c r="F2" s="2583"/>
      <c r="G2" s="1124"/>
      <c r="H2" s="1124"/>
      <c r="I2" s="1124"/>
      <c r="J2" s="1124"/>
      <c r="K2" s="1124"/>
      <c r="L2" s="1127"/>
      <c r="M2" s="1128"/>
      <c r="N2" s="1128"/>
      <c r="O2" s="1128"/>
      <c r="P2" s="2656"/>
      <c r="Q2" s="1128"/>
      <c r="R2" s="1128"/>
      <c r="S2" s="1128"/>
      <c r="T2" s="1128"/>
      <c r="U2" s="1128"/>
      <c r="V2" s="1128"/>
      <c r="W2" s="1128"/>
      <c r="X2" s="1128"/>
      <c r="Y2" s="1128"/>
      <c r="Z2" s="1128"/>
      <c r="AA2" s="1128"/>
      <c r="AB2" s="1128"/>
      <c r="AC2" s="2657"/>
    </row>
    <row r="3" spans="1:29" s="398" customFormat="1" ht="28.5" customHeight="1" thickBot="1">
      <c r="A3" s="247" t="s">
        <v>2317</v>
      </c>
      <c r="B3" s="609">
        <f>IF(C2="——",C49,ROUND(B2*10000/D3,0))</f>
        <v>49349</v>
      </c>
      <c r="C3" s="400" t="s">
        <v>2632</v>
      </c>
      <c r="D3" s="399">
        <f>IF(D1="",'数据-汇总表'!E3,SUMIF('数据-汇总表'!$C19:$C33,D1,'数据-汇总表'!$E19:$E33))</f>
        <v>0</v>
      </c>
      <c r="E3" s="2658"/>
      <c r="F3" s="1125"/>
      <c r="G3" s="1124"/>
      <c r="H3" s="1124"/>
      <c r="I3" s="1124"/>
      <c r="J3" s="1124"/>
      <c r="K3" s="1126"/>
      <c r="L3" s="1127"/>
      <c r="M3" s="1128"/>
      <c r="N3" s="1128"/>
      <c r="O3" s="1128"/>
      <c r="P3" s="2656"/>
      <c r="Q3" s="1128"/>
      <c r="R3" s="1128"/>
      <c r="S3" s="1128"/>
      <c r="T3" s="1128"/>
      <c r="U3" s="1128"/>
      <c r="V3" s="1128"/>
      <c r="W3" s="1128"/>
      <c r="X3" s="1128"/>
      <c r="Y3" s="1128"/>
      <c r="Z3" s="1128"/>
      <c r="AA3" s="1128"/>
      <c r="AB3" s="1128"/>
      <c r="AC3" s="2658"/>
    </row>
    <row r="4" spans="1:29" ht="15">
      <c r="A4" s="401" t="s">
        <v>2633</v>
      </c>
      <c r="B4" s="402"/>
      <c r="C4" s="3224" t="s">
        <v>2634</v>
      </c>
      <c r="D4" s="3225"/>
      <c r="E4" s="3226" t="s">
        <v>2635</v>
      </c>
      <c r="F4" s="3227"/>
      <c r="G4" s="3224" t="s">
        <v>2636</v>
      </c>
      <c r="H4" s="3225"/>
      <c r="I4" s="3224" t="s">
        <v>2637</v>
      </c>
      <c r="J4" s="3225"/>
      <c r="K4" s="610" t="s">
        <v>2638</v>
      </c>
      <c r="L4" s="1129"/>
      <c r="M4" s="1130"/>
      <c r="N4" s="1130"/>
      <c r="O4" s="1130"/>
      <c r="P4" s="3228" t="s">
        <v>2639</v>
      </c>
      <c r="Q4" s="3229"/>
      <c r="R4" s="3211" t="s">
        <v>2635</v>
      </c>
      <c r="S4" s="3212"/>
      <c r="T4" s="3211" t="s">
        <v>2636</v>
      </c>
      <c r="U4" s="3212"/>
      <c r="V4" s="3208" t="s">
        <v>2637</v>
      </c>
      <c r="W4" s="3208"/>
      <c r="X4" s="1811"/>
      <c r="Y4" s="3211" t="s">
        <v>2639</v>
      </c>
      <c r="Z4" s="3212"/>
      <c r="AA4" s="3205" t="s">
        <v>2635</v>
      </c>
      <c r="AB4" s="3208" t="s">
        <v>2636</v>
      </c>
      <c r="AC4" s="3205" t="s">
        <v>2637</v>
      </c>
    </row>
    <row r="5" spans="1:29" ht="15">
      <c r="A5" s="404"/>
      <c r="B5" s="405"/>
      <c r="C5" s="3217" t="s">
        <v>3061</v>
      </c>
      <c r="D5" s="3218"/>
      <c r="E5" s="3215" t="s">
        <v>3097</v>
      </c>
      <c r="F5" s="3216"/>
      <c r="G5" s="3217" t="s">
        <v>3104</v>
      </c>
      <c r="H5" s="3218"/>
      <c r="I5" s="3217" t="s">
        <v>3101</v>
      </c>
      <c r="J5" s="3218"/>
      <c r="K5" s="610"/>
      <c r="L5" s="1129"/>
      <c r="M5" s="1130"/>
      <c r="N5" s="1130"/>
      <c r="O5" s="1130"/>
      <c r="P5" s="3230"/>
      <c r="Q5" s="3231"/>
      <c r="R5" s="3213"/>
      <c r="S5" s="3214"/>
      <c r="T5" s="3213"/>
      <c r="U5" s="3214"/>
      <c r="V5" s="3208"/>
      <c r="W5" s="3208"/>
      <c r="X5" s="1811"/>
      <c r="Y5" s="3213"/>
      <c r="Z5" s="3214"/>
      <c r="AA5" s="3206"/>
      <c r="AB5" s="3208"/>
      <c r="AC5" s="3206"/>
    </row>
    <row r="6" spans="1:29" ht="15.75" thickBot="1">
      <c r="A6" s="406"/>
      <c r="B6" s="407"/>
      <c r="C6" s="3219" t="s">
        <v>2534</v>
      </c>
      <c r="D6" s="3220"/>
      <c r="E6" s="3221" t="s">
        <v>2534</v>
      </c>
      <c r="F6" s="3222"/>
      <c r="G6" s="3219" t="s">
        <v>2534</v>
      </c>
      <c r="H6" s="3220"/>
      <c r="I6" s="3219" t="s">
        <v>2534</v>
      </c>
      <c r="J6" s="3220"/>
      <c r="K6" s="610" t="s">
        <v>2535</v>
      </c>
      <c r="L6" s="1129"/>
      <c r="M6" s="1130"/>
      <c r="N6" s="1130"/>
      <c r="O6" s="1130"/>
      <c r="P6" s="3232"/>
      <c r="Q6" s="3233"/>
      <c r="R6" s="3213"/>
      <c r="S6" s="3214"/>
      <c r="T6" s="3234"/>
      <c r="U6" s="3235"/>
      <c r="V6" s="3208"/>
      <c r="W6" s="3208"/>
      <c r="X6" s="1811"/>
      <c r="Y6" s="3234"/>
      <c r="Z6" s="3235"/>
      <c r="AA6" s="3207"/>
      <c r="AB6" s="3208"/>
      <c r="AC6" s="3207"/>
    </row>
    <row r="7" spans="1:29" s="117" customFormat="1" ht="15.75" thickBot="1">
      <c r="A7" s="408" t="s">
        <v>2536</v>
      </c>
      <c r="B7" s="409"/>
      <c r="C7" s="410">
        <f>'数据-取费表'!B2</f>
        <v>43132</v>
      </c>
      <c r="D7" s="411">
        <v>100</v>
      </c>
      <c r="E7" s="412">
        <v>43119</v>
      </c>
      <c r="F7" s="413">
        <f>SUMIF(58:58,YEAR(E7)&amp;"-"&amp;MONTH(E7),59:59)</f>
        <v>100</v>
      </c>
      <c r="G7" s="412">
        <v>43124</v>
      </c>
      <c r="H7" s="411">
        <f>SUMIF(58:58,YEAR(G7)&amp;"-"&amp;MONTH(G7),59:59)</f>
        <v>100</v>
      </c>
      <c r="I7" s="412">
        <v>43125</v>
      </c>
      <c r="J7" s="411">
        <f>SUMIF(58:58,YEAR(I7)&amp;"-"&amp;MONTH(I7),59:59)</f>
        <v>100</v>
      </c>
      <c r="K7" s="611"/>
      <c r="L7" s="1131"/>
      <c r="M7" s="1132"/>
      <c r="N7" s="1132"/>
      <c r="O7" s="1132"/>
      <c r="P7" s="3209" t="s">
        <v>2537</v>
      </c>
      <c r="Q7" s="3236"/>
      <c r="R7" s="769" t="s">
        <v>17</v>
      </c>
      <c r="S7" s="770">
        <f t="shared" ref="S7:S15" si="0">F7</f>
        <v>100</v>
      </c>
      <c r="T7" s="769" t="s">
        <v>17</v>
      </c>
      <c r="U7" s="770">
        <f t="shared" ref="U7:U15" si="1">H7</f>
        <v>100</v>
      </c>
      <c r="V7" s="769" t="s">
        <v>17</v>
      </c>
      <c r="W7" s="770">
        <f t="shared" ref="W7:W15" si="2">J7</f>
        <v>100</v>
      </c>
      <c r="X7" s="771"/>
      <c r="Y7" s="3209" t="s">
        <v>2537</v>
      </c>
      <c r="Z7" s="3210"/>
      <c r="AA7" s="772">
        <f>D7/F7</f>
        <v>1</v>
      </c>
      <c r="AB7" s="772">
        <f>D7/H7</f>
        <v>1</v>
      </c>
      <c r="AC7" s="772">
        <f>D7/J7</f>
        <v>1</v>
      </c>
    </row>
    <row r="8" spans="1:29" s="117" customFormat="1" ht="15.75" thickBot="1">
      <c r="A8" s="408" t="s">
        <v>2538</v>
      </c>
      <c r="B8" s="409"/>
      <c r="C8" s="414" t="s">
        <v>2640</v>
      </c>
      <c r="D8" s="411">
        <v>100</v>
      </c>
      <c r="E8" s="414" t="s">
        <v>2575</v>
      </c>
      <c r="F8" s="413">
        <f>SUMIF(61:61,E8,62:62)-SUMIF(61:61,C8,62:62)+100</f>
        <v>100</v>
      </c>
      <c r="G8" s="414" t="s">
        <v>2575</v>
      </c>
      <c r="H8" s="411">
        <f>SUMIF(61:61,G8,62:62)-SUMIF(61:61,C8,62:62)+100</f>
        <v>100</v>
      </c>
      <c r="I8" s="414" t="s">
        <v>2575</v>
      </c>
      <c r="J8" s="411">
        <f>SUMIF(61:61,I8,62:62)-SUMIF(61:61,C8,62:62)+100</f>
        <v>100</v>
      </c>
      <c r="K8" s="611"/>
      <c r="L8" s="1131"/>
      <c r="M8" s="1132"/>
      <c r="N8" s="1132"/>
      <c r="O8" s="1132"/>
      <c r="P8" s="3209" t="s">
        <v>2540</v>
      </c>
      <c r="Q8" s="3210"/>
      <c r="R8" s="769" t="s">
        <v>17</v>
      </c>
      <c r="S8" s="770">
        <f t="shared" si="0"/>
        <v>100</v>
      </c>
      <c r="T8" s="769" t="s">
        <v>17</v>
      </c>
      <c r="U8" s="770">
        <f t="shared" si="1"/>
        <v>100</v>
      </c>
      <c r="V8" s="769" t="s">
        <v>17</v>
      </c>
      <c r="W8" s="770">
        <f t="shared" si="2"/>
        <v>100</v>
      </c>
      <c r="X8" s="771"/>
      <c r="Y8" s="3209" t="s">
        <v>2540</v>
      </c>
      <c r="Z8" s="3210"/>
      <c r="AA8" s="772">
        <f t="shared" ref="AA8:AA46" si="3">D8/F8</f>
        <v>1</v>
      </c>
      <c r="AB8" s="772">
        <f t="shared" ref="AB8:AB46" si="4">D8/H8</f>
        <v>1</v>
      </c>
      <c r="AC8" s="772">
        <f t="shared" ref="AC8:AC46" si="5">D8/J8</f>
        <v>1</v>
      </c>
    </row>
    <row r="9" spans="1:29" s="117" customFormat="1">
      <c r="A9" s="415" t="s">
        <v>2541</v>
      </c>
      <c r="B9" s="71" t="s">
        <v>2542</v>
      </c>
      <c r="C9" s="2957" t="s">
        <v>3062</v>
      </c>
      <c r="D9" s="135">
        <v>100</v>
      </c>
      <c r="E9" s="417" t="s">
        <v>1377</v>
      </c>
      <c r="F9" s="418">
        <f>SUMIF(63:63,E9,64:64)-SUMIF(63:63,C9,64:64)+100</f>
        <v>100</v>
      </c>
      <c r="G9" s="417" t="s">
        <v>1377</v>
      </c>
      <c r="H9" s="135">
        <f>SUMIF(63:63,G9,64:64)-SUMIF(63:63,C9,64:64)+100</f>
        <v>100</v>
      </c>
      <c r="I9" s="417" t="s">
        <v>1377</v>
      </c>
      <c r="J9" s="135">
        <f>SUMIF(63:63,I9,64:64)-SUMIF(63:63,C9,64:64)+100</f>
        <v>100</v>
      </c>
      <c r="K9" s="611"/>
      <c r="L9" s="1131"/>
      <c r="M9" s="1132"/>
      <c r="N9" s="1132"/>
      <c r="O9" s="1132"/>
      <c r="P9" s="3223" t="s">
        <v>2543</v>
      </c>
      <c r="Q9" s="1793" t="str">
        <f t="shared" ref="Q9:Q15" si="6">B9</f>
        <v>用途</v>
      </c>
      <c r="R9" s="769" t="s">
        <v>17</v>
      </c>
      <c r="S9" s="770">
        <f t="shared" si="0"/>
        <v>100</v>
      </c>
      <c r="T9" s="769" t="s">
        <v>17</v>
      </c>
      <c r="U9" s="770">
        <f t="shared" si="1"/>
        <v>100</v>
      </c>
      <c r="V9" s="769" t="s">
        <v>17</v>
      </c>
      <c r="W9" s="770">
        <f t="shared" si="2"/>
        <v>100</v>
      </c>
      <c r="X9" s="771"/>
      <c r="Y9" s="3082" t="s">
        <v>2544</v>
      </c>
      <c r="Z9" s="55" t="str">
        <f t="shared" ref="Z9:Z15" si="7">Q9</f>
        <v>用途</v>
      </c>
      <c r="AA9" s="772">
        <f t="shared" si="3"/>
        <v>1</v>
      </c>
      <c r="AB9" s="772">
        <f t="shared" si="4"/>
        <v>1</v>
      </c>
      <c r="AC9" s="772">
        <f t="shared" si="5"/>
        <v>1</v>
      </c>
    </row>
    <row r="10" spans="1:29" s="427" customFormat="1" ht="27.75" thickBot="1">
      <c r="A10" s="421"/>
      <c r="B10" s="422" t="s">
        <v>2545</v>
      </c>
      <c r="C10" s="423" t="s">
        <v>3098</v>
      </c>
      <c r="D10" s="136">
        <v>100</v>
      </c>
      <c r="E10" s="424" t="s">
        <v>3098</v>
      </c>
      <c r="F10" s="425">
        <f>SUMIF(65:65,E10,66:66)-SUMIF(65:65,C10,66:66)+100</f>
        <v>100</v>
      </c>
      <c r="G10" s="423" t="s">
        <v>3063</v>
      </c>
      <c r="H10" s="136">
        <f>SUMIF(65:65,G10,66:66)-SUMIF(65:65,C10,66:66)+100</f>
        <v>102</v>
      </c>
      <c r="I10" s="423" t="s">
        <v>3098</v>
      </c>
      <c r="J10" s="136">
        <f>SUMIF(65:65,I10,66:66)-SUMIF(65:65,C10,66:66)+100</f>
        <v>100</v>
      </c>
      <c r="K10" s="612">
        <v>2</v>
      </c>
      <c r="L10" s="1134"/>
      <c r="M10" s="1135"/>
      <c r="N10" s="1135"/>
      <c r="O10" s="1135"/>
      <c r="P10" s="3223"/>
      <c r="Q10" s="1793" t="str">
        <f t="shared" si="6"/>
        <v>土地使用年限（年）</v>
      </c>
      <c r="R10" s="769" t="s">
        <v>17</v>
      </c>
      <c r="S10" s="770">
        <f t="shared" si="0"/>
        <v>100</v>
      </c>
      <c r="T10" s="769" t="s">
        <v>17</v>
      </c>
      <c r="U10" s="770">
        <f t="shared" si="1"/>
        <v>102</v>
      </c>
      <c r="V10" s="769" t="s">
        <v>17</v>
      </c>
      <c r="W10" s="770">
        <f t="shared" si="2"/>
        <v>100</v>
      </c>
      <c r="X10" s="771"/>
      <c r="Y10" s="3082"/>
      <c r="Z10" s="55" t="str">
        <f t="shared" si="7"/>
        <v>土地使用年限（年）</v>
      </c>
      <c r="AA10" s="772">
        <f t="shared" si="3"/>
        <v>1</v>
      </c>
      <c r="AB10" s="772">
        <f t="shared" si="4"/>
        <v>0.98039215686274506</v>
      </c>
      <c r="AC10" s="772">
        <f t="shared" si="5"/>
        <v>1</v>
      </c>
    </row>
    <row r="11" spans="1:29" ht="15" hidden="1">
      <c r="A11" s="428"/>
      <c r="B11" s="422" t="s">
        <v>2546</v>
      </c>
      <c r="C11" s="429"/>
      <c r="D11" s="136">
        <v>100</v>
      </c>
      <c r="E11" s="430"/>
      <c r="F11" s="425">
        <f>LOOKUP(E11,68:68,69:69)-LOOKUP(C11,68:68,69:69)+100</f>
        <v>100</v>
      </c>
      <c r="G11" s="429"/>
      <c r="H11" s="136">
        <f>LOOKUP(G11,68:68,69:69)-LOOKUP(C11,68:68,69:69)+100</f>
        <v>100</v>
      </c>
      <c r="I11" s="429"/>
      <c r="J11" s="136">
        <f>LOOKUP(I11,68:68,69:69)-LOOKUP(C11,68:68,69:69)+100</f>
        <v>100</v>
      </c>
      <c r="K11" s="612">
        <v>0</v>
      </c>
      <c r="L11" s="1137"/>
      <c r="M11" s="1130"/>
      <c r="N11" s="1130"/>
      <c r="O11" s="1130"/>
      <c r="P11" s="3223"/>
      <c r="Q11" s="1793" t="str">
        <f t="shared" si="6"/>
        <v>容积率</v>
      </c>
      <c r="R11" s="769" t="s">
        <v>17</v>
      </c>
      <c r="S11" s="770">
        <f t="shared" si="0"/>
        <v>100</v>
      </c>
      <c r="T11" s="769" t="s">
        <v>17</v>
      </c>
      <c r="U11" s="770">
        <f t="shared" si="1"/>
        <v>100</v>
      </c>
      <c r="V11" s="769" t="s">
        <v>17</v>
      </c>
      <c r="W11" s="770">
        <f t="shared" si="2"/>
        <v>100</v>
      </c>
      <c r="X11" s="771"/>
      <c r="Y11" s="3082"/>
      <c r="Z11" s="55" t="str">
        <f t="shared" si="7"/>
        <v>容积率</v>
      </c>
      <c r="AA11" s="772">
        <f t="shared" si="3"/>
        <v>1</v>
      </c>
      <c r="AB11" s="772">
        <f t="shared" si="4"/>
        <v>1</v>
      </c>
      <c r="AC11" s="772">
        <f t="shared" si="5"/>
        <v>1</v>
      </c>
    </row>
    <row r="12" spans="1:29" s="117" customFormat="1" ht="15" hidden="1">
      <c r="A12" s="431"/>
      <c r="B12" s="2595">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223"/>
      <c r="Q12" s="1793">
        <f t="shared" si="6"/>
        <v>111</v>
      </c>
      <c r="R12" s="769" t="s">
        <v>17</v>
      </c>
      <c r="S12" s="770">
        <f t="shared" si="0"/>
        <v>100</v>
      </c>
      <c r="T12" s="769" t="s">
        <v>17</v>
      </c>
      <c r="U12" s="770">
        <f t="shared" si="1"/>
        <v>100</v>
      </c>
      <c r="V12" s="769" t="s">
        <v>17</v>
      </c>
      <c r="W12" s="770">
        <f t="shared" si="2"/>
        <v>100</v>
      </c>
      <c r="X12" s="771"/>
      <c r="Y12" s="3082"/>
      <c r="Z12" s="55">
        <f t="shared" si="7"/>
        <v>111</v>
      </c>
      <c r="AA12" s="772">
        <f>D12/F12</f>
        <v>1</v>
      </c>
      <c r="AB12" s="772">
        <f>D12/H12</f>
        <v>1</v>
      </c>
      <c r="AC12" s="772">
        <f>D12/J12</f>
        <v>1</v>
      </c>
    </row>
    <row r="13" spans="1:29" ht="15" hidden="1">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223"/>
      <c r="Q13" s="1793">
        <f t="shared" si="6"/>
        <v>111</v>
      </c>
      <c r="R13" s="769" t="s">
        <v>17</v>
      </c>
      <c r="S13" s="770">
        <f t="shared" si="0"/>
        <v>100</v>
      </c>
      <c r="T13" s="769" t="s">
        <v>17</v>
      </c>
      <c r="U13" s="770">
        <f t="shared" si="1"/>
        <v>100</v>
      </c>
      <c r="V13" s="769" t="s">
        <v>17</v>
      </c>
      <c r="W13" s="770">
        <f t="shared" si="2"/>
        <v>100</v>
      </c>
      <c r="X13" s="771"/>
      <c r="Y13" s="3082"/>
      <c r="Z13" s="55">
        <f t="shared" si="7"/>
        <v>111</v>
      </c>
      <c r="AA13" s="772">
        <f t="shared" si="3"/>
        <v>1</v>
      </c>
      <c r="AB13" s="772">
        <f t="shared" si="4"/>
        <v>1</v>
      </c>
      <c r="AC13" s="772">
        <f t="shared" si="5"/>
        <v>1</v>
      </c>
    </row>
    <row r="14" spans="1:29" ht="15.75" hidden="1" thickBot="1">
      <c r="A14" s="436"/>
      <c r="B14" s="2597">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223"/>
      <c r="Q14" s="1793">
        <f t="shared" si="6"/>
        <v>111</v>
      </c>
      <c r="R14" s="769" t="s">
        <v>17</v>
      </c>
      <c r="S14" s="770">
        <f t="shared" si="0"/>
        <v>100</v>
      </c>
      <c r="T14" s="769" t="s">
        <v>17</v>
      </c>
      <c r="U14" s="770">
        <f t="shared" si="1"/>
        <v>100</v>
      </c>
      <c r="V14" s="769" t="s">
        <v>17</v>
      </c>
      <c r="W14" s="770">
        <f t="shared" si="2"/>
        <v>100</v>
      </c>
      <c r="X14" s="771"/>
      <c r="Y14" s="3082"/>
      <c r="Z14" s="55">
        <f t="shared" si="7"/>
        <v>111</v>
      </c>
      <c r="AA14" s="772">
        <f t="shared" si="3"/>
        <v>1</v>
      </c>
      <c r="AB14" s="772">
        <f t="shared" si="4"/>
        <v>1</v>
      </c>
      <c r="AC14" s="772">
        <f t="shared" si="5"/>
        <v>1</v>
      </c>
    </row>
    <row r="15" spans="1:29" ht="57">
      <c r="A15" s="440" t="s">
        <v>2547</v>
      </c>
      <c r="B15" s="69" t="s">
        <v>2641</v>
      </c>
      <c r="C15" s="2598" t="str">
        <f>估价对象房地状况!C4</f>
        <v>周边商业有集美家居、银泰百货，人流量一般，商业繁华度一般</v>
      </c>
      <c r="D15" s="441">
        <v>100</v>
      </c>
      <c r="E15" s="442"/>
      <c r="F15" s="443">
        <f>SUMIF(76:76,E16,77:77)-SUMIF(76:76,C16,77:77)+100</f>
        <v>102</v>
      </c>
      <c r="G15" s="444"/>
      <c r="H15" s="441">
        <f>SUMIF(76:76,G16,77:77)-SUMIF(76:76,C16,77:77)+100</f>
        <v>102</v>
      </c>
      <c r="I15" s="442"/>
      <c r="J15" s="441">
        <f>SUMIF(76:76,I16,77:77)-SUMIF(76:76,C16,77:77)+100</f>
        <v>102</v>
      </c>
      <c r="K15" s="614">
        <v>2</v>
      </c>
      <c r="L15" s="1139"/>
      <c r="M15" s="1130"/>
      <c r="N15" s="1130"/>
      <c r="O15" s="1130"/>
      <c r="P15" s="3237" t="s">
        <v>2548</v>
      </c>
      <c r="Q15" s="1808" t="str">
        <f t="shared" si="6"/>
        <v>商业繁华度</v>
      </c>
      <c r="R15" s="773" t="s">
        <v>17</v>
      </c>
      <c r="S15" s="774">
        <f t="shared" si="0"/>
        <v>102</v>
      </c>
      <c r="T15" s="773" t="s">
        <v>17</v>
      </c>
      <c r="U15" s="774">
        <f t="shared" si="1"/>
        <v>102</v>
      </c>
      <c r="V15" s="773" t="s">
        <v>17</v>
      </c>
      <c r="W15" s="774">
        <f t="shared" si="2"/>
        <v>102</v>
      </c>
      <c r="X15" s="1811"/>
      <c r="Y15" s="3239" t="s">
        <v>2548</v>
      </c>
      <c r="Z15" s="1812" t="str">
        <f t="shared" si="7"/>
        <v>商业繁华度</v>
      </c>
      <c r="AA15" s="1809">
        <f t="shared" si="3"/>
        <v>0.98039215686274506</v>
      </c>
      <c r="AB15" s="1809">
        <f t="shared" si="4"/>
        <v>0.98039215686274506</v>
      </c>
      <c r="AC15" s="1809">
        <f t="shared" si="5"/>
        <v>0.98039215686274506</v>
      </c>
    </row>
    <row r="16" spans="1:29" ht="15">
      <c r="A16" s="428"/>
      <c r="B16" s="446"/>
      <c r="C16" s="447" t="s">
        <v>3064</v>
      </c>
      <c r="D16" s="448"/>
      <c r="E16" s="447" t="s">
        <v>3065</v>
      </c>
      <c r="F16" s="449"/>
      <c r="G16" s="447" t="s">
        <v>3065</v>
      </c>
      <c r="H16" s="450"/>
      <c r="I16" s="447" t="s">
        <v>3065</v>
      </c>
      <c r="J16" s="448"/>
      <c r="K16" s="615"/>
      <c r="L16" s="1139"/>
      <c r="M16" s="1130"/>
      <c r="N16" s="1130"/>
      <c r="O16" s="1130"/>
      <c r="P16" s="3238"/>
      <c r="Q16" s="1808"/>
      <c r="R16" s="773"/>
      <c r="S16" s="774"/>
      <c r="T16" s="773"/>
      <c r="U16" s="774"/>
      <c r="V16" s="773"/>
      <c r="W16" s="774"/>
      <c r="X16" s="1811"/>
      <c r="Y16" s="3240"/>
      <c r="Z16" s="1812"/>
      <c r="AA16" s="1809">
        <v>1</v>
      </c>
      <c r="AB16" s="1809">
        <v>1</v>
      </c>
      <c r="AC16" s="1809">
        <v>1</v>
      </c>
    </row>
    <row r="17" spans="1:29" ht="99.75">
      <c r="A17" s="428"/>
      <c r="B17" s="451" t="s">
        <v>2090</v>
      </c>
      <c r="C17" s="2602" t="str">
        <f>估价对象房地状况!C6</f>
        <v>估价对象周边有485、501、602、736、957路及地铁十号线等、公共交通通达情况较好、停车便捷程度较好，综合评价交通便捷度较好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4">
        <v>2</v>
      </c>
      <c r="L17" s="1139"/>
      <c r="M17" s="1130"/>
      <c r="N17" s="1130"/>
      <c r="O17" s="1130"/>
      <c r="P17" s="3238"/>
      <c r="Q17" s="1808" t="str">
        <f>B17</f>
        <v>交通便捷度</v>
      </c>
      <c r="R17" s="773" t="s">
        <v>17</v>
      </c>
      <c r="S17" s="774">
        <f>F17</f>
        <v>100</v>
      </c>
      <c r="T17" s="773" t="s">
        <v>17</v>
      </c>
      <c r="U17" s="774">
        <f>H17</f>
        <v>100</v>
      </c>
      <c r="V17" s="773" t="s">
        <v>17</v>
      </c>
      <c r="W17" s="774">
        <f>J17</f>
        <v>100</v>
      </c>
      <c r="X17" s="1811"/>
      <c r="Y17" s="3240"/>
      <c r="Z17" s="1812" t="str">
        <f>Q17</f>
        <v>交通便捷度</v>
      </c>
      <c r="AA17" s="1809">
        <f t="shared" si="3"/>
        <v>1</v>
      </c>
      <c r="AB17" s="1809">
        <f t="shared" si="4"/>
        <v>1</v>
      </c>
      <c r="AC17" s="1809">
        <f t="shared" si="5"/>
        <v>1</v>
      </c>
    </row>
    <row r="18" spans="1:29" ht="15">
      <c r="A18" s="428"/>
      <c r="B18" s="456"/>
      <c r="C18" s="2603" t="s">
        <v>3065</v>
      </c>
      <c r="D18" s="450"/>
      <c r="E18" s="2603" t="s">
        <v>3065</v>
      </c>
      <c r="F18" s="453"/>
      <c r="G18" s="2603" t="s">
        <v>3065</v>
      </c>
      <c r="H18" s="448"/>
      <c r="I18" s="2603" t="s">
        <v>3065</v>
      </c>
      <c r="J18" s="448"/>
      <c r="K18" s="615"/>
      <c r="L18" s="1139"/>
      <c r="M18" s="1130"/>
      <c r="N18" s="1130"/>
      <c r="O18" s="1130"/>
      <c r="P18" s="3238"/>
      <c r="Q18" s="1808"/>
      <c r="R18" s="773"/>
      <c r="S18" s="774"/>
      <c r="T18" s="773"/>
      <c r="U18" s="774"/>
      <c r="V18" s="773"/>
      <c r="W18" s="774"/>
      <c r="X18" s="1811"/>
      <c r="Y18" s="3240"/>
      <c r="Z18" s="1812"/>
      <c r="AA18" s="1809">
        <v>1</v>
      </c>
      <c r="AB18" s="1809">
        <v>1</v>
      </c>
      <c r="AC18" s="1809">
        <v>1</v>
      </c>
    </row>
    <row r="19" spans="1:29" ht="93" customHeight="1">
      <c r="A19" s="428"/>
      <c r="B19" s="451" t="s">
        <v>2642</v>
      </c>
      <c r="C19" s="2602" t="str">
        <f>估价对象房地状况!C7</f>
        <v>周边有中国建设银行、广东发展银行、集美家居、物美超市、西马金润小学、丰台第一小学远洋分校等，公共配套设施较齐备</v>
      </c>
      <c r="D19" s="455">
        <v>100</v>
      </c>
      <c r="E19" s="457"/>
      <c r="F19" s="458">
        <f>SUMIF(80:80,E20,81:81)-SUMIF(80:80,C20,81:81)+100</f>
        <v>100</v>
      </c>
      <c r="G19" s="459"/>
      <c r="H19" s="450">
        <f>SUMIF(80:80,G20,81:81)-SUMIF(80:80,C20,81:81)+100</f>
        <v>100</v>
      </c>
      <c r="I19" s="457"/>
      <c r="J19" s="450">
        <f>SUMIF(80:80,I20,81:81)-SUMIF(80:80,C20,81:81)+100</f>
        <v>100</v>
      </c>
      <c r="K19" s="614">
        <v>2</v>
      </c>
      <c r="L19" s="1139"/>
      <c r="M19" s="1130"/>
      <c r="N19" s="1130"/>
      <c r="O19" s="1130"/>
      <c r="P19" s="3238"/>
      <c r="Q19" s="1808" t="str">
        <f>B19</f>
        <v>公共配套设施</v>
      </c>
      <c r="R19" s="773" t="s">
        <v>17</v>
      </c>
      <c r="S19" s="774">
        <f>F19</f>
        <v>100</v>
      </c>
      <c r="T19" s="773" t="s">
        <v>17</v>
      </c>
      <c r="U19" s="774">
        <f>H19</f>
        <v>100</v>
      </c>
      <c r="V19" s="773" t="s">
        <v>17</v>
      </c>
      <c r="W19" s="774">
        <f>J19</f>
        <v>100</v>
      </c>
      <c r="X19" s="1811"/>
      <c r="Y19" s="3240"/>
      <c r="Z19" s="1812" t="str">
        <f>Q19</f>
        <v>公共配套设施</v>
      </c>
      <c r="AA19" s="1809">
        <f t="shared" si="3"/>
        <v>1</v>
      </c>
      <c r="AB19" s="1809">
        <f t="shared" si="4"/>
        <v>1</v>
      </c>
      <c r="AC19" s="1809">
        <f t="shared" si="5"/>
        <v>1</v>
      </c>
    </row>
    <row r="20" spans="1:29" ht="15">
      <c r="A20" s="428"/>
      <c r="B20" s="456"/>
      <c r="C20" s="447" t="s">
        <v>3065</v>
      </c>
      <c r="D20" s="448"/>
      <c r="E20" s="447" t="s">
        <v>3065</v>
      </c>
      <c r="F20" s="449"/>
      <c r="G20" s="447" t="s">
        <v>3065</v>
      </c>
      <c r="H20" s="448"/>
      <c r="I20" s="447" t="s">
        <v>3065</v>
      </c>
      <c r="J20" s="448"/>
      <c r="K20" s="615"/>
      <c r="L20" s="1139"/>
      <c r="M20" s="1130"/>
      <c r="N20" s="1130"/>
      <c r="O20" s="1130"/>
      <c r="P20" s="3238"/>
      <c r="Q20" s="1808"/>
      <c r="R20" s="773"/>
      <c r="S20" s="774"/>
      <c r="T20" s="773"/>
      <c r="U20" s="774"/>
      <c r="V20" s="773"/>
      <c r="W20" s="774"/>
      <c r="X20" s="1811"/>
      <c r="Y20" s="3240"/>
      <c r="Z20" s="1812"/>
      <c r="AA20" s="1809">
        <v>1</v>
      </c>
      <c r="AB20" s="1809">
        <v>1</v>
      </c>
      <c r="AC20" s="1809">
        <v>1</v>
      </c>
    </row>
    <row r="21" spans="1:29" ht="15">
      <c r="A21" s="428"/>
      <c r="B21" s="1383" t="s">
        <v>2643</v>
      </c>
      <c r="C21" s="2602"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v>1</v>
      </c>
      <c r="L21" s="1139"/>
      <c r="M21" s="1130"/>
      <c r="N21" s="1130"/>
      <c r="O21" s="1130"/>
      <c r="P21" s="3238"/>
      <c r="Q21" s="1808" t="str">
        <f>B21</f>
        <v>基础设施水平</v>
      </c>
      <c r="R21" s="773" t="s">
        <v>17</v>
      </c>
      <c r="S21" s="774">
        <f>F21</f>
        <v>100</v>
      </c>
      <c r="T21" s="773" t="s">
        <v>17</v>
      </c>
      <c r="U21" s="774">
        <f>H21</f>
        <v>100</v>
      </c>
      <c r="V21" s="773" t="s">
        <v>17</v>
      </c>
      <c r="W21" s="774">
        <f>J21</f>
        <v>100</v>
      </c>
      <c r="X21" s="1811"/>
      <c r="Y21" s="3240"/>
      <c r="Z21" s="1812" t="str">
        <f>Q21</f>
        <v>基础设施水平</v>
      </c>
      <c r="AA21" s="1809">
        <f t="shared" ref="AA21" si="8">D21/F21</f>
        <v>1</v>
      </c>
      <c r="AB21" s="1809">
        <f t="shared" ref="AB21" si="9">D21/H21</f>
        <v>1</v>
      </c>
      <c r="AC21" s="1809">
        <f t="shared" ref="AC21" si="10">D21/J21</f>
        <v>1</v>
      </c>
    </row>
    <row r="22" spans="1:29" ht="15">
      <c r="A22" s="428"/>
      <c r="B22" s="1383"/>
      <c r="C22" s="2603" t="s">
        <v>3066</v>
      </c>
      <c r="D22" s="448"/>
      <c r="E22" s="2603" t="s">
        <v>3066</v>
      </c>
      <c r="F22" s="449"/>
      <c r="G22" s="2603" t="s">
        <v>3066</v>
      </c>
      <c r="H22" s="448"/>
      <c r="I22" s="2603" t="s">
        <v>3066</v>
      </c>
      <c r="J22" s="448"/>
      <c r="K22" s="1382"/>
      <c r="L22" s="1139"/>
      <c r="M22" s="1130"/>
      <c r="N22" s="1130"/>
      <c r="O22" s="1130"/>
      <c r="P22" s="3238"/>
      <c r="Q22" s="1808"/>
      <c r="R22" s="773"/>
      <c r="S22" s="774"/>
      <c r="T22" s="773"/>
      <c r="U22" s="774"/>
      <c r="V22" s="773"/>
      <c r="W22" s="774"/>
      <c r="X22" s="1811"/>
      <c r="Y22" s="3240"/>
      <c r="Z22" s="1812"/>
      <c r="AA22" s="1809">
        <v>1</v>
      </c>
      <c r="AB22" s="1809">
        <v>1</v>
      </c>
      <c r="AC22" s="1809">
        <v>1</v>
      </c>
    </row>
    <row r="23" spans="1:29" ht="28.5">
      <c r="A23" s="428"/>
      <c r="B23" s="451" t="s">
        <v>2093</v>
      </c>
      <c r="C23" s="2659" t="str">
        <f>估价对象房地状况!C9</f>
        <v>周边有桃苑公园自然及人文环境一般</v>
      </c>
      <c r="D23" s="450">
        <v>100</v>
      </c>
      <c r="E23" s="452"/>
      <c r="F23" s="453">
        <f>SUMIF(84:84,E24,85:85)-SUMIF(84:84,C24,85:85)+100</f>
        <v>100</v>
      </c>
      <c r="G23" s="454"/>
      <c r="H23" s="450">
        <f>SUMIF(84:84,G24,85:85)-SUMIF(84:84,C24,85:85)+100</f>
        <v>100</v>
      </c>
      <c r="I23" s="452"/>
      <c r="J23" s="450">
        <f>SUMIF(84:84,I24,85:85)-SUMIF(84:84,C24,85:85)+100</f>
        <v>100</v>
      </c>
      <c r="K23" s="614">
        <v>2</v>
      </c>
      <c r="L23" s="1139"/>
      <c r="M23" s="1130"/>
      <c r="N23" s="1130"/>
      <c r="O23" s="1130"/>
      <c r="P23" s="3238"/>
      <c r="Q23" s="1808" t="str">
        <f>B23</f>
        <v>自然及人文环境</v>
      </c>
      <c r="R23" s="773" t="s">
        <v>17</v>
      </c>
      <c r="S23" s="774">
        <f>F23</f>
        <v>100</v>
      </c>
      <c r="T23" s="773" t="s">
        <v>17</v>
      </c>
      <c r="U23" s="774">
        <f>H23</f>
        <v>100</v>
      </c>
      <c r="V23" s="773" t="s">
        <v>17</v>
      </c>
      <c r="W23" s="774">
        <f>J23</f>
        <v>100</v>
      </c>
      <c r="X23" s="1811"/>
      <c r="Y23" s="3240"/>
      <c r="Z23" s="1812" t="str">
        <f>Q23</f>
        <v>自然及人文环境</v>
      </c>
      <c r="AA23" s="1809">
        <f t="shared" si="3"/>
        <v>1</v>
      </c>
      <c r="AB23" s="1809">
        <f t="shared" si="4"/>
        <v>1</v>
      </c>
      <c r="AC23" s="1809">
        <f t="shared" si="5"/>
        <v>1</v>
      </c>
    </row>
    <row r="24" spans="1:29" ht="15">
      <c r="A24" s="428"/>
      <c r="B24" s="456"/>
      <c r="C24" s="447" t="s">
        <v>3064</v>
      </c>
      <c r="D24" s="448"/>
      <c r="E24" s="447" t="s">
        <v>3064</v>
      </c>
      <c r="F24" s="449"/>
      <c r="G24" s="447" t="s">
        <v>3064</v>
      </c>
      <c r="H24" s="448"/>
      <c r="I24" s="447" t="s">
        <v>3064</v>
      </c>
      <c r="J24" s="448"/>
      <c r="K24" s="615"/>
      <c r="L24" s="1139"/>
      <c r="M24" s="1130"/>
      <c r="N24" s="1130"/>
      <c r="O24" s="1130"/>
      <c r="P24" s="3238"/>
      <c r="Q24" s="1808"/>
      <c r="R24" s="773"/>
      <c r="S24" s="774"/>
      <c r="T24" s="773"/>
      <c r="U24" s="774"/>
      <c r="V24" s="773"/>
      <c r="W24" s="774"/>
      <c r="X24" s="1811"/>
      <c r="Y24" s="3240"/>
      <c r="Z24" s="1812"/>
      <c r="AA24" s="1809">
        <v>1</v>
      </c>
      <c r="AB24" s="1809">
        <v>1</v>
      </c>
      <c r="AC24" s="1809">
        <v>1</v>
      </c>
    </row>
    <row r="25" spans="1:29" ht="15">
      <c r="A25" s="428"/>
      <c r="B25" s="422" t="s">
        <v>2644</v>
      </c>
      <c r="C25" s="616" t="s">
        <v>3071</v>
      </c>
      <c r="D25" s="435">
        <v>100</v>
      </c>
      <c r="E25" s="616" t="s">
        <v>3071</v>
      </c>
      <c r="F25" s="461">
        <f>SUMIF(86:86,E25,87:87)-SUMIF(86:86,C25,87:87)+100</f>
        <v>100</v>
      </c>
      <c r="G25" s="616" t="s">
        <v>3071</v>
      </c>
      <c r="H25" s="435">
        <f>SUMIF(86:86,G25,87:87)-SUMIF(86:86,C25,87:87)+100</f>
        <v>100</v>
      </c>
      <c r="I25" s="616" t="s">
        <v>3071</v>
      </c>
      <c r="J25" s="435">
        <f>SUMIF(86:86,I25,87:87)-SUMIF(86:86,C25,87:87)+100</f>
        <v>100</v>
      </c>
      <c r="K25" s="612">
        <v>2</v>
      </c>
      <c r="L25" s="1139"/>
      <c r="M25" s="1130"/>
      <c r="N25" s="1130"/>
      <c r="O25" s="1130"/>
      <c r="P25" s="3238"/>
      <c r="Q25" s="1808" t="str">
        <f t="shared" ref="Q25:Q46" si="11">B25</f>
        <v>临街状况</v>
      </c>
      <c r="R25" s="773" t="s">
        <v>17</v>
      </c>
      <c r="S25" s="774">
        <f>F25</f>
        <v>100</v>
      </c>
      <c r="T25" s="773" t="s">
        <v>17</v>
      </c>
      <c r="U25" s="774">
        <f>H25</f>
        <v>100</v>
      </c>
      <c r="V25" s="773" t="s">
        <v>17</v>
      </c>
      <c r="W25" s="774">
        <f>J25</f>
        <v>100</v>
      </c>
      <c r="X25" s="1811"/>
      <c r="Y25" s="3240"/>
      <c r="Z25" s="1812" t="str">
        <f>Q25</f>
        <v>临街状况</v>
      </c>
      <c r="AA25" s="1809">
        <f t="shared" si="3"/>
        <v>1</v>
      </c>
      <c r="AB25" s="1809">
        <f t="shared" si="4"/>
        <v>1</v>
      </c>
      <c r="AC25" s="1809">
        <f t="shared" si="5"/>
        <v>1</v>
      </c>
    </row>
    <row r="26" spans="1:29" ht="15">
      <c r="A26" s="428"/>
      <c r="B26" s="1385" t="s">
        <v>2645</v>
      </c>
      <c r="C26" s="2960" t="s">
        <v>3068</v>
      </c>
      <c r="D26" s="435">
        <v>100</v>
      </c>
      <c r="E26" s="2960" t="s">
        <v>3068</v>
      </c>
      <c r="F26" s="461">
        <f>SUMIF(88:88,E26,89:89)-SUMIF(88:88,C26,89:89)+100</f>
        <v>100</v>
      </c>
      <c r="G26" s="2960" t="s">
        <v>3068</v>
      </c>
      <c r="H26" s="435">
        <f>SUMIF(88:88,G26,89:89)-SUMIF(88:88,C26,89:89)+100</f>
        <v>100</v>
      </c>
      <c r="I26" s="2960" t="s">
        <v>3068</v>
      </c>
      <c r="J26" s="435">
        <f>SUMIF(88:88,I26,89:89)-SUMIF(88:88,C26,89:89)+100</f>
        <v>100</v>
      </c>
      <c r="K26" s="613"/>
      <c r="L26" s="1139"/>
      <c r="M26" s="1130"/>
      <c r="N26" s="1130"/>
      <c r="O26" s="1130"/>
      <c r="P26" s="3238"/>
      <c r="Q26" s="1808" t="str">
        <f t="shared" si="11"/>
        <v>平面位置/可视性</v>
      </c>
      <c r="R26" s="773" t="s">
        <v>17</v>
      </c>
      <c r="S26" s="774">
        <f>F26</f>
        <v>100</v>
      </c>
      <c r="T26" s="773" t="s">
        <v>17</v>
      </c>
      <c r="U26" s="774">
        <f>H26</f>
        <v>100</v>
      </c>
      <c r="V26" s="773" t="s">
        <v>17</v>
      </c>
      <c r="W26" s="774">
        <f>J26</f>
        <v>100</v>
      </c>
      <c r="X26" s="1811"/>
      <c r="Y26" s="3240"/>
      <c r="Z26" s="1812" t="str">
        <f>Q26</f>
        <v>平面位置/可视性</v>
      </c>
      <c r="AA26" s="1809">
        <f t="shared" si="3"/>
        <v>1</v>
      </c>
      <c r="AB26" s="1809">
        <f t="shared" si="4"/>
        <v>1</v>
      </c>
      <c r="AC26" s="1809">
        <f t="shared" si="5"/>
        <v>1</v>
      </c>
    </row>
    <row r="27" spans="1:29" s="117" customFormat="1" ht="15">
      <c r="A27" s="431"/>
      <c r="B27" s="451" t="s">
        <v>2646</v>
      </c>
      <c r="C27" s="2660" t="s">
        <v>3064</v>
      </c>
      <c r="D27" s="462">
        <v>100</v>
      </c>
      <c r="E27" s="2660" t="s">
        <v>3065</v>
      </c>
      <c r="F27" s="464">
        <f>SUMIF(90:90,E27,91:91)-SUMIF(90:90,C27,91:91)+100</f>
        <v>102</v>
      </c>
      <c r="G27" s="2660" t="s">
        <v>3065</v>
      </c>
      <c r="H27" s="462">
        <f>SUMIF(90:90,G27,91:91)-SUMIF(90:90,C27,91:91)+100</f>
        <v>102</v>
      </c>
      <c r="I27" s="2660" t="s">
        <v>3065</v>
      </c>
      <c r="J27" s="462">
        <f>SUMIF(90:90,I27,91:91)-SUMIF(90:90,C27,91:91)+100</f>
        <v>102</v>
      </c>
      <c r="K27" s="612">
        <v>2</v>
      </c>
      <c r="L27" s="1131"/>
      <c r="M27" s="1132"/>
      <c r="N27" s="1132"/>
      <c r="O27" s="1132"/>
      <c r="P27" s="3238"/>
      <c r="Q27" s="1793" t="str">
        <f t="shared" si="11"/>
        <v>人流量</v>
      </c>
      <c r="R27" s="769" t="s">
        <v>17</v>
      </c>
      <c r="S27" s="770">
        <f>F27</f>
        <v>102</v>
      </c>
      <c r="T27" s="769" t="s">
        <v>17</v>
      </c>
      <c r="U27" s="770">
        <f>H27</f>
        <v>102</v>
      </c>
      <c r="V27" s="769" t="s">
        <v>17</v>
      </c>
      <c r="W27" s="770">
        <f>J27</f>
        <v>102</v>
      </c>
      <c r="X27" s="771"/>
      <c r="Y27" s="3240"/>
      <c r="Z27" s="55" t="str">
        <f>Q27</f>
        <v>人流量</v>
      </c>
      <c r="AA27" s="1809">
        <f>D27/F27</f>
        <v>0.98039215686274506</v>
      </c>
      <c r="AB27" s="1809">
        <f>D27/H27</f>
        <v>0.98039215686274506</v>
      </c>
      <c r="AC27" s="1809">
        <f>D27/J27</f>
        <v>0.98039215686274506</v>
      </c>
    </row>
    <row r="28" spans="1:29" ht="15.75" thickBot="1">
      <c r="A28" s="428"/>
      <c r="B28" s="422" t="s">
        <v>2647</v>
      </c>
      <c r="C28" s="616">
        <v>1</v>
      </c>
      <c r="D28" s="435">
        <v>100</v>
      </c>
      <c r="E28" s="616">
        <v>1</v>
      </c>
      <c r="F28" s="461">
        <f>SUMIF(92:92,E28,93:93)-SUMIF(92:92,C28,93:93)+100</f>
        <v>100</v>
      </c>
      <c r="G28" s="616">
        <v>1</v>
      </c>
      <c r="H28" s="435">
        <f>SUMIF(92:92,G28,93:93)-SUMIF(92:92,C28,93:93)+100</f>
        <v>100</v>
      </c>
      <c r="I28" s="616">
        <v>1</v>
      </c>
      <c r="J28" s="435">
        <f>SUMIF(92:92,I28,93:93)-SUMIF(92:92,C28,93:93)+100</f>
        <v>100</v>
      </c>
      <c r="K28" s="613"/>
      <c r="L28" s="1139"/>
      <c r="M28" s="1130"/>
      <c r="N28" s="1130"/>
      <c r="O28" s="1130"/>
      <c r="P28" s="3238"/>
      <c r="Q28" s="1808" t="str">
        <f t="shared" si="11"/>
        <v>楼层</v>
      </c>
      <c r="R28" s="773" t="s">
        <v>17</v>
      </c>
      <c r="S28" s="774">
        <f t="shared" ref="S28:S46" si="12">F28</f>
        <v>100</v>
      </c>
      <c r="T28" s="773" t="s">
        <v>17</v>
      </c>
      <c r="U28" s="774">
        <f t="shared" ref="U28:U46" si="13">H28</f>
        <v>100</v>
      </c>
      <c r="V28" s="773" t="s">
        <v>17</v>
      </c>
      <c r="W28" s="774">
        <f t="shared" ref="W28:W46" si="14">J28</f>
        <v>100</v>
      </c>
      <c r="X28" s="1811"/>
      <c r="Y28" s="3240"/>
      <c r="Z28" s="1812" t="str">
        <f t="shared" ref="Z28:Z46" si="15">Q28</f>
        <v>楼层</v>
      </c>
      <c r="AA28" s="1809">
        <f t="shared" si="3"/>
        <v>1</v>
      </c>
      <c r="AB28" s="1809">
        <f t="shared" si="4"/>
        <v>1</v>
      </c>
      <c r="AC28" s="1809">
        <f t="shared" si="5"/>
        <v>1</v>
      </c>
    </row>
    <row r="29" spans="1:29" ht="15" hidden="1">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238"/>
      <c r="Q29" s="1808">
        <f t="shared" si="11"/>
        <v>111</v>
      </c>
      <c r="R29" s="773" t="s">
        <v>17</v>
      </c>
      <c r="S29" s="774">
        <f t="shared" si="12"/>
        <v>100</v>
      </c>
      <c r="T29" s="773" t="s">
        <v>17</v>
      </c>
      <c r="U29" s="774">
        <f t="shared" si="13"/>
        <v>100</v>
      </c>
      <c r="V29" s="773" t="s">
        <v>17</v>
      </c>
      <c r="W29" s="774">
        <f t="shared" si="14"/>
        <v>100</v>
      </c>
      <c r="X29" s="1811"/>
      <c r="Y29" s="3240"/>
      <c r="Z29" s="1812">
        <f t="shared" si="15"/>
        <v>111</v>
      </c>
      <c r="AA29" s="1809">
        <f t="shared" si="3"/>
        <v>1</v>
      </c>
      <c r="AB29" s="1809">
        <f t="shared" si="4"/>
        <v>1</v>
      </c>
      <c r="AC29" s="1809">
        <f t="shared" si="5"/>
        <v>1</v>
      </c>
    </row>
    <row r="30" spans="1:29" ht="15" hidden="1">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238"/>
      <c r="Q30" s="1808">
        <f t="shared" si="11"/>
        <v>111</v>
      </c>
      <c r="R30" s="773" t="s">
        <v>17</v>
      </c>
      <c r="S30" s="774">
        <f t="shared" si="12"/>
        <v>100</v>
      </c>
      <c r="T30" s="773" t="s">
        <v>17</v>
      </c>
      <c r="U30" s="774">
        <f t="shared" si="13"/>
        <v>100</v>
      </c>
      <c r="V30" s="773" t="s">
        <v>17</v>
      </c>
      <c r="W30" s="774">
        <f t="shared" si="14"/>
        <v>100</v>
      </c>
      <c r="X30" s="1811"/>
      <c r="Y30" s="3240"/>
      <c r="Z30" s="1812">
        <f t="shared" si="15"/>
        <v>111</v>
      </c>
      <c r="AA30" s="1809">
        <f t="shared" si="3"/>
        <v>1</v>
      </c>
      <c r="AB30" s="1809">
        <f t="shared" si="4"/>
        <v>1</v>
      </c>
      <c r="AC30" s="1809">
        <f t="shared" si="5"/>
        <v>1</v>
      </c>
    </row>
    <row r="31" spans="1:29" ht="15.75" hidden="1"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238"/>
      <c r="Q31" s="1808">
        <f t="shared" si="11"/>
        <v>111</v>
      </c>
      <c r="R31" s="773" t="s">
        <v>17</v>
      </c>
      <c r="S31" s="774">
        <f t="shared" si="12"/>
        <v>100</v>
      </c>
      <c r="T31" s="773" t="s">
        <v>17</v>
      </c>
      <c r="U31" s="774">
        <f t="shared" si="13"/>
        <v>100</v>
      </c>
      <c r="V31" s="773" t="s">
        <v>17</v>
      </c>
      <c r="W31" s="774">
        <f t="shared" si="14"/>
        <v>100</v>
      </c>
      <c r="X31" s="1811"/>
      <c r="Y31" s="3240"/>
      <c r="Z31" s="1812">
        <f t="shared" si="15"/>
        <v>111</v>
      </c>
      <c r="AA31" s="1809">
        <f t="shared" si="3"/>
        <v>1</v>
      </c>
      <c r="AB31" s="1809">
        <f t="shared" si="4"/>
        <v>1</v>
      </c>
      <c r="AC31" s="1809">
        <f t="shared" si="5"/>
        <v>1</v>
      </c>
    </row>
    <row r="32" spans="1:29" ht="15">
      <c r="A32" s="440" t="s">
        <v>2551</v>
      </c>
      <c r="B32" s="71" t="s">
        <v>2648</v>
      </c>
      <c r="C32" s="2612" t="s">
        <v>3073</v>
      </c>
      <c r="D32" s="467">
        <v>100</v>
      </c>
      <c r="E32" s="2612" t="s">
        <v>3073</v>
      </c>
      <c r="F32" s="461">
        <f>SUMIF(100:100,E32,101:101)-SUMIF(100:100,C32,101:101)+100</f>
        <v>100</v>
      </c>
      <c r="G32" s="2612" t="s">
        <v>3073</v>
      </c>
      <c r="H32" s="435">
        <f>SUMIF(100:100,G32,101:101)-SUMIF(100:100,C32,101:101)+100</f>
        <v>100</v>
      </c>
      <c r="I32" s="2612" t="s">
        <v>3073</v>
      </c>
      <c r="J32" s="467">
        <f>SUMIF(100:100,I32,101:101)-SUMIF(100:100,C32,101:101)+100</f>
        <v>100</v>
      </c>
      <c r="K32" s="612">
        <v>2</v>
      </c>
      <c r="L32" s="1139"/>
      <c r="M32" s="1130"/>
      <c r="N32" s="1130"/>
      <c r="O32" s="1130"/>
      <c r="P32" s="3241" t="s">
        <v>2553</v>
      </c>
      <c r="Q32" s="1808" t="str">
        <f t="shared" si="11"/>
        <v>商业类型</v>
      </c>
      <c r="R32" s="773" t="s">
        <v>17</v>
      </c>
      <c r="S32" s="774">
        <f t="shared" si="12"/>
        <v>100</v>
      </c>
      <c r="T32" s="773" t="s">
        <v>17</v>
      </c>
      <c r="U32" s="774">
        <f t="shared" si="13"/>
        <v>100</v>
      </c>
      <c r="V32" s="773" t="s">
        <v>17</v>
      </c>
      <c r="W32" s="774">
        <f t="shared" si="14"/>
        <v>100</v>
      </c>
      <c r="X32" s="1811"/>
      <c r="Y32" s="3244" t="s">
        <v>2553</v>
      </c>
      <c r="Z32" s="1812" t="str">
        <f t="shared" si="15"/>
        <v>商业类型</v>
      </c>
      <c r="AA32" s="1809">
        <f t="shared" si="3"/>
        <v>1</v>
      </c>
      <c r="AB32" s="1809">
        <f t="shared" si="4"/>
        <v>1</v>
      </c>
      <c r="AC32" s="1809">
        <f t="shared" si="5"/>
        <v>1</v>
      </c>
    </row>
    <row r="33" spans="1:29" s="471" customFormat="1" ht="15">
      <c r="A33" s="468"/>
      <c r="B33" s="422" t="s">
        <v>2554</v>
      </c>
      <c r="C33" s="469">
        <f>典型户型修正!B24</f>
        <v>173.52</v>
      </c>
      <c r="D33" s="136">
        <v>100</v>
      </c>
      <c r="E33" s="430">
        <v>87</v>
      </c>
      <c r="F33" s="425">
        <f>LOOKUP(E33,103:103,104:104)-LOOKUP(C33,103:103,104:104)+100</f>
        <v>102</v>
      </c>
      <c r="G33" s="429">
        <v>123</v>
      </c>
      <c r="H33" s="136">
        <f>LOOKUP(G33,103:103,104:104)-LOOKUP(C33,103:103,104:104)+100</f>
        <v>101</v>
      </c>
      <c r="I33" s="429">
        <v>153</v>
      </c>
      <c r="J33" s="136">
        <f>LOOKUP(I33,103:103,104:104)-LOOKUP(C33,103:103,104:104)+100</f>
        <v>100</v>
      </c>
      <c r="K33" s="613"/>
      <c r="L33" s="1137"/>
      <c r="M33" s="1140"/>
      <c r="N33" s="1140"/>
      <c r="O33" s="1140"/>
      <c r="P33" s="3242"/>
      <c r="Q33" s="775" t="str">
        <f t="shared" si="11"/>
        <v>项目建筑规模</v>
      </c>
      <c r="R33" s="776" t="s">
        <v>17</v>
      </c>
      <c r="S33" s="777">
        <f t="shared" si="12"/>
        <v>102</v>
      </c>
      <c r="T33" s="776" t="s">
        <v>17</v>
      </c>
      <c r="U33" s="777">
        <f t="shared" si="13"/>
        <v>101</v>
      </c>
      <c r="V33" s="776" t="s">
        <v>17</v>
      </c>
      <c r="W33" s="777">
        <f t="shared" si="14"/>
        <v>100</v>
      </c>
      <c r="X33" s="778"/>
      <c r="Y33" s="3244"/>
      <c r="Z33" s="779" t="str">
        <f t="shared" si="15"/>
        <v>项目建筑规模</v>
      </c>
      <c r="AA33" s="1809">
        <f t="shared" si="3"/>
        <v>0.98039215686274506</v>
      </c>
      <c r="AB33" s="1809">
        <f t="shared" si="4"/>
        <v>0.99009900990099009</v>
      </c>
      <c r="AC33" s="1809">
        <f t="shared" si="5"/>
        <v>1</v>
      </c>
    </row>
    <row r="34" spans="1:29" ht="15">
      <c r="A34" s="472"/>
      <c r="B34" s="422" t="s">
        <v>2555</v>
      </c>
      <c r="C34" s="2614" t="s">
        <v>3075</v>
      </c>
      <c r="D34" s="435">
        <v>100</v>
      </c>
      <c r="E34" s="2614" t="s">
        <v>3075</v>
      </c>
      <c r="F34" s="461">
        <f>SUMIF(105:105,E34,106:106)-SUMIF(105:105,C34,106:106)+100</f>
        <v>100</v>
      </c>
      <c r="G34" s="2614" t="s">
        <v>3075</v>
      </c>
      <c r="H34" s="435">
        <f>SUMIF(105:105,G34,106:106)-SUMIF(105:105,C34,106:106)+100</f>
        <v>100</v>
      </c>
      <c r="I34" s="2614" t="s">
        <v>3075</v>
      </c>
      <c r="J34" s="435">
        <f>SUMIF(105:105,I34,106:106)-SUMIF(105:105,C34,106:106)+100</f>
        <v>100</v>
      </c>
      <c r="K34" s="612">
        <v>2</v>
      </c>
      <c r="L34" s="1139"/>
      <c r="M34" s="1130"/>
      <c r="N34" s="1130"/>
      <c r="O34" s="1130"/>
      <c r="P34" s="3242"/>
      <c r="Q34" s="1808" t="str">
        <f t="shared" si="11"/>
        <v>建筑结构</v>
      </c>
      <c r="R34" s="773" t="s">
        <v>17</v>
      </c>
      <c r="S34" s="774">
        <f t="shared" si="12"/>
        <v>100</v>
      </c>
      <c r="T34" s="773" t="s">
        <v>17</v>
      </c>
      <c r="U34" s="774">
        <f t="shared" si="13"/>
        <v>100</v>
      </c>
      <c r="V34" s="773" t="s">
        <v>17</v>
      </c>
      <c r="W34" s="774">
        <f t="shared" si="14"/>
        <v>100</v>
      </c>
      <c r="X34" s="1811"/>
      <c r="Y34" s="3244"/>
      <c r="Z34" s="1812" t="str">
        <f t="shared" si="15"/>
        <v>建筑结构</v>
      </c>
      <c r="AA34" s="1809">
        <f t="shared" si="3"/>
        <v>1</v>
      </c>
      <c r="AB34" s="1809">
        <f t="shared" si="4"/>
        <v>1</v>
      </c>
      <c r="AC34" s="1809">
        <f t="shared" si="5"/>
        <v>1</v>
      </c>
    </row>
    <row r="35" spans="1:29" ht="15">
      <c r="A35" s="472"/>
      <c r="B35" s="422" t="s">
        <v>2649</v>
      </c>
      <c r="C35" s="2608" t="s">
        <v>3080</v>
      </c>
      <c r="D35" s="435">
        <v>100</v>
      </c>
      <c r="E35" s="2608" t="s">
        <v>3080</v>
      </c>
      <c r="F35" s="461">
        <f>SUMIF(107:107,E35,108:108)-SUMIF(107:107,C35,108:108)+100</f>
        <v>100</v>
      </c>
      <c r="G35" s="2608" t="s">
        <v>3080</v>
      </c>
      <c r="H35" s="435">
        <f>SUMIF(107:107,G35,108:108)-SUMIF(107:107,C35,108:108)+100</f>
        <v>100</v>
      </c>
      <c r="I35" s="2608" t="s">
        <v>3080</v>
      </c>
      <c r="J35" s="435">
        <f>SUMIF(107:107,I35,108:108)-SUMIF(107:107,C35,108:108)+100</f>
        <v>100</v>
      </c>
      <c r="K35" s="612">
        <v>2</v>
      </c>
      <c r="L35" s="1139"/>
      <c r="M35" s="1130"/>
      <c r="N35" s="1130"/>
      <c r="O35" s="1130"/>
      <c r="P35" s="3242"/>
      <c r="Q35" s="1808" t="str">
        <f t="shared" si="11"/>
        <v>公共部分装修</v>
      </c>
      <c r="R35" s="773" t="s">
        <v>17</v>
      </c>
      <c r="S35" s="774">
        <f t="shared" si="12"/>
        <v>100</v>
      </c>
      <c r="T35" s="773" t="s">
        <v>17</v>
      </c>
      <c r="U35" s="774">
        <f t="shared" si="13"/>
        <v>100</v>
      </c>
      <c r="V35" s="773" t="s">
        <v>17</v>
      </c>
      <c r="W35" s="774">
        <f t="shared" si="14"/>
        <v>100</v>
      </c>
      <c r="X35" s="1811"/>
      <c r="Y35" s="3244"/>
      <c r="Z35" s="1812" t="str">
        <f t="shared" si="15"/>
        <v>公共部分装修</v>
      </c>
      <c r="AA35" s="1809">
        <f t="shared" si="3"/>
        <v>1</v>
      </c>
      <c r="AB35" s="1809">
        <f t="shared" si="4"/>
        <v>1</v>
      </c>
      <c r="AC35" s="1809">
        <f t="shared" si="5"/>
        <v>1</v>
      </c>
    </row>
    <row r="36" spans="1:29" ht="15">
      <c r="A36" s="472"/>
      <c r="B36" s="422" t="s">
        <v>2650</v>
      </c>
      <c r="C36" s="474">
        <f>'数据-取费表'!N6</f>
        <v>0.87</v>
      </c>
      <c r="D36" s="435">
        <v>100</v>
      </c>
      <c r="E36" s="474">
        <f>ROUND(1-(1-0%)*(2018-2006)/60,2)</f>
        <v>0.8</v>
      </c>
      <c r="F36" s="461">
        <f>LOOKUP(E36,110:110,111:111)-LOOKUP(C36,110:110,111:111)+100</f>
        <v>100</v>
      </c>
      <c r="G36" s="474">
        <f>ROUND(1-(1-0%)*(2018-2008)/60,2)</f>
        <v>0.83</v>
      </c>
      <c r="H36" s="461">
        <f>LOOKUP(G36,110:110,111:111)-LOOKUP(C36,110:110,111:111)+100</f>
        <v>100</v>
      </c>
      <c r="I36" s="474">
        <f>ROUND(1-(1-0%)*(2018-2003)/60,2)</f>
        <v>0.75</v>
      </c>
      <c r="J36" s="435">
        <f>LOOKUP(I36,110:110,111:111)-LOOKUP(C36,110:110,111:111)+100</f>
        <v>98</v>
      </c>
      <c r="K36" s="612">
        <v>2</v>
      </c>
      <c r="L36" s="1139"/>
      <c r="M36" s="1130"/>
      <c r="N36" s="1130"/>
      <c r="O36" s="1130"/>
      <c r="P36" s="3242"/>
      <c r="Q36" s="1808" t="str">
        <f t="shared" si="11"/>
        <v>成新度</v>
      </c>
      <c r="R36" s="773" t="s">
        <v>17</v>
      </c>
      <c r="S36" s="774">
        <f t="shared" si="12"/>
        <v>100</v>
      </c>
      <c r="T36" s="773" t="s">
        <v>17</v>
      </c>
      <c r="U36" s="774">
        <f t="shared" si="13"/>
        <v>100</v>
      </c>
      <c r="V36" s="773" t="s">
        <v>17</v>
      </c>
      <c r="W36" s="774">
        <f t="shared" si="14"/>
        <v>98</v>
      </c>
      <c r="X36" s="1811"/>
      <c r="Y36" s="3244"/>
      <c r="Z36" s="1812" t="str">
        <f t="shared" si="15"/>
        <v>成新度</v>
      </c>
      <c r="AA36" s="1809">
        <f t="shared" si="3"/>
        <v>1</v>
      </c>
      <c r="AB36" s="1809">
        <f t="shared" si="4"/>
        <v>1</v>
      </c>
      <c r="AC36" s="1809">
        <f t="shared" si="5"/>
        <v>1.0204081632653061</v>
      </c>
    </row>
    <row r="37" spans="1:29" s="117" customFormat="1" ht="15">
      <c r="A37" s="473"/>
      <c r="B37" s="422" t="s">
        <v>2651</v>
      </c>
      <c r="C37" s="2608" t="s">
        <v>3087</v>
      </c>
      <c r="D37" s="136">
        <v>100</v>
      </c>
      <c r="E37" s="2608" t="s">
        <v>3087</v>
      </c>
      <c r="F37" s="461">
        <f>SUMIF(112:112,E37,113:113)-SUMIF(112:112,C37,113:113)+100</f>
        <v>100</v>
      </c>
      <c r="G37" s="2608" t="s">
        <v>3087</v>
      </c>
      <c r="H37" s="435">
        <f>SUMIF(112:112,G37,113:113)-SUMIF(112:112,C37,113:113)+100</f>
        <v>100</v>
      </c>
      <c r="I37" s="2608" t="s">
        <v>3087</v>
      </c>
      <c r="J37" s="435">
        <f>SUMIF(112:112,I37,113:113)-SUMIF(112:112,C37,113:113)+100</f>
        <v>100</v>
      </c>
      <c r="K37" s="612">
        <v>1</v>
      </c>
      <c r="L37" s="1131"/>
      <c r="M37" s="1132"/>
      <c r="N37" s="1132"/>
      <c r="O37" s="1132"/>
      <c r="P37" s="3242"/>
      <c r="Q37" s="1793" t="str">
        <f t="shared" si="11"/>
        <v>市政基础设施</v>
      </c>
      <c r="R37" s="769" t="s">
        <v>17</v>
      </c>
      <c r="S37" s="770">
        <f t="shared" si="12"/>
        <v>100</v>
      </c>
      <c r="T37" s="769" t="s">
        <v>17</v>
      </c>
      <c r="U37" s="770">
        <f t="shared" si="13"/>
        <v>100</v>
      </c>
      <c r="V37" s="769" t="s">
        <v>17</v>
      </c>
      <c r="W37" s="770">
        <f t="shared" si="14"/>
        <v>100</v>
      </c>
      <c r="X37" s="771"/>
      <c r="Y37" s="3244"/>
      <c r="Z37" s="55" t="str">
        <f t="shared" si="15"/>
        <v>市政基础设施</v>
      </c>
      <c r="AA37" s="772">
        <f t="shared" si="3"/>
        <v>1</v>
      </c>
      <c r="AB37" s="772">
        <f t="shared" si="4"/>
        <v>1</v>
      </c>
      <c r="AC37" s="772">
        <f t="shared" si="5"/>
        <v>1</v>
      </c>
    </row>
    <row r="38" spans="1:29" ht="15">
      <c r="A38" s="472"/>
      <c r="B38" s="422" t="s">
        <v>2652</v>
      </c>
      <c r="C38" s="2608" t="s">
        <v>3093</v>
      </c>
      <c r="D38" s="435">
        <v>100</v>
      </c>
      <c r="E38" s="2608" t="s">
        <v>3093</v>
      </c>
      <c r="F38" s="461">
        <f>SUMIF(114:114,E38,115:115)-SUMIF(114:114,C38,115:115)+100</f>
        <v>100</v>
      </c>
      <c r="G38" s="2608" t="s">
        <v>3093</v>
      </c>
      <c r="H38" s="435">
        <f>SUMIF(114:114,G38,115:115)-SUMIF(114:114,C38,115:115)+100</f>
        <v>100</v>
      </c>
      <c r="I38" s="2608" t="s">
        <v>3093</v>
      </c>
      <c r="J38" s="435">
        <f>SUMIF(114:114,I38,115:115)-SUMIF(114:114,C38,115:115)+100</f>
        <v>100</v>
      </c>
      <c r="K38" s="612">
        <v>2</v>
      </c>
      <c r="L38" s="1139"/>
      <c r="M38" s="1130"/>
      <c r="N38" s="1130"/>
      <c r="O38" s="1130"/>
      <c r="P38" s="3242" t="s">
        <v>2553</v>
      </c>
      <c r="Q38" s="1808" t="str">
        <f t="shared" si="11"/>
        <v>业态</v>
      </c>
      <c r="R38" s="773" t="s">
        <v>17</v>
      </c>
      <c r="S38" s="774">
        <f t="shared" si="12"/>
        <v>100</v>
      </c>
      <c r="T38" s="773" t="s">
        <v>17</v>
      </c>
      <c r="U38" s="774">
        <f t="shared" si="13"/>
        <v>100</v>
      </c>
      <c r="V38" s="773" t="s">
        <v>17</v>
      </c>
      <c r="W38" s="774">
        <f t="shared" si="14"/>
        <v>100</v>
      </c>
      <c r="X38" s="1811"/>
      <c r="Y38" s="3244" t="s">
        <v>2553</v>
      </c>
      <c r="Z38" s="1812" t="str">
        <f t="shared" si="15"/>
        <v>业态</v>
      </c>
      <c r="AA38" s="1809">
        <f t="shared" si="3"/>
        <v>1</v>
      </c>
      <c r="AB38" s="1809">
        <f t="shared" si="4"/>
        <v>1</v>
      </c>
      <c r="AC38" s="1809">
        <f t="shared" si="5"/>
        <v>1</v>
      </c>
    </row>
    <row r="39" spans="1:29" ht="15">
      <c r="A39" s="472"/>
      <c r="B39" s="422" t="s">
        <v>2653</v>
      </c>
      <c r="C39" s="2608" t="s">
        <v>3095</v>
      </c>
      <c r="D39" s="435">
        <v>100</v>
      </c>
      <c r="E39" s="2608" t="s">
        <v>3095</v>
      </c>
      <c r="F39" s="461">
        <f>SUMIF(116:116,E39,117:117)-SUMIF(116:116,C39,117:117)+100</f>
        <v>100</v>
      </c>
      <c r="G39" s="2608" t="s">
        <v>3095</v>
      </c>
      <c r="H39" s="435">
        <f>SUMIF(116:116,G39,117:117)-SUMIF(116:116,C39,117:117)+100</f>
        <v>100</v>
      </c>
      <c r="I39" s="2608" t="s">
        <v>3095</v>
      </c>
      <c r="J39" s="435">
        <f>SUMIF(116:116,I39,117:117)-SUMIF(116:116,C39,117:117)+100</f>
        <v>100</v>
      </c>
      <c r="K39" s="612">
        <v>5</v>
      </c>
      <c r="L39" s="1139"/>
      <c r="M39" s="1130"/>
      <c r="N39" s="1130"/>
      <c r="O39" s="1130"/>
      <c r="P39" s="3242"/>
      <c r="Q39" s="1808" t="str">
        <f t="shared" si="11"/>
        <v>层高</v>
      </c>
      <c r="R39" s="773" t="s">
        <v>17</v>
      </c>
      <c r="S39" s="774">
        <f t="shared" si="12"/>
        <v>100</v>
      </c>
      <c r="T39" s="773" t="s">
        <v>17</v>
      </c>
      <c r="U39" s="774">
        <f t="shared" si="13"/>
        <v>100</v>
      </c>
      <c r="V39" s="773" t="s">
        <v>17</v>
      </c>
      <c r="W39" s="774">
        <f t="shared" si="14"/>
        <v>100</v>
      </c>
      <c r="X39" s="1811"/>
      <c r="Y39" s="3244"/>
      <c r="Z39" s="1812" t="str">
        <f t="shared" si="15"/>
        <v>层高</v>
      </c>
      <c r="AA39" s="1809">
        <f t="shared" si="3"/>
        <v>1</v>
      </c>
      <c r="AB39" s="1809">
        <f t="shared" si="4"/>
        <v>1</v>
      </c>
      <c r="AC39" s="1809">
        <f t="shared" si="5"/>
        <v>1</v>
      </c>
    </row>
    <row r="40" spans="1:29" ht="15">
      <c r="A40" s="472"/>
      <c r="B40" s="422" t="s">
        <v>2654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242"/>
      <c r="Q40" s="1808" t="str">
        <f t="shared" si="11"/>
        <v>单套建筑面积</v>
      </c>
      <c r="R40" s="773" t="s">
        <v>17</v>
      </c>
      <c r="S40" s="774">
        <f t="shared" si="12"/>
        <v>100</v>
      </c>
      <c r="T40" s="773" t="s">
        <v>17</v>
      </c>
      <c r="U40" s="774">
        <f t="shared" si="13"/>
        <v>100</v>
      </c>
      <c r="V40" s="773" t="s">
        <v>17</v>
      </c>
      <c r="W40" s="774">
        <f t="shared" si="14"/>
        <v>100</v>
      </c>
      <c r="X40" s="1811"/>
      <c r="Y40" s="3244"/>
      <c r="Z40" s="1812" t="str">
        <f t="shared" si="15"/>
        <v>单套建筑面积</v>
      </c>
      <c r="AA40" s="1809">
        <f t="shared" si="3"/>
        <v>1</v>
      </c>
      <c r="AB40" s="1809">
        <f t="shared" si="4"/>
        <v>1</v>
      </c>
      <c r="AC40" s="1809">
        <f t="shared" si="5"/>
        <v>1</v>
      </c>
    </row>
    <row r="41" spans="1:29" s="471" customFormat="1" ht="15">
      <c r="A41" s="468"/>
      <c r="B41" s="1810" t="s">
        <v>2655</v>
      </c>
      <c r="C41" s="616" t="s">
        <v>3065</v>
      </c>
      <c r="D41" s="435">
        <v>100</v>
      </c>
      <c r="E41" s="616" t="s">
        <v>3065</v>
      </c>
      <c r="F41" s="461">
        <f>SUMIF(120:120,E41,121:121)-SUMIF(120:120,C41,121:121)+100</f>
        <v>100</v>
      </c>
      <c r="G41" s="616" t="s">
        <v>3065</v>
      </c>
      <c r="H41" s="435">
        <f>SUMIF(120:120,G41,121:121)-SUMIF(120:120,C41,121:121)+100</f>
        <v>100</v>
      </c>
      <c r="I41" s="616" t="s">
        <v>3065</v>
      </c>
      <c r="J41" s="435">
        <f>SUMIF(120:120,I41,121:121)-SUMIF(120:120,C41,121:121)+100</f>
        <v>100</v>
      </c>
      <c r="K41" s="612">
        <v>2</v>
      </c>
      <c r="L41" s="1137"/>
      <c r="M41" s="1140"/>
      <c r="N41" s="1140"/>
      <c r="O41" s="1140"/>
      <c r="P41" s="3242"/>
      <c r="Q41" s="775" t="str">
        <f t="shared" si="11"/>
        <v>进深比</v>
      </c>
      <c r="R41" s="776" t="s">
        <v>17</v>
      </c>
      <c r="S41" s="777">
        <f t="shared" si="12"/>
        <v>100</v>
      </c>
      <c r="T41" s="776" t="s">
        <v>17</v>
      </c>
      <c r="U41" s="777">
        <f t="shared" si="13"/>
        <v>100</v>
      </c>
      <c r="V41" s="776" t="s">
        <v>17</v>
      </c>
      <c r="W41" s="777">
        <f t="shared" si="14"/>
        <v>100</v>
      </c>
      <c r="X41" s="778"/>
      <c r="Y41" s="3244"/>
      <c r="Z41" s="779" t="str">
        <f t="shared" si="15"/>
        <v>进深比</v>
      </c>
      <c r="AA41" s="1809">
        <f t="shared" si="3"/>
        <v>1</v>
      </c>
      <c r="AB41" s="1809">
        <f t="shared" si="4"/>
        <v>1</v>
      </c>
      <c r="AC41" s="1809">
        <f t="shared" si="5"/>
        <v>1</v>
      </c>
    </row>
    <row r="42" spans="1:29" ht="15">
      <c r="A42" s="472"/>
      <c r="B42" s="422" t="s">
        <v>2656</v>
      </c>
      <c r="C42" s="2608" t="s">
        <v>3084</v>
      </c>
      <c r="D42" s="435">
        <v>100</v>
      </c>
      <c r="E42" s="2608" t="s">
        <v>3078</v>
      </c>
      <c r="F42" s="461">
        <f>SUMIF(122:122,E42,123:123)-SUMIF(122:122,C42,123:123)+100</f>
        <v>104.5</v>
      </c>
      <c r="G42" s="2608" t="s">
        <v>3082</v>
      </c>
      <c r="H42" s="435">
        <f>SUMIF(122:122,G42,123:123)-SUMIF(122:122,C42,123:123)+100</f>
        <v>101.5</v>
      </c>
      <c r="I42" s="2608" t="s">
        <v>3080</v>
      </c>
      <c r="J42" s="435">
        <f>SUMIF(122:122,I42,123:123)-SUMIF(122:122,C42,123:123)+100</f>
        <v>103</v>
      </c>
      <c r="K42" s="612">
        <v>1.5</v>
      </c>
      <c r="L42" s="1139"/>
      <c r="M42" s="1130"/>
      <c r="N42" s="1130"/>
      <c r="O42" s="1130"/>
      <c r="P42" s="3242"/>
      <c r="Q42" s="1808" t="str">
        <f t="shared" si="11"/>
        <v>内部装修</v>
      </c>
      <c r="R42" s="773" t="s">
        <v>17</v>
      </c>
      <c r="S42" s="774">
        <f t="shared" si="12"/>
        <v>104.5</v>
      </c>
      <c r="T42" s="773" t="s">
        <v>17</v>
      </c>
      <c r="U42" s="774">
        <f t="shared" si="13"/>
        <v>101.5</v>
      </c>
      <c r="V42" s="773" t="s">
        <v>17</v>
      </c>
      <c r="W42" s="774">
        <f t="shared" si="14"/>
        <v>103</v>
      </c>
      <c r="X42" s="1811"/>
      <c r="Y42" s="3244"/>
      <c r="Z42" s="1812" t="str">
        <f t="shared" si="15"/>
        <v>内部装修</v>
      </c>
      <c r="AA42" s="1809">
        <f t="shared" si="3"/>
        <v>0.9569377990430622</v>
      </c>
      <c r="AB42" s="1809">
        <f t="shared" si="4"/>
        <v>0.98522167487684731</v>
      </c>
      <c r="AC42" s="1809">
        <f t="shared" si="5"/>
        <v>0.970873786407767</v>
      </c>
    </row>
    <row r="43" spans="1:29" ht="15.75" thickBot="1">
      <c r="A43" s="472"/>
      <c r="B43" s="422" t="s">
        <v>2564</v>
      </c>
      <c r="C43" s="2608" t="s">
        <v>3065</v>
      </c>
      <c r="D43" s="435">
        <v>100</v>
      </c>
      <c r="E43" s="2608" t="s">
        <v>3065</v>
      </c>
      <c r="F43" s="461">
        <f>SUMIF(124:124,E43,125:125)-SUMIF(124:124,C43,125:125)+100</f>
        <v>100</v>
      </c>
      <c r="G43" s="2608" t="s">
        <v>3065</v>
      </c>
      <c r="H43" s="435">
        <f>SUMIF(124:124,G43,125:125)-SUMIF(124:124,C43,125:125)+100</f>
        <v>100</v>
      </c>
      <c r="I43" s="2608" t="s">
        <v>3065</v>
      </c>
      <c r="J43" s="435">
        <f>SUMIF(124:124,I43,125:125)-SUMIF(124:124,C43,125:125)+100</f>
        <v>100</v>
      </c>
      <c r="K43" s="612">
        <v>2</v>
      </c>
      <c r="L43" s="1139"/>
      <c r="M43" s="1130"/>
      <c r="N43" s="1130"/>
      <c r="O43" s="1130"/>
      <c r="P43" s="3242"/>
      <c r="Q43" s="1808" t="str">
        <f t="shared" si="11"/>
        <v>内部装修维护情况</v>
      </c>
      <c r="R43" s="773" t="s">
        <v>17</v>
      </c>
      <c r="S43" s="774">
        <f t="shared" si="12"/>
        <v>100</v>
      </c>
      <c r="T43" s="773" t="s">
        <v>17</v>
      </c>
      <c r="U43" s="774">
        <f t="shared" si="13"/>
        <v>100</v>
      </c>
      <c r="V43" s="773" t="s">
        <v>17</v>
      </c>
      <c r="W43" s="774">
        <f t="shared" si="14"/>
        <v>100</v>
      </c>
      <c r="X43" s="1811"/>
      <c r="Y43" s="3244"/>
      <c r="Z43" s="1812" t="str">
        <f t="shared" si="15"/>
        <v>内部装修维护情况</v>
      </c>
      <c r="AA43" s="1809">
        <f t="shared" si="3"/>
        <v>1</v>
      </c>
      <c r="AB43" s="1809">
        <f t="shared" si="4"/>
        <v>1</v>
      </c>
      <c r="AC43" s="1809">
        <f t="shared" si="5"/>
        <v>1</v>
      </c>
    </row>
    <row r="44" spans="1:29" s="117" customFormat="1" ht="15" hidden="1">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242"/>
      <c r="Q44" s="1793">
        <f t="shared" si="11"/>
        <v>111</v>
      </c>
      <c r="R44" s="769" t="s">
        <v>17</v>
      </c>
      <c r="S44" s="770">
        <f t="shared" si="12"/>
        <v>100</v>
      </c>
      <c r="T44" s="769" t="s">
        <v>17</v>
      </c>
      <c r="U44" s="770">
        <f t="shared" si="13"/>
        <v>100</v>
      </c>
      <c r="V44" s="769" t="s">
        <v>17</v>
      </c>
      <c r="W44" s="770">
        <f t="shared" si="14"/>
        <v>100</v>
      </c>
      <c r="X44" s="771"/>
      <c r="Y44" s="3244"/>
      <c r="Z44" s="55">
        <f t="shared" si="15"/>
        <v>111</v>
      </c>
      <c r="AA44" s="772">
        <f t="shared" si="3"/>
        <v>1</v>
      </c>
      <c r="AB44" s="772">
        <f t="shared" si="4"/>
        <v>1</v>
      </c>
      <c r="AC44" s="772">
        <f t="shared" si="5"/>
        <v>1</v>
      </c>
    </row>
    <row r="45" spans="1:29" ht="15" hidden="1">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242"/>
      <c r="Q45" s="1808">
        <f t="shared" si="11"/>
        <v>111</v>
      </c>
      <c r="R45" s="773" t="s">
        <v>17</v>
      </c>
      <c r="S45" s="774">
        <f t="shared" si="12"/>
        <v>100</v>
      </c>
      <c r="T45" s="773" t="s">
        <v>17</v>
      </c>
      <c r="U45" s="774">
        <f t="shared" si="13"/>
        <v>100</v>
      </c>
      <c r="V45" s="773" t="s">
        <v>17</v>
      </c>
      <c r="W45" s="774">
        <f t="shared" si="14"/>
        <v>100</v>
      </c>
      <c r="X45" s="1811"/>
      <c r="Y45" s="3244"/>
      <c r="Z45" s="1812">
        <f t="shared" si="15"/>
        <v>111</v>
      </c>
      <c r="AA45" s="1809">
        <f t="shared" si="3"/>
        <v>1</v>
      </c>
      <c r="AB45" s="1809">
        <f t="shared" si="4"/>
        <v>1</v>
      </c>
      <c r="AC45" s="1809">
        <f t="shared" si="5"/>
        <v>1</v>
      </c>
    </row>
    <row r="46" spans="1:29" ht="15.75" hidden="1" thickBot="1">
      <c r="A46" s="478"/>
      <c r="B46" s="259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243"/>
      <c r="Q46" s="1808">
        <f t="shared" si="11"/>
        <v>111</v>
      </c>
      <c r="R46" s="773" t="s">
        <v>17</v>
      </c>
      <c r="S46" s="774">
        <f t="shared" si="12"/>
        <v>100</v>
      </c>
      <c r="T46" s="773" t="s">
        <v>17</v>
      </c>
      <c r="U46" s="774">
        <f t="shared" si="13"/>
        <v>100</v>
      </c>
      <c r="V46" s="773" t="s">
        <v>17</v>
      </c>
      <c r="W46" s="774">
        <f t="shared" si="14"/>
        <v>100</v>
      </c>
      <c r="X46" s="1811"/>
      <c r="Y46" s="3245"/>
      <c r="Z46" s="1812">
        <f t="shared" si="15"/>
        <v>111</v>
      </c>
      <c r="AA46" s="1809">
        <f t="shared" si="3"/>
        <v>1</v>
      </c>
      <c r="AB46" s="1809">
        <f t="shared" si="4"/>
        <v>1</v>
      </c>
      <c r="AC46" s="1809">
        <f t="shared" si="5"/>
        <v>1</v>
      </c>
    </row>
    <row r="47" spans="1:29" ht="15">
      <c r="A47" s="479" t="s">
        <v>2565</v>
      </c>
      <c r="B47" s="480"/>
      <c r="C47" s="1406" t="s">
        <v>1</v>
      </c>
      <c r="D47" s="1407"/>
      <c r="E47" s="1408">
        <f>E62</f>
        <v>59310</v>
      </c>
      <c r="F47" s="1409"/>
      <c r="G47" s="1410">
        <f>F62</f>
        <v>48780</v>
      </c>
      <c r="H47" s="1411"/>
      <c r="I47" s="1408">
        <f>G62</f>
        <v>52222</v>
      </c>
      <c r="J47" s="1411"/>
      <c r="K47" s="782"/>
      <c r="L47" s="1142"/>
      <c r="M47" s="1143"/>
      <c r="N47" s="1130"/>
      <c r="O47" s="1143"/>
      <c r="P47" s="3246" t="str">
        <f>A47</f>
        <v>成交单价（元/平方米）</v>
      </c>
      <c r="Q47" s="3246"/>
      <c r="R47" s="3208">
        <f>E47</f>
        <v>59310</v>
      </c>
      <c r="S47" s="3208"/>
      <c r="T47" s="3208">
        <f>G47</f>
        <v>48780</v>
      </c>
      <c r="U47" s="3208"/>
      <c r="V47" s="3208">
        <f>I47</f>
        <v>52222</v>
      </c>
      <c r="W47" s="3208"/>
      <c r="X47" s="758"/>
      <c r="Y47" s="780"/>
      <c r="Z47" s="758"/>
      <c r="AA47" s="758"/>
      <c r="AB47" s="758"/>
      <c r="AC47" s="758"/>
    </row>
    <row r="48" spans="1:29" ht="15.75" thickBot="1">
      <c r="A48" s="486" t="s">
        <v>2657</v>
      </c>
      <c r="B48" s="487"/>
      <c r="C48" s="1412">
        <f>R49</f>
        <v>49349</v>
      </c>
      <c r="D48" s="1413"/>
      <c r="E48" s="1414">
        <f>R48</f>
        <v>53482</v>
      </c>
      <c r="F48" s="1414"/>
      <c r="G48" s="1412">
        <f>T48</f>
        <v>44839</v>
      </c>
      <c r="H48" s="1413"/>
      <c r="I48" s="1414">
        <f>V48</f>
        <v>49727</v>
      </c>
      <c r="J48" s="1413"/>
      <c r="K48" s="783"/>
      <c r="L48" s="1142"/>
      <c r="M48" s="1143"/>
      <c r="N48" s="1130"/>
      <c r="O48" s="1143"/>
      <c r="P48" s="3246" t="str">
        <f>A48</f>
        <v>比较价值（元/平方米）</v>
      </c>
      <c r="Q48" s="3246"/>
      <c r="R48" s="3247">
        <f>IF(F1="售价",ROUND(PRODUCT(R47,AA7:AA46),0),ROUND(PRODUCT(R47,AA7:AA46),1))</f>
        <v>53482</v>
      </c>
      <c r="S48" s="3247"/>
      <c r="T48" s="3247">
        <f>IF(F1="售价",ROUND(PRODUCT(T47,AB7:AB46),0),ROUND(PRODUCT(T47,AB7:AB46),1))</f>
        <v>44839</v>
      </c>
      <c r="U48" s="3247"/>
      <c r="V48" s="3247">
        <f>IF(F1="售价",ROUND(PRODUCT(V47,AC7:AC46),0),ROUND(PRODUCT(V47,AC7:AC46),1))</f>
        <v>49727</v>
      </c>
      <c r="W48" s="3247"/>
      <c r="X48" s="758"/>
      <c r="Y48" s="758"/>
      <c r="Z48" s="758"/>
      <c r="AA48" s="758"/>
      <c r="AB48" s="758"/>
      <c r="AC48" s="758"/>
    </row>
    <row r="49" spans="1:29" ht="15.75" thickBot="1">
      <c r="A49" s="492" t="s">
        <v>2658</v>
      </c>
      <c r="B49" s="493"/>
      <c r="C49" s="1416">
        <f>R49</f>
        <v>49349</v>
      </c>
      <c r="D49" s="1416"/>
      <c r="E49" s="1416"/>
      <c r="F49" s="1416"/>
      <c r="G49" s="1416"/>
      <c r="H49" s="1416"/>
      <c r="I49" s="1416"/>
      <c r="J49" s="1416"/>
      <c r="K49" s="784"/>
      <c r="L49" s="1142"/>
      <c r="M49" s="1143"/>
      <c r="N49" s="1130"/>
      <c r="O49" s="1143"/>
      <c r="P49" s="3248" t="str">
        <f>A49</f>
        <v>估价对象XX用房的比较价值（楼面单价，元/平方米）</v>
      </c>
      <c r="Q49" s="3249"/>
      <c r="R49" s="3250">
        <f>IF(F1="售价",ROUND(AVERAGE(R48:V48),0),ROUND(AVERAGE(R48:V48),1))</f>
        <v>49349</v>
      </c>
      <c r="S49" s="3250"/>
      <c r="T49" s="3250"/>
      <c r="U49" s="3250"/>
      <c r="V49" s="3250"/>
      <c r="W49" s="3250"/>
      <c r="X49" s="758"/>
      <c r="Y49" s="758"/>
      <c r="Z49" s="758"/>
      <c r="AA49" s="758"/>
      <c r="AB49" s="758"/>
      <c r="AC49" s="758"/>
    </row>
    <row r="50" spans="1:29">
      <c r="A50" s="1143"/>
      <c r="B50" s="1143"/>
      <c r="C50" s="1143"/>
      <c r="D50" s="1143"/>
      <c r="E50" s="1143"/>
      <c r="F50" s="1143"/>
      <c r="G50" s="1146"/>
      <c r="H50" s="1143"/>
      <c r="I50" s="1143"/>
      <c r="J50" s="1143"/>
      <c r="K50" s="1105"/>
      <c r="L50" s="1106"/>
      <c r="M50" s="1143"/>
      <c r="N50" s="1143"/>
      <c r="O50" s="1143"/>
      <c r="P50" s="675"/>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5"/>
      <c r="L51" s="1106"/>
      <c r="M51" s="1143"/>
      <c r="N51" s="1143"/>
      <c r="O51" s="1143"/>
      <c r="P51" s="675"/>
      <c r="Q51" s="758"/>
      <c r="R51" s="758"/>
      <c r="S51" s="758"/>
      <c r="T51" s="758"/>
      <c r="U51" s="758"/>
      <c r="V51" s="758"/>
      <c r="W51" s="758"/>
      <c r="X51" s="758"/>
      <c r="Y51" s="758"/>
      <c r="Z51" s="758"/>
      <c r="AA51" s="758"/>
      <c r="AB51" s="758"/>
      <c r="AC51" s="758"/>
    </row>
    <row r="52" spans="1:29" ht="13.5" customHeight="1">
      <c r="A52" s="1143"/>
      <c r="B52" s="1143"/>
      <c r="C52" s="497" t="s">
        <v>2659</v>
      </c>
      <c r="D52" s="498"/>
      <c r="E52" s="499">
        <f>IF(E47&lt;E48,E48/E47-1,E47/E48-1)</f>
        <v>0.10897124266108227</v>
      </c>
      <c r="F52" s="500" t="str">
        <f>IF(OR(E52&gt;=0.3,E52&lt;=-0.3),"超过30%","")</f>
        <v/>
      </c>
      <c r="G52" s="499">
        <f>IF(G47&lt;G48,G48/G47-1,G47/G48-1)</f>
        <v>8.7892236668971169E-2</v>
      </c>
      <c r="H52" s="500" t="str">
        <f>IF(OR(G52&gt;=0.3,G52&lt;=-0.3),"超过30%","")</f>
        <v/>
      </c>
      <c r="I52" s="499">
        <f>IF(I47&lt;I48,I48/I47-1,I47/I48-1)</f>
        <v>5.017394976572076E-2</v>
      </c>
      <c r="J52" s="500" t="str">
        <f>IF(OR(I52&gt;=0.3,I52&lt;=-0.3),"超过30%","")</f>
        <v/>
      </c>
      <c r="K52" s="1105"/>
      <c r="L52" s="1106"/>
      <c r="M52" s="1143"/>
      <c r="N52" s="1143"/>
      <c r="O52" s="1143"/>
      <c r="P52" s="675"/>
      <c r="Q52" s="758"/>
      <c r="R52" s="758"/>
      <c r="S52" s="758"/>
      <c r="T52" s="758"/>
      <c r="U52" s="758"/>
      <c r="V52" s="758"/>
      <c r="W52" s="758"/>
      <c r="X52" s="758"/>
      <c r="Y52" s="758"/>
      <c r="Z52" s="758"/>
      <c r="AA52" s="758"/>
      <c r="AB52" s="758"/>
      <c r="AC52" s="758"/>
    </row>
    <row r="53" spans="1:29" ht="13.5" customHeight="1">
      <c r="A53" s="1143"/>
      <c r="B53" s="1143"/>
      <c r="C53" s="497" t="s">
        <v>2660</v>
      </c>
      <c r="D53" s="501"/>
      <c r="E53" s="499">
        <f>IF(E48&lt;G48,G48/E48-1,E48/G48-1)</f>
        <v>0.19275630589442216</v>
      </c>
      <c r="F53" s="500" t="str">
        <f>IF(OR(E53&gt;=0.2,E53&lt;=-0.2),"超过20%","")</f>
        <v/>
      </c>
      <c r="G53" s="499">
        <f>IF(G48&lt;I48,I48/G48-1,G48/I48-1)</f>
        <v>0.10901224380561558</v>
      </c>
      <c r="H53" s="500" t="str">
        <f>IF(OR(G53&gt;=0.2,G53&lt;=-0.2),"超过20%","")</f>
        <v/>
      </c>
      <c r="I53" s="499">
        <f>IF(I48&lt;E48,E48/I48-1,I48/E48-1)</f>
        <v>7.55122971423976E-2</v>
      </c>
      <c r="J53" s="500" t="str">
        <f>IF(OR(I53&gt;=0.2,I53&lt;=-0.2),"超过20%","")</f>
        <v/>
      </c>
      <c r="K53" s="1105"/>
      <c r="L53" s="1106"/>
      <c r="M53" s="1143"/>
      <c r="N53" s="1143"/>
      <c r="O53" s="1143"/>
      <c r="P53" s="675"/>
      <c r="Q53" s="758"/>
      <c r="R53" s="758"/>
      <c r="S53" s="758"/>
      <c r="T53" s="758"/>
      <c r="U53" s="758"/>
      <c r="V53" s="758"/>
      <c r="W53" s="758"/>
      <c r="X53" s="758"/>
      <c r="Y53" s="758"/>
      <c r="Z53" s="758"/>
      <c r="AA53" s="758"/>
      <c r="AB53" s="758"/>
      <c r="AC53" s="758"/>
    </row>
    <row r="54" spans="1:29" s="502" customFormat="1" ht="13.5" customHeight="1">
      <c r="A54" s="1144"/>
      <c r="B54" s="1144"/>
      <c r="C54" s="497" t="s">
        <v>2661</v>
      </c>
      <c r="D54" s="501"/>
      <c r="E54" s="499">
        <f>IF(E47&lt;G47,G47/E47-1,E47/G47-1)</f>
        <v>0.21586715867158679</v>
      </c>
      <c r="F54" s="500" t="str">
        <f>IF(OR(E54&gt;=0.3,E54&lt;=-0.3),"超过30%","")</f>
        <v/>
      </c>
      <c r="G54" s="499">
        <f>IF(G47&lt;I47,I47/G47-1,G47/I47-1)</f>
        <v>7.0561705617056214E-2</v>
      </c>
      <c r="H54" s="500" t="str">
        <f>IF(OR(G54&gt;=0.3,G54&lt;=-0.3),"超过30%","")</f>
        <v/>
      </c>
      <c r="I54" s="499">
        <f>IF(I47&lt;E47,E47/I47-1,I47/E47-1)</f>
        <v>0.13572823714143456</v>
      </c>
      <c r="J54" s="500" t="str">
        <f>IF(OR(I54&gt;=0.3,I54&lt;=-0.3),"超过30%","")</f>
        <v/>
      </c>
      <c r="K54" s="1147"/>
      <c r="L54" s="1148"/>
      <c r="M54" s="1144"/>
      <c r="N54" s="1144"/>
      <c r="O54" s="1144"/>
      <c r="P54" s="2661"/>
      <c r="Q54" s="759"/>
      <c r="R54" s="759"/>
      <c r="S54" s="759"/>
      <c r="T54" s="759"/>
      <c r="U54" s="759"/>
      <c r="V54" s="759"/>
      <c r="W54" s="759"/>
      <c r="X54" s="759"/>
      <c r="Y54" s="759"/>
      <c r="Z54" s="759"/>
      <c r="AA54" s="759"/>
      <c r="AB54" s="759"/>
      <c r="AC54" s="759"/>
    </row>
    <row r="55" spans="1:29" s="502" customFormat="1">
      <c r="A55" s="1144"/>
      <c r="B55" s="1145"/>
      <c r="C55" s="1149"/>
      <c r="D55" s="1144"/>
      <c r="E55" s="1144"/>
      <c r="F55" s="1144"/>
      <c r="G55" s="1144"/>
      <c r="H55" s="1144"/>
      <c r="I55" s="1144"/>
      <c r="J55" s="1144"/>
      <c r="K55" s="1147"/>
      <c r="L55" s="1148"/>
      <c r="M55" s="1144"/>
      <c r="N55" s="1144"/>
      <c r="O55" s="1144"/>
      <c r="P55" s="2661"/>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5"/>
      <c r="L56" s="1106"/>
      <c r="M56" s="1143"/>
      <c r="N56" s="1143"/>
      <c r="O56" s="1143"/>
      <c r="P56" s="675"/>
      <c r="Q56" s="758"/>
      <c r="R56" s="758"/>
      <c r="S56" s="758"/>
      <c r="T56" s="758"/>
      <c r="U56" s="758"/>
      <c r="V56" s="758"/>
      <c r="W56" s="758"/>
      <c r="X56" s="758"/>
      <c r="Y56" s="758"/>
      <c r="Z56" s="758"/>
      <c r="AA56" s="758"/>
      <c r="AB56" s="758"/>
      <c r="AC56" s="758"/>
    </row>
    <row r="57" spans="1:29" ht="21.75" thickBot="1">
      <c r="A57" s="762" t="s">
        <v>2662</v>
      </c>
      <c r="B57" s="758"/>
      <c r="C57" s="763"/>
      <c r="D57" s="763"/>
      <c r="E57" s="763"/>
      <c r="F57" s="764"/>
      <c r="G57" s="764"/>
      <c r="H57" s="763"/>
      <c r="I57" s="763"/>
      <c r="J57" s="763"/>
      <c r="K57" s="765"/>
      <c r="L57" s="1160"/>
      <c r="M57" s="1158"/>
      <c r="N57" s="1158"/>
      <c r="O57" s="1158"/>
      <c r="P57" s="2662"/>
      <c r="Q57" s="2663"/>
      <c r="R57" s="758"/>
      <c r="S57" s="758"/>
      <c r="T57" s="758"/>
      <c r="U57" s="758"/>
      <c r="V57" s="758"/>
      <c r="W57" s="758"/>
      <c r="X57" s="758"/>
      <c r="Y57" s="758"/>
      <c r="Z57" s="758"/>
      <c r="AA57" s="758"/>
      <c r="AB57" s="758"/>
      <c r="AC57" s="758"/>
    </row>
    <row r="58" spans="1:29" s="508" customFormat="1" ht="15">
      <c r="A58" s="505" t="s">
        <v>2536</v>
      </c>
      <c r="B58" s="506"/>
      <c r="C58" s="1573" t="str">
        <f>YEAR(C7)&amp;"-"&amp;MONTH(C7)</f>
        <v>2018-2</v>
      </c>
      <c r="D58" s="1574">
        <f>EDATE(C58,-1)</f>
        <v>43101</v>
      </c>
      <c r="E58" s="1574">
        <f t="shared" ref="E58:N58" si="16">EDATE(D58,-1)</f>
        <v>43070</v>
      </c>
      <c r="F58" s="1574">
        <f t="shared" si="16"/>
        <v>43040</v>
      </c>
      <c r="G58" s="1574">
        <f t="shared" si="16"/>
        <v>43009</v>
      </c>
      <c r="H58" s="1574">
        <f t="shared" si="16"/>
        <v>42979</v>
      </c>
      <c r="I58" s="1574">
        <f t="shared" si="16"/>
        <v>42948</v>
      </c>
      <c r="J58" s="1574">
        <f t="shared" si="16"/>
        <v>42917</v>
      </c>
      <c r="K58" s="1574">
        <f t="shared" si="16"/>
        <v>42887</v>
      </c>
      <c r="L58" s="1574">
        <f t="shared" si="16"/>
        <v>42856</v>
      </c>
      <c r="M58" s="1574">
        <f t="shared" si="16"/>
        <v>42826</v>
      </c>
      <c r="N58" s="1574">
        <f t="shared" si="16"/>
        <v>42795</v>
      </c>
      <c r="O58" s="1574">
        <f>EDATE(N58,-1)</f>
        <v>42767</v>
      </c>
      <c r="P58" s="1569"/>
    </row>
    <row r="59" spans="1:29" s="117" customFormat="1" ht="15">
      <c r="A59" s="509"/>
      <c r="B59" s="510"/>
      <c r="C59" s="1572">
        <v>100</v>
      </c>
      <c r="D59" s="512">
        <v>100</v>
      </c>
      <c r="E59" s="512">
        <f t="shared" ref="E59:I59" si="17">D59-1</f>
        <v>99</v>
      </c>
      <c r="F59" s="512">
        <f t="shared" si="17"/>
        <v>98</v>
      </c>
      <c r="G59" s="512">
        <f t="shared" si="17"/>
        <v>97</v>
      </c>
      <c r="H59" s="512">
        <f t="shared" si="17"/>
        <v>96</v>
      </c>
      <c r="I59" s="512">
        <f t="shared" si="17"/>
        <v>95</v>
      </c>
      <c r="J59" s="512"/>
      <c r="K59" s="512"/>
      <c r="L59" s="512"/>
      <c r="M59" s="513"/>
      <c r="N59" s="512"/>
      <c r="O59" s="513"/>
      <c r="P59" s="2623"/>
    </row>
    <row r="60" spans="1:29" s="117" customFormat="1" ht="15.75" thickBot="1">
      <c r="A60" s="515" t="s">
        <v>2573</v>
      </c>
      <c r="B60" s="516"/>
      <c r="C60" s="517"/>
      <c r="D60" s="518"/>
      <c r="E60" s="518"/>
      <c r="F60" s="518"/>
      <c r="G60" s="518"/>
      <c r="H60" s="518"/>
      <c r="I60" s="518"/>
      <c r="J60" s="518"/>
      <c r="K60" s="518"/>
      <c r="L60" s="518"/>
      <c r="M60" s="519"/>
      <c r="N60" s="518"/>
      <c r="O60" s="519"/>
      <c r="P60" s="2623"/>
      <c r="Q60" s="504"/>
    </row>
    <row r="61" spans="1:29" s="117" customFormat="1" ht="15">
      <c r="A61" s="521" t="s">
        <v>2538</v>
      </c>
      <c r="B61" s="510"/>
      <c r="C61" s="522" t="s">
        <v>2640</v>
      </c>
      <c r="D61" s="523">
        <v>1</v>
      </c>
      <c r="E61" s="523">
        <v>516</v>
      </c>
      <c r="F61" s="523">
        <v>600</v>
      </c>
      <c r="G61" s="523">
        <v>799</v>
      </c>
      <c r="H61" s="523"/>
      <c r="I61" s="523"/>
      <c r="J61" s="523"/>
      <c r="K61" s="523"/>
      <c r="L61" s="524"/>
      <c r="M61" s="525"/>
      <c r="N61" s="1150"/>
      <c r="O61" s="1150"/>
      <c r="P61" s="2624"/>
      <c r="Q61" s="504"/>
    </row>
    <row r="62" spans="1:29" s="117" customFormat="1" ht="15.75" thickBot="1">
      <c r="A62" s="521"/>
      <c r="B62" s="510"/>
      <c r="C62" s="511">
        <v>100</v>
      </c>
      <c r="D62" s="512"/>
      <c r="E62" s="512">
        <f>ROUND(E61*10000/E33*D61,0)</f>
        <v>59310</v>
      </c>
      <c r="F62" s="512">
        <f>ROUND(F61*10000/G33*D61,0)</f>
        <v>48780</v>
      </c>
      <c r="G62" s="512">
        <f>ROUND(G61*10000/I33*D61,0)</f>
        <v>52222</v>
      </c>
      <c r="H62" s="512"/>
      <c r="I62" s="512"/>
      <c r="J62" s="512"/>
      <c r="K62" s="512"/>
      <c r="L62" s="512"/>
      <c r="M62" s="514"/>
      <c r="N62" s="1150"/>
      <c r="O62" s="1150"/>
      <c r="P62" s="2623"/>
      <c r="Q62" s="504"/>
    </row>
    <row r="63" spans="1:29">
      <c r="A63" s="527" t="s">
        <v>2576</v>
      </c>
      <c r="B63" s="528" t="s">
        <v>2542</v>
      </c>
      <c r="C63" s="529" t="str">
        <f>C9</f>
        <v>商业</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1"/>
      <c r="O65" s="1151"/>
      <c r="P65" s="2625"/>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2"/>
      <c r="O66" s="1152"/>
      <c r="P66" s="2625"/>
      <c r="Q66" s="504"/>
    </row>
    <row r="67" spans="1:17" ht="15.75" thickTop="1">
      <c r="A67" s="534"/>
      <c r="B67" s="546" t="s">
        <v>2546</v>
      </c>
      <c r="C67" s="547" t="str">
        <f>C68&amp;"（含）"&amp;"-"&amp;D68</f>
        <v>0（含）-1</v>
      </c>
      <c r="D67" s="547" t="str">
        <f t="shared" ref="D67:L67" si="18">D68&amp;"（含）"&amp;"-"&amp;E68</f>
        <v>1（含）-2</v>
      </c>
      <c r="E67" s="547" t="str">
        <f t="shared" si="18"/>
        <v>2（含）-3</v>
      </c>
      <c r="F67" s="547" t="str">
        <f t="shared" si="18"/>
        <v>3（含）-</v>
      </c>
      <c r="G67" s="547" t="str">
        <f t="shared" si="18"/>
        <v>（含）-</v>
      </c>
      <c r="H67" s="547" t="str">
        <f t="shared" si="18"/>
        <v>（含）-</v>
      </c>
      <c r="I67" s="547" t="str">
        <f t="shared" si="18"/>
        <v>（含）-</v>
      </c>
      <c r="J67" s="547" t="str">
        <f t="shared" si="18"/>
        <v>（含）-</v>
      </c>
      <c r="K67" s="547" t="str">
        <f t="shared" si="18"/>
        <v>（含）-</v>
      </c>
      <c r="L67" s="547" t="str">
        <f t="shared" si="18"/>
        <v>（含）-</v>
      </c>
      <c r="M67" s="448" t="str">
        <f>M68&amp;"（含）"&amp;"-"&amp;P68</f>
        <v>（含）-</v>
      </c>
      <c r="N67" s="1152"/>
      <c r="O67" s="1152"/>
      <c r="P67" s="2625"/>
      <c r="Q67" s="504"/>
    </row>
    <row r="68" spans="1:17" ht="15">
      <c r="A68" s="534"/>
      <c r="B68" s="548"/>
      <c r="C68" s="549">
        <v>0</v>
      </c>
      <c r="D68" s="549">
        <v>1</v>
      </c>
      <c r="E68" s="549">
        <v>2</v>
      </c>
      <c r="F68" s="549">
        <v>3</v>
      </c>
      <c r="G68" s="549"/>
      <c r="H68" s="549"/>
      <c r="I68" s="549"/>
      <c r="J68" s="549"/>
      <c r="K68" s="550"/>
      <c r="L68" s="551"/>
      <c r="M68" s="552"/>
      <c r="N68" s="1151"/>
      <c r="O68" s="1151"/>
      <c r="P68" s="2625"/>
      <c r="Q68" s="504"/>
    </row>
    <row r="69" spans="1:17" ht="15.75" thickBot="1">
      <c r="A69" s="534"/>
      <c r="B69" s="535"/>
      <c r="C69" s="544">
        <v>100</v>
      </c>
      <c r="D69" s="544">
        <f t="shared" ref="D69:M69" si="19">C69-$K11</f>
        <v>100</v>
      </c>
      <c r="E69" s="544">
        <f t="shared" si="19"/>
        <v>100</v>
      </c>
      <c r="F69" s="544">
        <f t="shared" si="19"/>
        <v>100</v>
      </c>
      <c r="G69" s="544">
        <f t="shared" si="19"/>
        <v>100</v>
      </c>
      <c r="H69" s="544">
        <f t="shared" si="19"/>
        <v>100</v>
      </c>
      <c r="I69" s="544">
        <f t="shared" si="19"/>
        <v>100</v>
      </c>
      <c r="J69" s="544">
        <f t="shared" si="19"/>
        <v>100</v>
      </c>
      <c r="K69" s="544">
        <f t="shared" si="19"/>
        <v>100</v>
      </c>
      <c r="L69" s="544">
        <f t="shared" si="19"/>
        <v>100</v>
      </c>
      <c r="M69" s="545">
        <f t="shared" si="19"/>
        <v>100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36"/>
      <c r="E73" s="536"/>
      <c r="F73" s="536"/>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1"/>
      <c r="O76" s="1151"/>
      <c r="P76" s="2629"/>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2"/>
      <c r="O77" s="1152"/>
      <c r="P77" s="2625"/>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1"/>
      <c r="O78" s="1151"/>
      <c r="P78" s="2625"/>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2"/>
      <c r="O79" s="1152"/>
      <c r="P79" s="2625"/>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1"/>
      <c r="O80" s="1151"/>
      <c r="P80" s="2625"/>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2"/>
      <c r="O81" s="1152"/>
      <c r="P81" s="2625"/>
      <c r="Q81" s="504"/>
    </row>
    <row r="82" spans="1:17" ht="15.75" thickTop="1">
      <c r="A82" s="534"/>
      <c r="B82" s="546" t="s">
        <v>2643</v>
      </c>
      <c r="C82" s="660" t="s">
        <v>2663</v>
      </c>
      <c r="D82" s="660" t="s">
        <v>2664</v>
      </c>
      <c r="E82" s="660" t="s">
        <v>2665</v>
      </c>
      <c r="F82" s="660" t="s">
        <v>2666</v>
      </c>
      <c r="G82" s="660" t="s">
        <v>2667</v>
      </c>
      <c r="H82" s="539"/>
      <c r="I82" s="539"/>
      <c r="J82" s="539"/>
      <c r="K82" s="539"/>
      <c r="L82" s="539"/>
      <c r="M82" s="1381"/>
      <c r="N82" s="1152"/>
      <c r="O82" s="1152"/>
      <c r="P82" s="2625"/>
      <c r="Q82" s="504"/>
    </row>
    <row r="83" spans="1:17" ht="15.75" thickBot="1">
      <c r="A83" s="534"/>
      <c r="B83" s="546"/>
      <c r="C83" s="544">
        <v>100</v>
      </c>
      <c r="D83" s="544">
        <f>C83-$K21</f>
        <v>99</v>
      </c>
      <c r="E83" s="544">
        <f t="shared" ref="E83:G83" si="20">D83-$K21</f>
        <v>98</v>
      </c>
      <c r="F83" s="544">
        <f t="shared" si="20"/>
        <v>97</v>
      </c>
      <c r="G83" s="544">
        <f t="shared" si="20"/>
        <v>96</v>
      </c>
      <c r="H83" s="660"/>
      <c r="I83" s="660"/>
      <c r="J83" s="660"/>
      <c r="K83" s="660"/>
      <c r="L83" s="660"/>
      <c r="M83" s="450"/>
      <c r="N83" s="1152"/>
      <c r="O83" s="1152"/>
      <c r="P83" s="2625"/>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1"/>
      <c r="O84" s="1151"/>
      <c r="P84" s="2625"/>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2"/>
      <c r="O85" s="1152"/>
      <c r="P85" s="2625"/>
      <c r="Q85" s="504"/>
    </row>
    <row r="86" spans="1:17" s="117" customFormat="1" ht="15.75" thickTop="1">
      <c r="A86" s="579"/>
      <c r="B86" s="538" t="s">
        <v>2668</v>
      </c>
      <c r="C86" s="2958" t="s">
        <v>3067</v>
      </c>
      <c r="D86" s="554"/>
      <c r="E86" s="554"/>
      <c r="F86" s="554"/>
      <c r="G86" s="554"/>
      <c r="H86" s="554"/>
      <c r="I86" s="554"/>
      <c r="J86" s="554"/>
      <c r="K86" s="554"/>
      <c r="L86" s="580"/>
      <c r="M86" s="581"/>
      <c r="N86" s="1150"/>
      <c r="O86" s="1150"/>
      <c r="P86" s="2625"/>
      <c r="Q86" s="504"/>
    </row>
    <row r="87" spans="1:17" s="117" customFormat="1" ht="15.75" thickBot="1">
      <c r="A87" s="579"/>
      <c r="B87" s="543"/>
      <c r="C87" s="582">
        <v>100</v>
      </c>
      <c r="D87" s="544">
        <f t="shared" ref="D87:M87" si="21">C87-$K25</f>
        <v>98</v>
      </c>
      <c r="E87" s="544">
        <f t="shared" si="21"/>
        <v>96</v>
      </c>
      <c r="F87" s="544">
        <f t="shared" si="21"/>
        <v>94</v>
      </c>
      <c r="G87" s="544">
        <f t="shared" si="21"/>
        <v>92</v>
      </c>
      <c r="H87" s="544">
        <f t="shared" si="21"/>
        <v>90</v>
      </c>
      <c r="I87" s="544">
        <f t="shared" si="21"/>
        <v>88</v>
      </c>
      <c r="J87" s="544">
        <f t="shared" si="21"/>
        <v>86</v>
      </c>
      <c r="K87" s="544">
        <f t="shared" si="21"/>
        <v>84</v>
      </c>
      <c r="L87" s="544">
        <f t="shared" si="21"/>
        <v>82</v>
      </c>
      <c r="M87" s="544">
        <f t="shared" si="21"/>
        <v>80</v>
      </c>
      <c r="N87" s="1152"/>
      <c r="O87" s="1152"/>
      <c r="P87" s="2625"/>
      <c r="Q87" s="504"/>
    </row>
    <row r="88" spans="1:17" s="117" customFormat="1" ht="15.75" thickTop="1">
      <c r="A88" s="579"/>
      <c r="B88" s="538" t="str">
        <f>B26</f>
        <v>平面位置/可视性</v>
      </c>
      <c r="C88" s="2959" t="s">
        <v>3068</v>
      </c>
      <c r="D88" s="554"/>
      <c r="E88" s="554"/>
      <c r="F88" s="2630"/>
      <c r="G88" s="554"/>
      <c r="H88" s="554"/>
      <c r="I88" s="554"/>
      <c r="J88" s="554"/>
      <c r="K88" s="554"/>
      <c r="L88" s="554"/>
      <c r="M88" s="581"/>
      <c r="N88" s="1150"/>
      <c r="O88" s="1150"/>
      <c r="P88" s="2625"/>
      <c r="Q88" s="504"/>
    </row>
    <row r="89" spans="1:17" s="117" customFormat="1" ht="15.75" thickBot="1">
      <c r="A89" s="579"/>
      <c r="B89" s="543"/>
      <c r="C89" s="560">
        <v>100</v>
      </c>
      <c r="D89" s="536"/>
      <c r="E89" s="536"/>
      <c r="F89" s="536"/>
      <c r="G89" s="536"/>
      <c r="H89" s="536"/>
      <c r="I89" s="536"/>
      <c r="J89" s="536"/>
      <c r="K89" s="536"/>
      <c r="L89" s="536"/>
      <c r="M89" s="536"/>
      <c r="N89" s="1152"/>
      <c r="O89" s="1152"/>
      <c r="P89" s="2625"/>
      <c r="Q89" s="504"/>
    </row>
    <row r="90" spans="1:17" s="471" customFormat="1" ht="15.75" thickTop="1">
      <c r="A90" s="553"/>
      <c r="B90" s="538" t="str">
        <f>B27</f>
        <v>人流量</v>
      </c>
      <c r="C90" s="2959" t="s">
        <v>3068</v>
      </c>
      <c r="D90" s="2959" t="s">
        <v>3069</v>
      </c>
      <c r="E90" s="2959" t="s">
        <v>3070</v>
      </c>
      <c r="F90" s="554"/>
      <c r="G90" s="554"/>
      <c r="H90" s="555"/>
      <c r="I90" s="555"/>
      <c r="J90" s="555"/>
      <c r="K90" s="555"/>
      <c r="L90" s="556"/>
      <c r="M90" s="557"/>
      <c r="N90" s="1153"/>
      <c r="O90" s="1153"/>
      <c r="P90" s="2626"/>
      <c r="Q90" s="559"/>
    </row>
    <row r="91" spans="1:17" s="471" customFormat="1" ht="15.75" thickBot="1">
      <c r="A91" s="553"/>
      <c r="B91" s="543"/>
      <c r="C91" s="582">
        <v>100</v>
      </c>
      <c r="D91" s="544">
        <f>C91-$K27</f>
        <v>98</v>
      </c>
      <c r="E91" s="544">
        <f t="shared" ref="E91:M91" si="22">D91-$K27</f>
        <v>96</v>
      </c>
      <c r="F91" s="544">
        <f t="shared" si="22"/>
        <v>94</v>
      </c>
      <c r="G91" s="544">
        <f t="shared" si="22"/>
        <v>92</v>
      </c>
      <c r="H91" s="544">
        <f t="shared" si="22"/>
        <v>90</v>
      </c>
      <c r="I91" s="544">
        <f t="shared" si="22"/>
        <v>88</v>
      </c>
      <c r="J91" s="544">
        <f t="shared" si="22"/>
        <v>86</v>
      </c>
      <c r="K91" s="544">
        <f t="shared" si="22"/>
        <v>84</v>
      </c>
      <c r="L91" s="544">
        <f t="shared" si="22"/>
        <v>82</v>
      </c>
      <c r="M91" s="544">
        <f t="shared" si="22"/>
        <v>80</v>
      </c>
      <c r="N91" s="1153"/>
      <c r="O91" s="1153"/>
      <c r="P91" s="2626"/>
      <c r="Q91" s="559"/>
    </row>
    <row r="92" spans="1:17" ht="15.75" thickTop="1">
      <c r="A92" s="534"/>
      <c r="B92" s="538" t="str">
        <f>B28</f>
        <v>楼层</v>
      </c>
      <c r="C92" s="2958">
        <v>1</v>
      </c>
      <c r="D92" s="2961" t="s">
        <v>3051</v>
      </c>
      <c r="E92" s="554"/>
      <c r="F92" s="554"/>
      <c r="G92" s="554"/>
      <c r="H92" s="554"/>
      <c r="I92" s="554"/>
      <c r="J92" s="554"/>
      <c r="K92" s="554"/>
      <c r="L92" s="580"/>
      <c r="M92" s="581"/>
      <c r="N92" s="1151"/>
      <c r="O92" s="1151"/>
      <c r="P92" s="2625"/>
      <c r="Q92" s="504"/>
    </row>
    <row r="93" spans="1:17" ht="15.75" thickBot="1">
      <c r="A93" s="534"/>
      <c r="B93" s="543"/>
      <c r="C93" s="536">
        <v>100</v>
      </c>
      <c r="D93" s="536">
        <v>85</v>
      </c>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36"/>
      <c r="E95" s="536"/>
      <c r="F95" s="536"/>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60"/>
      <c r="D97" s="536"/>
      <c r="E97" s="536"/>
      <c r="F97" s="536"/>
      <c r="G97" s="536"/>
      <c r="H97" s="536"/>
      <c r="I97" s="536"/>
      <c r="J97" s="536"/>
      <c r="K97" s="536"/>
      <c r="L97" s="536"/>
      <c r="M97" s="537"/>
      <c r="N97" s="1152"/>
      <c r="O97" s="1152"/>
      <c r="P97" s="2625"/>
      <c r="Q97" s="504"/>
    </row>
    <row r="98" spans="1:17" ht="15.75" thickTop="1">
      <c r="A98" s="534"/>
      <c r="B98" s="546">
        <f>B31</f>
        <v>111</v>
      </c>
      <c r="C98" s="554"/>
      <c r="D98" s="554"/>
      <c r="E98" s="554"/>
      <c r="F98" s="554"/>
      <c r="G98" s="587"/>
      <c r="H98" s="587"/>
      <c r="I98" s="587"/>
      <c r="J98" s="587"/>
      <c r="K98" s="588"/>
      <c r="L98" s="589"/>
      <c r="M98" s="590"/>
      <c r="N98" s="1151"/>
      <c r="O98" s="1151"/>
      <c r="P98" s="2625"/>
      <c r="Q98" s="504"/>
    </row>
    <row r="99" spans="1:17" ht="15.75" thickBot="1">
      <c r="A99" s="2631"/>
      <c r="B99" s="569"/>
      <c r="C99" s="570"/>
      <c r="D99" s="570"/>
      <c r="E99" s="570"/>
      <c r="F99" s="570"/>
      <c r="G99" s="591"/>
      <c r="H99" s="591"/>
      <c r="I99" s="591"/>
      <c r="J99" s="591"/>
      <c r="K99" s="591"/>
      <c r="L99" s="591"/>
      <c r="M99" s="592"/>
      <c r="N99" s="1152"/>
      <c r="O99" s="1152"/>
      <c r="P99" s="2625"/>
      <c r="Q99" s="504"/>
    </row>
    <row r="100" spans="1:17">
      <c r="A100" s="527" t="s">
        <v>2551</v>
      </c>
      <c r="B100" s="528" t="s">
        <v>2669</v>
      </c>
      <c r="C100" s="2962" t="s">
        <v>3100</v>
      </c>
      <c r="D100" s="2962" t="s">
        <v>3099</v>
      </c>
      <c r="E100" s="2962" t="s">
        <v>3103</v>
      </c>
      <c r="F100" s="2962" t="s">
        <v>3074</v>
      </c>
      <c r="G100" s="530"/>
      <c r="H100" s="530"/>
      <c r="I100" s="530"/>
      <c r="J100" s="530"/>
      <c r="K100" s="531"/>
      <c r="L100" s="532"/>
      <c r="M100" s="533"/>
      <c r="N100" s="1151"/>
      <c r="O100" s="1151"/>
      <c r="P100" s="2625"/>
      <c r="Q100" s="504"/>
    </row>
    <row r="101" spans="1:17" ht="15.75" thickBot="1">
      <c r="A101" s="534"/>
      <c r="B101" s="543"/>
      <c r="C101" s="544">
        <v>100</v>
      </c>
      <c r="D101" s="544">
        <f t="shared" ref="D101:M101" si="23">C101-$K32</f>
        <v>98</v>
      </c>
      <c r="E101" s="544">
        <f t="shared" si="23"/>
        <v>96</v>
      </c>
      <c r="F101" s="544">
        <f t="shared" si="23"/>
        <v>94</v>
      </c>
      <c r="G101" s="544">
        <f t="shared" si="23"/>
        <v>92</v>
      </c>
      <c r="H101" s="544">
        <f t="shared" si="23"/>
        <v>90</v>
      </c>
      <c r="I101" s="544">
        <f t="shared" si="23"/>
        <v>88</v>
      </c>
      <c r="J101" s="544">
        <f t="shared" si="23"/>
        <v>86</v>
      </c>
      <c r="K101" s="544">
        <f t="shared" si="23"/>
        <v>84</v>
      </c>
      <c r="L101" s="544">
        <f t="shared" si="23"/>
        <v>82</v>
      </c>
      <c r="M101" s="545">
        <f t="shared" si="23"/>
        <v>80</v>
      </c>
      <c r="N101" s="1152"/>
      <c r="O101" s="1152"/>
      <c r="P101" s="2625"/>
      <c r="Q101" s="504"/>
    </row>
    <row r="102" spans="1:17" ht="15.75" thickTop="1">
      <c r="A102" s="534"/>
      <c r="B102" s="538" t="s">
        <v>2601</v>
      </c>
      <c r="C102" s="578" t="str">
        <f>C103&amp;"(含)"&amp;"-"&amp;D103</f>
        <v>0(含)-50</v>
      </c>
      <c r="D102" s="578" t="str">
        <f t="shared" ref="D102:L102" si="24">D103&amp;"(含)"&amp;"-"&amp;E103</f>
        <v>50(含)-100</v>
      </c>
      <c r="E102" s="578" t="str">
        <f t="shared" si="24"/>
        <v>100(含)-150</v>
      </c>
      <c r="F102" s="578" t="str">
        <f t="shared" si="24"/>
        <v>150(含)-200</v>
      </c>
      <c r="G102" s="578" t="str">
        <f t="shared" si="24"/>
        <v>200(含)-250</v>
      </c>
      <c r="H102" s="578" t="str">
        <f t="shared" si="24"/>
        <v>250(含)-</v>
      </c>
      <c r="I102" s="578" t="str">
        <f t="shared" si="24"/>
        <v>(含)-</v>
      </c>
      <c r="J102" s="578" t="str">
        <f t="shared" si="24"/>
        <v>(含)-</v>
      </c>
      <c r="K102" s="578" t="str">
        <f t="shared" si="24"/>
        <v>(含)-</v>
      </c>
      <c r="L102" s="578" t="str">
        <f t="shared" si="24"/>
        <v>(含)-</v>
      </c>
      <c r="M102" s="622" t="str">
        <f>M103&amp;"(含)"&amp;"-"&amp;P103</f>
        <v>(含)-</v>
      </c>
      <c r="N102" s="1150"/>
      <c r="O102" s="1150"/>
      <c r="P102" s="2625"/>
      <c r="Q102" s="504"/>
    </row>
    <row r="103" spans="1:17" s="471" customFormat="1">
      <c r="A103" s="593"/>
      <c r="B103" s="594"/>
      <c r="C103" s="595">
        <v>0</v>
      </c>
      <c r="D103" s="595">
        <v>50</v>
      </c>
      <c r="E103" s="595">
        <v>100</v>
      </c>
      <c r="F103" s="595">
        <v>150</v>
      </c>
      <c r="G103" s="595">
        <v>200</v>
      </c>
      <c r="H103" s="595">
        <v>250</v>
      </c>
      <c r="I103" s="595"/>
      <c r="J103" s="596"/>
      <c r="K103" s="596"/>
      <c r="L103" s="597"/>
      <c r="M103" s="598"/>
      <c r="N103" s="1153"/>
      <c r="O103" s="1153"/>
      <c r="P103" s="2626"/>
      <c r="Q103" s="559"/>
    </row>
    <row r="104" spans="1:17" s="471" customFormat="1" ht="15.75" thickBot="1">
      <c r="A104" s="553"/>
      <c r="B104" s="543"/>
      <c r="C104" s="560">
        <v>100</v>
      </c>
      <c r="D104" s="536">
        <f>C104-1</f>
        <v>99</v>
      </c>
      <c r="E104" s="536">
        <f t="shared" ref="E104:H104" si="25">D104-1</f>
        <v>98</v>
      </c>
      <c r="F104" s="536">
        <f t="shared" si="25"/>
        <v>97</v>
      </c>
      <c r="G104" s="536">
        <f t="shared" si="25"/>
        <v>96</v>
      </c>
      <c r="H104" s="536">
        <f t="shared" si="25"/>
        <v>95</v>
      </c>
      <c r="I104" s="536"/>
      <c r="J104" s="536"/>
      <c r="K104" s="536"/>
      <c r="L104" s="536"/>
      <c r="M104" s="537"/>
      <c r="N104" s="1152"/>
      <c r="O104" s="1152"/>
      <c r="P104" s="2626"/>
      <c r="Q104" s="559"/>
    </row>
    <row r="105" spans="1:17" ht="15" thickTop="1">
      <c r="A105" s="599"/>
      <c r="B105" s="538" t="s">
        <v>2602</v>
      </c>
      <c r="C105" s="2959" t="s">
        <v>3076</v>
      </c>
      <c r="D105" s="2959" t="s">
        <v>3077</v>
      </c>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6">C106-$K34</f>
        <v>98</v>
      </c>
      <c r="E106" s="544">
        <f t="shared" si="26"/>
        <v>96</v>
      </c>
      <c r="F106" s="544">
        <f t="shared" si="26"/>
        <v>94</v>
      </c>
      <c r="G106" s="544">
        <f t="shared" si="26"/>
        <v>92</v>
      </c>
      <c r="H106" s="544">
        <f t="shared" si="26"/>
        <v>90</v>
      </c>
      <c r="I106" s="544">
        <f t="shared" si="26"/>
        <v>88</v>
      </c>
      <c r="J106" s="544">
        <f t="shared" si="26"/>
        <v>86</v>
      </c>
      <c r="K106" s="544">
        <f t="shared" si="26"/>
        <v>84</v>
      </c>
      <c r="L106" s="544">
        <f t="shared" si="26"/>
        <v>82</v>
      </c>
      <c r="M106" s="545">
        <f t="shared" si="26"/>
        <v>80</v>
      </c>
      <c r="N106" s="1152"/>
      <c r="O106" s="1152"/>
      <c r="P106" s="2625"/>
      <c r="Q106" s="504"/>
    </row>
    <row r="107" spans="1:17" ht="15" thickTop="1">
      <c r="A107" s="599"/>
      <c r="B107" s="538" t="s">
        <v>2604</v>
      </c>
      <c r="C107" s="2959" t="s">
        <v>3079</v>
      </c>
      <c r="D107" s="2959" t="s">
        <v>3081</v>
      </c>
      <c r="E107" s="2959" t="s">
        <v>3083</v>
      </c>
      <c r="F107" s="2963" t="s">
        <v>3085</v>
      </c>
      <c r="G107" s="583"/>
      <c r="H107" s="583"/>
      <c r="I107" s="583"/>
      <c r="J107" s="583"/>
      <c r="K107" s="584"/>
      <c r="L107" s="585"/>
      <c r="M107" s="586"/>
      <c r="N107" s="1151"/>
      <c r="O107" s="1151"/>
      <c r="P107" s="2625"/>
      <c r="Q107" s="504"/>
    </row>
    <row r="108" spans="1:17" ht="15.75" thickBot="1">
      <c r="A108" s="534"/>
      <c r="B108" s="543"/>
      <c r="C108" s="544">
        <v>100</v>
      </c>
      <c r="D108" s="544">
        <f t="shared" ref="D108:M108" si="27">C108-$K35</f>
        <v>98</v>
      </c>
      <c r="E108" s="544">
        <f t="shared" si="27"/>
        <v>96</v>
      </c>
      <c r="F108" s="544">
        <f t="shared" si="27"/>
        <v>94</v>
      </c>
      <c r="G108" s="544">
        <f t="shared" si="27"/>
        <v>92</v>
      </c>
      <c r="H108" s="544">
        <f t="shared" si="27"/>
        <v>90</v>
      </c>
      <c r="I108" s="544">
        <f t="shared" si="27"/>
        <v>88</v>
      </c>
      <c r="J108" s="544">
        <f t="shared" si="27"/>
        <v>86</v>
      </c>
      <c r="K108" s="544">
        <f t="shared" si="27"/>
        <v>84</v>
      </c>
      <c r="L108" s="544">
        <f t="shared" si="27"/>
        <v>82</v>
      </c>
      <c r="M108" s="545">
        <f t="shared" si="27"/>
        <v>80</v>
      </c>
      <c r="N108" s="1152"/>
      <c r="O108" s="1152"/>
      <c r="P108" s="2625"/>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25"/>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25"/>
      <c r="Q110" s="504"/>
    </row>
    <row r="111" spans="1:17" ht="15.75" thickBot="1">
      <c r="A111" s="534"/>
      <c r="B111" s="543"/>
      <c r="C111" s="582">
        <v>100</v>
      </c>
      <c r="D111" s="544">
        <f>C111+$K36</f>
        <v>102</v>
      </c>
      <c r="E111" s="544">
        <f t="shared" ref="E111:M111" si="28">D111+$K36</f>
        <v>104</v>
      </c>
      <c r="F111" s="544">
        <f t="shared" si="28"/>
        <v>106</v>
      </c>
      <c r="G111" s="544">
        <f t="shared" si="28"/>
        <v>108</v>
      </c>
      <c r="H111" s="544">
        <f t="shared" si="28"/>
        <v>110</v>
      </c>
      <c r="I111" s="544">
        <f t="shared" si="28"/>
        <v>112</v>
      </c>
      <c r="J111" s="544">
        <f t="shared" si="28"/>
        <v>114</v>
      </c>
      <c r="K111" s="544">
        <f t="shared" si="28"/>
        <v>116</v>
      </c>
      <c r="L111" s="544">
        <f t="shared" si="28"/>
        <v>118</v>
      </c>
      <c r="M111" s="544">
        <f t="shared" si="28"/>
        <v>120</v>
      </c>
      <c r="N111" s="1152"/>
      <c r="O111" s="1152"/>
      <c r="P111" s="2625"/>
      <c r="Q111" s="504"/>
    </row>
    <row r="112" spans="1:17" s="471" customFormat="1" ht="15" thickTop="1">
      <c r="A112" s="593"/>
      <c r="B112" s="538" t="s">
        <v>2606</v>
      </c>
      <c r="C112" s="2959" t="s">
        <v>3086</v>
      </c>
      <c r="D112" s="2959" t="s">
        <v>3088</v>
      </c>
      <c r="E112" s="2959" t="s">
        <v>3089</v>
      </c>
      <c r="F112" s="2959" t="s">
        <v>3090</v>
      </c>
      <c r="G112" s="2959" t="s">
        <v>3091</v>
      </c>
      <c r="H112" s="583"/>
      <c r="I112" s="583"/>
      <c r="J112" s="583"/>
      <c r="K112" s="584"/>
      <c r="L112" s="585"/>
      <c r="M112" s="586"/>
      <c r="N112" s="1153"/>
      <c r="O112" s="1153"/>
      <c r="P112" s="2626"/>
      <c r="Q112" s="559"/>
    </row>
    <row r="113" spans="1:17" s="471" customFormat="1" ht="15.75" thickBot="1">
      <c r="A113" s="553"/>
      <c r="B113" s="543"/>
      <c r="C113" s="544">
        <v>100</v>
      </c>
      <c r="D113" s="544">
        <f>C113-$K37</f>
        <v>99</v>
      </c>
      <c r="E113" s="544">
        <f t="shared" ref="E113:M113" si="29">D113-$K37</f>
        <v>98</v>
      </c>
      <c r="F113" s="544">
        <f t="shared" si="29"/>
        <v>97</v>
      </c>
      <c r="G113" s="544">
        <f t="shared" si="29"/>
        <v>96</v>
      </c>
      <c r="H113" s="544">
        <f t="shared" si="29"/>
        <v>95</v>
      </c>
      <c r="I113" s="544">
        <f t="shared" si="29"/>
        <v>94</v>
      </c>
      <c r="J113" s="544">
        <f t="shared" si="29"/>
        <v>93</v>
      </c>
      <c r="K113" s="544">
        <f t="shared" si="29"/>
        <v>92</v>
      </c>
      <c r="L113" s="544">
        <f t="shared" si="29"/>
        <v>91</v>
      </c>
      <c r="M113" s="544">
        <f t="shared" si="29"/>
        <v>90</v>
      </c>
      <c r="N113" s="1153"/>
      <c r="O113" s="1153"/>
      <c r="P113" s="2626"/>
      <c r="Q113" s="559"/>
    </row>
    <row r="114" spans="1:17" ht="15" thickTop="1">
      <c r="A114" s="599"/>
      <c r="B114" s="538" t="s">
        <v>2670</v>
      </c>
      <c r="C114" s="2959" t="s">
        <v>3092</v>
      </c>
      <c r="D114" s="2959" t="s">
        <v>3094</v>
      </c>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30">C115-$K38</f>
        <v>98</v>
      </c>
      <c r="E115" s="544">
        <f t="shared" si="30"/>
        <v>96</v>
      </c>
      <c r="F115" s="544">
        <f t="shared" si="30"/>
        <v>94</v>
      </c>
      <c r="G115" s="544">
        <f t="shared" si="30"/>
        <v>92</v>
      </c>
      <c r="H115" s="544">
        <f t="shared" si="30"/>
        <v>90</v>
      </c>
      <c r="I115" s="544">
        <f t="shared" si="30"/>
        <v>88</v>
      </c>
      <c r="J115" s="544">
        <f t="shared" si="30"/>
        <v>86</v>
      </c>
      <c r="K115" s="544">
        <f t="shared" si="30"/>
        <v>84</v>
      </c>
      <c r="L115" s="544">
        <f t="shared" si="30"/>
        <v>82</v>
      </c>
      <c r="M115" s="545">
        <f t="shared" si="30"/>
        <v>80</v>
      </c>
      <c r="N115" s="1152"/>
      <c r="O115" s="1152"/>
      <c r="P115" s="2625"/>
      <c r="Q115" s="504"/>
    </row>
    <row r="116" spans="1:17" ht="15" thickTop="1">
      <c r="A116" s="599"/>
      <c r="B116" s="538" t="s">
        <v>2671</v>
      </c>
      <c r="C116" s="2959" t="s">
        <v>3096</v>
      </c>
      <c r="D116" s="554"/>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95</v>
      </c>
      <c r="E117" s="544">
        <f>D117-$K39</f>
        <v>90</v>
      </c>
      <c r="F117" s="544">
        <f>E117-$K39</f>
        <v>85</v>
      </c>
      <c r="G117" s="544">
        <f>F117-$K39</f>
        <v>80</v>
      </c>
      <c r="H117" s="544"/>
      <c r="I117" s="544"/>
      <c r="J117" s="544"/>
      <c r="K117" s="544"/>
      <c r="L117" s="544"/>
      <c r="M117" s="545"/>
      <c r="N117" s="1152"/>
      <c r="O117" s="1152"/>
      <c r="P117" s="2625"/>
      <c r="Q117" s="504"/>
    </row>
    <row r="118" spans="1:17" ht="15" thickTop="1">
      <c r="A118" s="599"/>
      <c r="B118" s="538" t="s">
        <v>2672</v>
      </c>
      <c r="C118" s="627"/>
      <c r="D118" s="627"/>
      <c r="E118" s="627"/>
      <c r="F118" s="627"/>
      <c r="G118" s="627"/>
      <c r="H118" s="555"/>
      <c r="I118" s="555"/>
      <c r="J118" s="555"/>
      <c r="K118" s="555"/>
      <c r="L118" s="556"/>
      <c r="M118" s="557"/>
      <c r="N118" s="1151"/>
      <c r="O118" s="1151"/>
      <c r="P118" s="2625"/>
      <c r="Q118" s="504"/>
    </row>
    <row r="119" spans="1:17" ht="15.75" thickBot="1">
      <c r="A119" s="534"/>
      <c r="B119" s="543"/>
      <c r="C119" s="560"/>
      <c r="D119" s="536"/>
      <c r="E119" s="536"/>
      <c r="F119" s="536"/>
      <c r="G119" s="536"/>
      <c r="H119" s="536"/>
      <c r="I119" s="536"/>
      <c r="J119" s="536"/>
      <c r="K119" s="536"/>
      <c r="L119" s="536"/>
      <c r="M119" s="537"/>
      <c r="N119" s="1152"/>
      <c r="O119" s="1152"/>
      <c r="P119" s="2625"/>
      <c r="Q119" s="504"/>
    </row>
    <row r="120" spans="1:17" s="471" customFormat="1" ht="15" thickTop="1">
      <c r="A120" s="593"/>
      <c r="B120" s="538" t="s">
        <v>2673</v>
      </c>
      <c r="C120" s="2964" t="s">
        <v>2585</v>
      </c>
      <c r="D120" s="2964" t="s">
        <v>2586</v>
      </c>
      <c r="E120" s="2964" t="s">
        <v>2587</v>
      </c>
      <c r="F120" s="2964" t="s">
        <v>2588</v>
      </c>
      <c r="G120" s="2964" t="s">
        <v>2589</v>
      </c>
      <c r="H120" s="555"/>
      <c r="I120" s="555"/>
      <c r="J120" s="555"/>
      <c r="K120" s="555"/>
      <c r="L120" s="556"/>
      <c r="M120" s="557"/>
      <c r="N120" s="1153"/>
      <c r="O120" s="1153"/>
      <c r="P120" s="2626"/>
      <c r="Q120" s="559"/>
    </row>
    <row r="121" spans="1:17" s="471" customFormat="1" ht="15.75" thickBot="1">
      <c r="A121" s="553"/>
      <c r="B121" s="535"/>
      <c r="C121" s="582">
        <v>100</v>
      </c>
      <c r="D121" s="544">
        <f>C121-$K41</f>
        <v>98</v>
      </c>
      <c r="E121" s="544">
        <f t="shared" ref="E121:M121" si="31">D121-$K41</f>
        <v>96</v>
      </c>
      <c r="F121" s="544">
        <f t="shared" si="31"/>
        <v>94</v>
      </c>
      <c r="G121" s="544">
        <f t="shared" si="31"/>
        <v>92</v>
      </c>
      <c r="H121" s="544">
        <f t="shared" si="31"/>
        <v>90</v>
      </c>
      <c r="I121" s="544">
        <f t="shared" si="31"/>
        <v>88</v>
      </c>
      <c r="J121" s="544">
        <f t="shared" si="31"/>
        <v>86</v>
      </c>
      <c r="K121" s="544">
        <f t="shared" si="31"/>
        <v>84</v>
      </c>
      <c r="L121" s="544">
        <f t="shared" si="31"/>
        <v>82</v>
      </c>
      <c r="M121" s="545">
        <f t="shared" si="31"/>
        <v>80</v>
      </c>
      <c r="N121" s="1153"/>
      <c r="O121" s="1153"/>
      <c r="P121" s="2626"/>
      <c r="Q121" s="559"/>
    </row>
    <row r="122" spans="1:17" ht="15" thickTop="1">
      <c r="A122" s="599"/>
      <c r="B122" s="538" t="s">
        <v>2608</v>
      </c>
      <c r="C122" s="2959" t="s">
        <v>3079</v>
      </c>
      <c r="D122" s="2959" t="s">
        <v>3081</v>
      </c>
      <c r="E122" s="2959" t="s">
        <v>3083</v>
      </c>
      <c r="F122" s="2963" t="s">
        <v>3085</v>
      </c>
      <c r="G122" s="583"/>
      <c r="H122" s="583"/>
      <c r="I122" s="583"/>
      <c r="J122" s="583"/>
      <c r="K122" s="584"/>
      <c r="L122" s="585"/>
      <c r="M122" s="586"/>
      <c r="N122" s="1151"/>
      <c r="O122" s="1151"/>
      <c r="P122" s="2625"/>
      <c r="Q122" s="504"/>
    </row>
    <row r="123" spans="1:17" ht="15.75" thickBot="1">
      <c r="A123" s="534"/>
      <c r="B123" s="543"/>
      <c r="C123" s="544">
        <v>100</v>
      </c>
      <c r="D123" s="544">
        <f t="shared" ref="D123:M123" si="32">C123-$K42</f>
        <v>98.5</v>
      </c>
      <c r="E123" s="544">
        <f t="shared" si="32"/>
        <v>97</v>
      </c>
      <c r="F123" s="544">
        <f t="shared" si="32"/>
        <v>95.5</v>
      </c>
      <c r="G123" s="544">
        <f t="shared" si="32"/>
        <v>94</v>
      </c>
      <c r="H123" s="544">
        <f t="shared" si="32"/>
        <v>92.5</v>
      </c>
      <c r="I123" s="544">
        <f t="shared" si="32"/>
        <v>91</v>
      </c>
      <c r="J123" s="544">
        <f t="shared" si="32"/>
        <v>89.5</v>
      </c>
      <c r="K123" s="544">
        <f t="shared" si="32"/>
        <v>88</v>
      </c>
      <c r="L123" s="544">
        <f t="shared" si="32"/>
        <v>86.5</v>
      </c>
      <c r="M123" s="545">
        <f t="shared" si="32"/>
        <v>85</v>
      </c>
      <c r="N123" s="1152"/>
      <c r="O123" s="1152"/>
      <c r="P123" s="2625"/>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1"/>
      <c r="O124" s="1151"/>
      <c r="P124" s="2626"/>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36"/>
      <c r="E129" s="536"/>
      <c r="F129" s="536"/>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53" priority="17" stopIfTrue="1" operator="containsText" text="超过">
      <formula>NOT(ISERROR(SEARCH("超过",F52)))</formula>
    </cfRule>
  </conditionalFormatting>
  <conditionalFormatting sqref="H54">
    <cfRule type="containsText" dxfId="152" priority="15" stopIfTrue="1" operator="containsText" text="超过">
      <formula>NOT(ISERROR(SEARCH("超过",H54)))</formula>
    </cfRule>
  </conditionalFormatting>
  <conditionalFormatting sqref="F54">
    <cfRule type="containsText" dxfId="151" priority="14" stopIfTrue="1" operator="containsText" text="超过">
      <formula>NOT(ISERROR(SEARCH("超过",F54)))</formula>
    </cfRule>
  </conditionalFormatting>
  <conditionalFormatting sqref="F53 H53">
    <cfRule type="containsText" dxfId="150" priority="13" stopIfTrue="1" operator="containsText" text="超过">
      <formula>NOT(ISERROR(SEARCH("超过",F53)))</formula>
    </cfRule>
  </conditionalFormatting>
  <conditionalFormatting sqref="E52">
    <cfRule type="expression" dxfId="149" priority="12" stopIfTrue="1">
      <formula>$F$52="超过30%"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4">
    <cfRule type="expression" dxfId="146" priority="9" stopIfTrue="1">
      <formula>$H$54="超过30%"</formula>
    </cfRule>
  </conditionalFormatting>
  <conditionalFormatting sqref="G52">
    <cfRule type="expression" dxfId="145" priority="8" stopIfTrue="1">
      <formula>$H$52="超过30%"</formula>
    </cfRule>
  </conditionalFormatting>
  <conditionalFormatting sqref="G53">
    <cfRule type="expression" dxfId="144" priority="7" stopIfTrue="1">
      <formula>$H$53="超过20%"</formula>
    </cfRule>
  </conditionalFormatting>
  <conditionalFormatting sqref="J52">
    <cfRule type="containsText" dxfId="143" priority="6" stopIfTrue="1" operator="containsText" text="超过">
      <formula>NOT(ISERROR(SEARCH("超过",J52)))</formula>
    </cfRule>
  </conditionalFormatting>
  <conditionalFormatting sqref="J54">
    <cfRule type="containsText" dxfId="142" priority="5" stopIfTrue="1" operator="containsText" text="超过">
      <formula>NOT(ISERROR(SEARCH("超过",J54)))</formula>
    </cfRule>
  </conditionalFormatting>
  <conditionalFormatting sqref="J53">
    <cfRule type="containsText" dxfId="141" priority="4" stopIfTrue="1" operator="containsText" text="超过">
      <formula>NOT(ISERROR(SEARCH("超过",J53)))</formula>
    </cfRule>
  </conditionalFormatting>
  <conditionalFormatting sqref="I52">
    <cfRule type="expression" dxfId="140" priority="3" stopIfTrue="1">
      <formula>$J$52="超过30%"</formula>
    </cfRule>
  </conditionalFormatting>
  <conditionalFormatting sqref="I53">
    <cfRule type="expression" dxfId="139" priority="2" stopIfTrue="1">
      <formula>$J$53="超过20%"</formula>
    </cfRule>
  </conditionalFormatting>
  <conditionalFormatting sqref="I54">
    <cfRule type="expression" dxfId="13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L40" sqref="L40"/>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4"/>
    <col min="46" max="16384" width="9" style="139"/>
  </cols>
  <sheetData>
    <row r="1" spans="1:45" ht="14.25" customHeight="1" thickBot="1">
      <c r="A1" s="155"/>
      <c r="B1" s="1203" t="s">
        <v>2995</v>
      </c>
      <c r="C1" s="3252" t="s">
        <v>2996</v>
      </c>
      <c r="D1" s="3253"/>
      <c r="E1" s="3253"/>
      <c r="F1" s="3253"/>
      <c r="G1" s="3253"/>
      <c r="H1" s="3253"/>
      <c r="I1" s="3253"/>
      <c r="J1" s="3253"/>
      <c r="K1" s="3253"/>
      <c r="L1" s="3253"/>
      <c r="M1" s="3253"/>
      <c r="N1" s="3253"/>
      <c r="O1" s="3253"/>
      <c r="P1" s="3253"/>
      <c r="Q1" s="3253"/>
      <c r="R1" s="3253"/>
      <c r="S1" s="3254"/>
      <c r="T1" s="1203" t="s">
        <v>2997</v>
      </c>
    </row>
    <row r="2" spans="1:45" s="707" customFormat="1" ht="38.25">
      <c r="A2" s="1204"/>
      <c r="B2" s="703" t="s">
        <v>2998</v>
      </c>
      <c r="C2" s="704" t="str">
        <f t="shared" ref="C2:L2" si="0">C3&amp;"(含)"&amp;"-"&amp;D3</f>
        <v>0(含)-50</v>
      </c>
      <c r="D2" s="705" t="str">
        <f t="shared" si="0"/>
        <v>50(含)-100</v>
      </c>
      <c r="E2" s="705" t="str">
        <f t="shared" si="0"/>
        <v>100(含)-150</v>
      </c>
      <c r="F2" s="705" t="str">
        <f t="shared" si="0"/>
        <v>150(含)-200</v>
      </c>
      <c r="G2" s="705" t="str">
        <f t="shared" si="0"/>
        <v>200(含)-250</v>
      </c>
      <c r="H2" s="705" t="str">
        <f t="shared" si="0"/>
        <v>250(含)-300</v>
      </c>
      <c r="I2" s="705" t="str">
        <f t="shared" si="0"/>
        <v>300(含)-500</v>
      </c>
      <c r="J2" s="705" t="str">
        <f t="shared" si="0"/>
        <v>500(含)-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5" t="str">
        <f>S3&amp;"(含)"&amp;"-"</f>
        <v>(含)-</v>
      </c>
      <c r="T2" s="706"/>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6"/>
      <c r="B3" s="708"/>
      <c r="C3" s="709">
        <f>'比较法-商业'!C103</f>
        <v>0</v>
      </c>
      <c r="D3" s="709">
        <f>'比较法-商业'!D103</f>
        <v>50</v>
      </c>
      <c r="E3" s="709">
        <f>'比较法-商业'!E103</f>
        <v>100</v>
      </c>
      <c r="F3" s="709">
        <f>'比较法-商业'!F103</f>
        <v>150</v>
      </c>
      <c r="G3" s="709">
        <f>'比较法-商业'!G103</f>
        <v>200</v>
      </c>
      <c r="H3" s="709">
        <f>'比较法-商业'!H103</f>
        <v>250</v>
      </c>
      <c r="I3" s="709">
        <v>300</v>
      </c>
      <c r="J3" s="1703">
        <v>500</v>
      </c>
      <c r="K3" s="1703"/>
      <c r="L3" s="1704"/>
      <c r="M3" s="1705"/>
      <c r="N3" s="1705"/>
      <c r="O3" s="1703"/>
      <c r="P3" s="1703"/>
      <c r="Q3" s="1703"/>
      <c r="R3" s="1703"/>
      <c r="S3" s="1706"/>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7"/>
      <c r="B4" s="1208"/>
      <c r="C4" s="709">
        <f>'比较法-商业'!C104</f>
        <v>100</v>
      </c>
      <c r="D4" s="709">
        <f>'比较法-商业'!D104</f>
        <v>99</v>
      </c>
      <c r="E4" s="709">
        <f>'比较法-商业'!E104</f>
        <v>98</v>
      </c>
      <c r="F4" s="709">
        <f>'比较法-商业'!F104</f>
        <v>97</v>
      </c>
      <c r="G4" s="709">
        <f>'比较法-商业'!G104</f>
        <v>96</v>
      </c>
      <c r="H4" s="709">
        <f>'比较法-商业'!H104</f>
        <v>95</v>
      </c>
      <c r="I4" s="709">
        <f>H4-1</f>
        <v>94</v>
      </c>
      <c r="J4" s="709">
        <f>I4-1</f>
        <v>93</v>
      </c>
      <c r="K4" s="1707"/>
      <c r="L4" s="1707"/>
      <c r="M4" s="1708"/>
      <c r="N4" s="1708"/>
      <c r="O4" s="1707"/>
      <c r="P4" s="1707"/>
      <c r="Q4" s="1707"/>
      <c r="R4" s="1707"/>
      <c r="S4" s="1709"/>
      <c r="T4" s="1213"/>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ht="24">
      <c r="A5" s="1214"/>
      <c r="B5" s="2966" t="s">
        <v>3117</v>
      </c>
      <c r="C5" s="2967" t="s">
        <v>3118</v>
      </c>
      <c r="D5" s="2968" t="s">
        <v>3119</v>
      </c>
      <c r="E5" s="2968" t="s">
        <v>3120</v>
      </c>
      <c r="F5" s="2969" t="s">
        <v>3121</v>
      </c>
      <c r="G5" s="1710"/>
      <c r="H5" s="1710"/>
      <c r="I5" s="1710"/>
      <c r="J5" s="1710"/>
      <c r="K5" s="1710"/>
      <c r="L5" s="1711"/>
      <c r="M5" s="1712"/>
      <c r="N5" s="1712"/>
      <c r="O5" s="1710"/>
      <c r="P5" s="1710"/>
      <c r="Q5" s="1710"/>
      <c r="R5" s="1710"/>
      <c r="S5" s="1713"/>
      <c r="T5" s="1218">
        <f>'比较法-商业'!K42</f>
        <v>1.5</v>
      </c>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4"/>
      <c r="B6" s="1116"/>
      <c r="C6" s="1121">
        <v>100</v>
      </c>
      <c r="D6" s="1119">
        <f>C6-$T5</f>
        <v>98.5</v>
      </c>
      <c r="E6" s="1119">
        <f t="shared" ref="E6:S6" si="7">D6-$T5</f>
        <v>97</v>
      </c>
      <c r="F6" s="1714">
        <f t="shared" si="7"/>
        <v>95.5</v>
      </c>
      <c r="G6" s="1714">
        <f t="shared" si="7"/>
        <v>94</v>
      </c>
      <c r="H6" s="1714">
        <f t="shared" si="7"/>
        <v>92.5</v>
      </c>
      <c r="I6" s="1714">
        <f t="shared" si="7"/>
        <v>91</v>
      </c>
      <c r="J6" s="1714">
        <f t="shared" si="7"/>
        <v>89.5</v>
      </c>
      <c r="K6" s="1714">
        <f t="shared" si="7"/>
        <v>88</v>
      </c>
      <c r="L6" s="1714">
        <f t="shared" si="7"/>
        <v>86.5</v>
      </c>
      <c r="M6" s="1714">
        <f t="shared" si="7"/>
        <v>85</v>
      </c>
      <c r="N6" s="1714">
        <f t="shared" si="7"/>
        <v>83.5</v>
      </c>
      <c r="O6" s="1714">
        <f t="shared" si="7"/>
        <v>82</v>
      </c>
      <c r="P6" s="1714">
        <f t="shared" si="7"/>
        <v>80.5</v>
      </c>
      <c r="Q6" s="1714">
        <f t="shared" si="7"/>
        <v>79</v>
      </c>
      <c r="R6" s="1714">
        <f t="shared" si="7"/>
        <v>77.5</v>
      </c>
      <c r="S6" s="1714">
        <f t="shared" si="7"/>
        <v>76</v>
      </c>
      <c r="T6" s="1118"/>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4"/>
      <c r="B7" s="2970" t="s">
        <v>3122</v>
      </c>
      <c r="C7" s="2971">
        <v>1</v>
      </c>
      <c r="D7" s="2972" t="s">
        <v>3123</v>
      </c>
      <c r="E7" s="1115"/>
      <c r="F7" s="1715"/>
      <c r="G7" s="1715"/>
      <c r="H7" s="1715"/>
      <c r="I7" s="1715"/>
      <c r="J7" s="1715"/>
      <c r="K7" s="1715"/>
      <c r="L7" s="1715"/>
      <c r="M7" s="1716"/>
      <c r="N7" s="1717"/>
      <c r="O7" s="1718"/>
      <c r="P7" s="1719"/>
      <c r="Q7" s="1720"/>
      <c r="R7" s="1721"/>
      <c r="S7" s="1722"/>
      <c r="T7" s="712">
        <f>'比较法-商业'!C93-'比较法-商业'!D93</f>
        <v>15</v>
      </c>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4"/>
      <c r="B8" s="1116"/>
      <c r="C8" s="1121">
        <v>100</v>
      </c>
      <c r="D8" s="1119">
        <f>C8-$T7</f>
        <v>85</v>
      </c>
      <c r="E8" s="1119">
        <f t="shared" ref="E8:S8" si="8">D8-$T7</f>
        <v>70</v>
      </c>
      <c r="F8" s="1714">
        <f t="shared" si="8"/>
        <v>55</v>
      </c>
      <c r="G8" s="1714">
        <f t="shared" si="8"/>
        <v>40</v>
      </c>
      <c r="H8" s="1714">
        <f t="shared" si="8"/>
        <v>25</v>
      </c>
      <c r="I8" s="1714">
        <f t="shared" si="8"/>
        <v>10</v>
      </c>
      <c r="J8" s="1714">
        <f t="shared" si="8"/>
        <v>-5</v>
      </c>
      <c r="K8" s="1714">
        <f t="shared" si="8"/>
        <v>-20</v>
      </c>
      <c r="L8" s="1714">
        <f t="shared" si="8"/>
        <v>-35</v>
      </c>
      <c r="M8" s="1714">
        <f t="shared" si="8"/>
        <v>-50</v>
      </c>
      <c r="N8" s="1714">
        <f t="shared" si="8"/>
        <v>-65</v>
      </c>
      <c r="O8" s="1714">
        <f t="shared" si="8"/>
        <v>-80</v>
      </c>
      <c r="P8" s="1714">
        <f t="shared" si="8"/>
        <v>-95</v>
      </c>
      <c r="Q8" s="1714">
        <f t="shared" si="8"/>
        <v>-110</v>
      </c>
      <c r="R8" s="1714">
        <f t="shared" si="8"/>
        <v>-125</v>
      </c>
      <c r="S8" s="1714">
        <f t="shared" si="8"/>
        <v>-140</v>
      </c>
      <c r="T8" s="1118"/>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ht="24">
      <c r="A9" s="1214"/>
      <c r="B9" s="2970" t="s">
        <v>3124</v>
      </c>
      <c r="C9" s="2973" t="s">
        <v>3215</v>
      </c>
      <c r="D9" s="3015" t="s">
        <v>3216</v>
      </c>
      <c r="E9" s="1115"/>
      <c r="F9" s="1715"/>
      <c r="G9" s="1715"/>
      <c r="H9" s="1715"/>
      <c r="I9" s="1715"/>
      <c r="J9" s="1715"/>
      <c r="K9" s="1715"/>
      <c r="L9" s="1723"/>
      <c r="M9" s="1716"/>
      <c r="N9" s="1717"/>
      <c r="O9" s="1718"/>
      <c r="P9" s="1719"/>
      <c r="Q9" s="1720"/>
      <c r="R9" s="1721"/>
      <c r="S9" s="1722"/>
      <c r="T9" s="712">
        <f>'比较法-商业'!K25</f>
        <v>2</v>
      </c>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4"/>
      <c r="B10" s="1208"/>
      <c r="C10" s="1219">
        <v>100</v>
      </c>
      <c r="D10" s="1220">
        <f>C10-$T9</f>
        <v>98</v>
      </c>
      <c r="E10" s="1220">
        <f t="shared" ref="E10:S10" si="9">D10-$T9</f>
        <v>96</v>
      </c>
      <c r="F10" s="1724">
        <f t="shared" si="9"/>
        <v>94</v>
      </c>
      <c r="G10" s="1724">
        <f t="shared" si="9"/>
        <v>92</v>
      </c>
      <c r="H10" s="1724">
        <f t="shared" si="9"/>
        <v>90</v>
      </c>
      <c r="I10" s="1724">
        <f t="shared" si="9"/>
        <v>88</v>
      </c>
      <c r="J10" s="1724">
        <f t="shared" si="9"/>
        <v>86</v>
      </c>
      <c r="K10" s="1724">
        <f t="shared" si="9"/>
        <v>84</v>
      </c>
      <c r="L10" s="1724">
        <f t="shared" si="9"/>
        <v>82</v>
      </c>
      <c r="M10" s="1724">
        <f t="shared" si="9"/>
        <v>80</v>
      </c>
      <c r="N10" s="1724">
        <f t="shared" si="9"/>
        <v>78</v>
      </c>
      <c r="O10" s="1724">
        <f t="shared" si="9"/>
        <v>76</v>
      </c>
      <c r="P10" s="1724">
        <f t="shared" si="9"/>
        <v>74</v>
      </c>
      <c r="Q10" s="1724">
        <f t="shared" si="9"/>
        <v>72</v>
      </c>
      <c r="R10" s="1724">
        <f t="shared" si="9"/>
        <v>70</v>
      </c>
      <c r="S10" s="1724">
        <f t="shared" si="9"/>
        <v>68</v>
      </c>
      <c r="T10" s="1213"/>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4"/>
      <c r="B11" s="2974" t="s">
        <v>3125</v>
      </c>
      <c r="C11" s="2967" t="s">
        <v>3126</v>
      </c>
      <c r="D11" s="1216"/>
      <c r="E11" s="1216"/>
      <c r="F11" s="1216"/>
      <c r="G11" s="1216"/>
      <c r="H11" s="1216"/>
      <c r="I11" s="1216"/>
      <c r="J11" s="1216"/>
      <c r="K11" s="1216"/>
      <c r="L11" s="1216"/>
      <c r="M11" s="1217"/>
      <c r="N11" s="1221"/>
      <c r="O11" s="1222"/>
      <c r="P11" s="1223"/>
      <c r="Q11" s="1224"/>
      <c r="R11" s="1225"/>
      <c r="S11" s="1226"/>
      <c r="T11" s="1218"/>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4"/>
      <c r="B12" s="1116"/>
      <c r="C12" s="1121">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4"/>
      <c r="B13" s="2974" t="s">
        <v>3127</v>
      </c>
      <c r="C13" s="2967" t="s">
        <v>3162</v>
      </c>
      <c r="D13" s="2968" t="s">
        <v>3163</v>
      </c>
      <c r="E13" s="1216"/>
      <c r="F13" s="1216"/>
      <c r="G13" s="1216"/>
      <c r="H13" s="1216"/>
      <c r="I13" s="1216"/>
      <c r="J13" s="1216"/>
      <c r="K13" s="1216"/>
      <c r="L13" s="1216"/>
      <c r="M13" s="1217"/>
      <c r="N13" s="1221"/>
      <c r="O13" s="1222"/>
      <c r="P13" s="1223"/>
      <c r="Q13" s="1224"/>
      <c r="R13" s="1225"/>
      <c r="S13" s="1226"/>
      <c r="T13" s="122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4"/>
      <c r="B14" s="1116"/>
      <c r="C14" s="1120">
        <v>100</v>
      </c>
      <c r="D14" s="1117">
        <v>98</v>
      </c>
      <c r="E14" s="1117"/>
      <c r="F14" s="1117"/>
      <c r="G14" s="1117"/>
      <c r="H14" s="1117"/>
      <c r="I14" s="1117"/>
      <c r="J14" s="1117"/>
      <c r="K14" s="1117"/>
      <c r="L14" s="1117"/>
      <c r="M14" s="1228"/>
      <c r="N14" s="1228"/>
      <c r="O14" s="1117"/>
      <c r="P14" s="1117"/>
      <c r="Q14" s="1117"/>
      <c r="R14" s="1117"/>
      <c r="S14" s="1229"/>
      <c r="T14" s="1118"/>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hidden="1">
      <c r="A15" s="1214"/>
      <c r="B15" s="1768" t="s">
        <v>2999</v>
      </c>
      <c r="C15" s="1215"/>
      <c r="D15" s="1216"/>
      <c r="E15" s="1216"/>
      <c r="F15" s="1216"/>
      <c r="G15" s="1216"/>
      <c r="H15" s="1216"/>
      <c r="I15" s="1216"/>
      <c r="J15" s="1216"/>
      <c r="K15" s="1216"/>
      <c r="L15" s="1216"/>
      <c r="M15" s="1217"/>
      <c r="N15" s="1221"/>
      <c r="O15" s="1222"/>
      <c r="P15" s="1223"/>
      <c r="Q15" s="1224"/>
      <c r="R15" s="1225"/>
      <c r="S15" s="1226"/>
      <c r="T15" s="1227"/>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hidden="1"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7" customFormat="1" hidden="1">
      <c r="A17" s="2911" t="s">
        <v>3000</v>
      </c>
      <c r="B17" s="2912" t="s">
        <v>3001</v>
      </c>
      <c r="C17" s="1230"/>
      <c r="D17" s="1231"/>
      <c r="E17" s="1231"/>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5"/>
      <c r="AS17" s="795"/>
    </row>
    <row r="18" spans="1:45" s="707" customFormat="1" ht="13.5" hidden="1" thickBot="1">
      <c r="A18" s="1240"/>
      <c r="B18" s="1241"/>
      <c r="C18" s="1242"/>
      <c r="D18" s="1243"/>
      <c r="E18" s="1243"/>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5"/>
      <c r="AS18" s="795"/>
    </row>
    <row r="19" spans="1:45" hidden="1">
      <c r="A19" s="138"/>
      <c r="B19" s="168"/>
      <c r="C19" s="168"/>
      <c r="D19" s="2913" t="s">
        <v>3002</v>
      </c>
      <c r="E19" s="1790"/>
      <c r="F19" s="1790"/>
      <c r="G19" s="1790"/>
      <c r="H19" s="1279"/>
      <c r="I19" s="168"/>
      <c r="J19" s="168"/>
      <c r="K19" s="168"/>
      <c r="L19" s="168"/>
      <c r="M19" s="168"/>
      <c r="N19" s="168"/>
      <c r="O19" s="168"/>
      <c r="P19" s="168"/>
      <c r="Q19" s="168"/>
      <c r="R19" s="787"/>
      <c r="S19" s="138"/>
    </row>
    <row r="20" spans="1:45" ht="16.5" thickBot="1">
      <c r="A20" s="714" t="s">
        <v>3003</v>
      </c>
      <c r="B20" s="338">
        <f ca="1">IF(D20="——",S22,S22-F20)</f>
        <v>18222</v>
      </c>
      <c r="C20" s="168"/>
      <c r="D20" s="2914" t="s">
        <v>3186</v>
      </c>
      <c r="E20" s="1791"/>
      <c r="F20" s="1203">
        <f ca="1">SUMIF(INDIRECT("'"&amp;H20&amp;"'"&amp;"!A:A"),"承租人权益价值",INDIRECT("'"&amp;H20&amp;"'"&amp;"!c:c"))</f>
        <v>382</v>
      </c>
      <c r="G20" s="1203" t="s">
        <v>3004</v>
      </c>
      <c r="H20" s="2915" t="s">
        <v>3201</v>
      </c>
      <c r="I20" s="168"/>
      <c r="J20" s="168"/>
      <c r="K20" s="168"/>
      <c r="L20" s="168"/>
      <c r="M20" s="168"/>
      <c r="N20" s="168"/>
      <c r="O20" s="168"/>
      <c r="P20" s="168"/>
      <c r="Q20" s="168"/>
      <c r="R20" s="787"/>
      <c r="S20" s="138"/>
    </row>
    <row r="21" spans="1:45" ht="15.75">
      <c r="A21" s="714" t="s">
        <v>3005</v>
      </c>
      <c r="B21" s="338">
        <f>R22</f>
        <v>44684</v>
      </c>
      <c r="C21" s="168"/>
      <c r="D21" s="168"/>
      <c r="E21" s="168"/>
      <c r="F21" s="168"/>
      <c r="G21" s="168"/>
      <c r="H21" s="168"/>
      <c r="I21" s="168"/>
      <c r="J21" s="168"/>
      <c r="K21" s="168"/>
      <c r="L21" s="168"/>
      <c r="M21" s="168"/>
      <c r="N21" s="168"/>
      <c r="O21" s="168"/>
      <c r="P21" s="168"/>
      <c r="Q21" s="168"/>
      <c r="R21" s="787"/>
      <c r="S21" s="138"/>
    </row>
    <row r="22" spans="1:45">
      <c r="A22" s="361" t="s">
        <v>3006</v>
      </c>
      <c r="B22" s="24">
        <f>SUM(B24:B10000)</f>
        <v>4163.47</v>
      </c>
      <c r="C22" s="3117" t="s">
        <v>33</v>
      </c>
      <c r="D22" s="3118"/>
      <c r="E22" s="3118"/>
      <c r="F22" s="3118"/>
      <c r="G22" s="3118"/>
      <c r="H22" s="3118"/>
      <c r="I22" s="3118"/>
      <c r="J22" s="3118"/>
      <c r="K22" s="3118"/>
      <c r="L22" s="3118"/>
      <c r="M22" s="3118"/>
      <c r="N22" s="3118"/>
      <c r="O22" s="3118"/>
      <c r="P22" s="3118"/>
      <c r="Q22" s="3251"/>
      <c r="R22" s="715">
        <f>ROUND(S22*10000/B22,0)</f>
        <v>44684</v>
      </c>
      <c r="S22" s="24">
        <f>SUM(S24:S10000)</f>
        <v>18604</v>
      </c>
    </row>
    <row r="23" spans="1:45" s="12" customFormat="1" ht="24">
      <c r="A23" s="11" t="s">
        <v>3007</v>
      </c>
      <c r="B23" s="11" t="s">
        <v>3008</v>
      </c>
      <c r="C23" s="11" t="s">
        <v>3009</v>
      </c>
      <c r="D23" s="11" t="str">
        <f>B5</f>
        <v>装修</v>
      </c>
      <c r="E23" s="11" t="s">
        <v>3009</v>
      </c>
      <c r="F23" s="11" t="str">
        <f>B7</f>
        <v>楼层</v>
      </c>
      <c r="G23" s="11" t="s">
        <v>3009</v>
      </c>
      <c r="H23" s="11" t="str">
        <f>B9</f>
        <v>临街状况</v>
      </c>
      <c r="I23" s="11" t="s">
        <v>3009</v>
      </c>
      <c r="J23" s="11" t="str">
        <f>B11</f>
        <v>可视性</v>
      </c>
      <c r="K23" s="11" t="s">
        <v>3009</v>
      </c>
      <c r="L23" s="11" t="str">
        <f>B13</f>
        <v>人流量</v>
      </c>
      <c r="M23" s="11" t="s">
        <v>3009</v>
      </c>
      <c r="N23" s="11" t="str">
        <f>B15</f>
        <v>修正项7</v>
      </c>
      <c r="O23" s="11" t="s">
        <v>3009</v>
      </c>
      <c r="P23" s="11" t="str">
        <f>B17</f>
        <v>楼层</v>
      </c>
      <c r="Q23" s="11" t="s">
        <v>3009</v>
      </c>
      <c r="R23" s="716" t="s">
        <v>3010</v>
      </c>
      <c r="S23" s="11" t="s">
        <v>3011</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2965" t="s">
        <v>3108</v>
      </c>
      <c r="B24" s="717">
        <f>'数据-基础表'!I15</f>
        <v>173.52</v>
      </c>
      <c r="C24" s="718">
        <v>1</v>
      </c>
      <c r="D24" s="719" t="s">
        <v>3084</v>
      </c>
      <c r="E24" s="718">
        <v>1</v>
      </c>
      <c r="F24" s="719">
        <v>1</v>
      </c>
      <c r="G24" s="718">
        <v>1</v>
      </c>
      <c r="H24" s="719" t="s">
        <v>3071</v>
      </c>
      <c r="I24" s="718">
        <v>1</v>
      </c>
      <c r="J24" s="719" t="s">
        <v>3065</v>
      </c>
      <c r="K24" s="718">
        <v>1</v>
      </c>
      <c r="L24" s="719" t="s">
        <v>3064</v>
      </c>
      <c r="M24" s="718">
        <v>1</v>
      </c>
      <c r="N24" s="719"/>
      <c r="O24" s="718">
        <v>1</v>
      </c>
      <c r="P24" s="719"/>
      <c r="Q24" s="718">
        <v>1</v>
      </c>
      <c r="R24" s="720">
        <f>'比较法-商业'!C49</f>
        <v>49349</v>
      </c>
      <c r="S24" s="718">
        <f t="shared" ref="S24:S54" si="11">ROUND(R24*B24/10000,0)</f>
        <v>856</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2965" t="s">
        <v>3107</v>
      </c>
      <c r="B25" s="717">
        <f>'数据-基础表'!I13</f>
        <v>217.28</v>
      </c>
      <c r="C25" s="24">
        <f>IF(B25="",1,(LOOKUP(B25,$3:$3,$4:$4)-LOOKUP($B$24,$3:$3,$4:$4)+100)/100)</f>
        <v>0.99</v>
      </c>
      <c r="D25" s="719" t="s">
        <v>3080</v>
      </c>
      <c r="E25" s="24">
        <f>(SUMIF($5:$5,D25,$6:$6)-SUMIF($5:$5,$D$24,$6:$6)+100)/100</f>
        <v>1.03</v>
      </c>
      <c r="F25" s="719" t="s">
        <v>3072</v>
      </c>
      <c r="G25" s="24">
        <f>(SUMIF($7:$7,F25,$8:$8)-SUMIF($7:$7,$F$24,$8:$8)+100)/100</f>
        <v>0.85</v>
      </c>
      <c r="H25" s="719" t="s">
        <v>3071</v>
      </c>
      <c r="I25" s="24">
        <f>(SUMIF($9:$9,H25,$10:$10)-SUMIF($9:$9,$H$24,$10:$10)+100)/100</f>
        <v>1</v>
      </c>
      <c r="J25" s="719" t="s">
        <v>3065</v>
      </c>
      <c r="K25" s="24">
        <f>(SUMIF($11:$11,J25,$12:$12)-SUMIF($11:$11,$J$24,$12:$12)+100)/100</f>
        <v>1</v>
      </c>
      <c r="L25" s="719" t="s">
        <v>3064</v>
      </c>
      <c r="M25" s="24">
        <f>(SUMIF($13:$13,L25,$14:$14)-SUMIF($13:$13,$L$24,$14:$14)+100)/100</f>
        <v>1</v>
      </c>
      <c r="N25" s="719"/>
      <c r="O25" s="24">
        <f>(SUMIF($15:$15,N25,$16:$16)-SUMIF($15:$15,$N$24,$16:$16)+100)/100</f>
        <v>1</v>
      </c>
      <c r="P25" s="719"/>
      <c r="Q25" s="24">
        <f>(SUMIF($17:$17,P25,$18:$18)-SUMIF($17:$17,$P$24,$18:$18)+100)/100</f>
        <v>1</v>
      </c>
      <c r="R25" s="715">
        <f>IF(B25="",0,ROUND($R$24*C25*E25*G25*I25*K25*M25*O25*Q25,0))</f>
        <v>42773</v>
      </c>
      <c r="S25" s="361">
        <f t="shared" si="11"/>
        <v>929</v>
      </c>
    </row>
    <row r="26" spans="1:45">
      <c r="A26" s="2965" t="s">
        <v>3072</v>
      </c>
      <c r="B26" s="717">
        <f>'数据-基础表'!I14</f>
        <v>208.88</v>
      </c>
      <c r="C26" s="24">
        <f t="shared" ref="C26:C89" si="12">IF(B26="",1,(LOOKUP(B26,$3:$3,$4:$4)-LOOKUP($B$24,$3:$3,$4:$4)+100)/100)</f>
        <v>0.99</v>
      </c>
      <c r="D26" s="719" t="s">
        <v>3084</v>
      </c>
      <c r="E26" s="24">
        <f t="shared" ref="E26:E89" si="13">(SUMIF($5:$5,D26,$6:$6)-SUMIF($5:$5,$D$24,$6:$6)+100)/100</f>
        <v>1</v>
      </c>
      <c r="F26" s="719" t="s">
        <v>3072</v>
      </c>
      <c r="G26" s="24">
        <f t="shared" ref="G26:G89" si="14">(SUMIF($7:$7,F26,$8:$8)-SUMIF($7:$7,$F$24,$8:$8)+100)/100</f>
        <v>0.85</v>
      </c>
      <c r="H26" s="719" t="s">
        <v>3071</v>
      </c>
      <c r="I26" s="24">
        <f t="shared" ref="I26:I89" si="15">(SUMIF($9:$9,H26,$10:$10)-SUMIF($9:$9,$H$24,$10:$10)+100)/100</f>
        <v>1</v>
      </c>
      <c r="J26" s="719" t="s">
        <v>3065</v>
      </c>
      <c r="K26" s="24">
        <f t="shared" ref="K26:K89" si="16">(SUMIF($11:$11,J26,$12:$12)-SUMIF($11:$11,$J$24,$12:$12)+100)/100</f>
        <v>1</v>
      </c>
      <c r="L26" s="719" t="s">
        <v>3064</v>
      </c>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41527</v>
      </c>
      <c r="S26" s="361">
        <f t="shared" si="11"/>
        <v>867</v>
      </c>
    </row>
    <row r="27" spans="1:45">
      <c r="A27" s="2965" t="s">
        <v>3109</v>
      </c>
      <c r="B27" s="717">
        <f>'数据-基础表'!I16</f>
        <v>220.76</v>
      </c>
      <c r="C27" s="24">
        <f t="shared" si="12"/>
        <v>0.99</v>
      </c>
      <c r="D27" s="719" t="s">
        <v>3084</v>
      </c>
      <c r="E27" s="24">
        <f t="shared" si="13"/>
        <v>1</v>
      </c>
      <c r="F27" s="719" t="s">
        <v>3072</v>
      </c>
      <c r="G27" s="24">
        <f t="shared" si="14"/>
        <v>0.85</v>
      </c>
      <c r="H27" s="719" t="s">
        <v>3071</v>
      </c>
      <c r="I27" s="24">
        <f t="shared" si="15"/>
        <v>1</v>
      </c>
      <c r="J27" s="719" t="s">
        <v>3065</v>
      </c>
      <c r="K27" s="24">
        <f t="shared" si="16"/>
        <v>1</v>
      </c>
      <c r="L27" s="719" t="s">
        <v>3064</v>
      </c>
      <c r="M27" s="24">
        <f t="shared" si="17"/>
        <v>1</v>
      </c>
      <c r="N27" s="719"/>
      <c r="O27" s="24">
        <f t="shared" si="18"/>
        <v>1</v>
      </c>
      <c r="P27" s="719"/>
      <c r="Q27" s="24">
        <f t="shared" si="19"/>
        <v>1</v>
      </c>
      <c r="R27" s="715">
        <f t="shared" si="20"/>
        <v>41527</v>
      </c>
      <c r="S27" s="361">
        <f t="shared" si="11"/>
        <v>917</v>
      </c>
    </row>
    <row r="28" spans="1:45">
      <c r="A28" s="2965" t="s">
        <v>3110</v>
      </c>
      <c r="B28" s="717">
        <f>'数据-基础表'!I17</f>
        <v>176.46</v>
      </c>
      <c r="C28" s="24">
        <f t="shared" si="12"/>
        <v>1</v>
      </c>
      <c r="D28" s="719" t="s">
        <v>3080</v>
      </c>
      <c r="E28" s="24">
        <f t="shared" si="13"/>
        <v>1.03</v>
      </c>
      <c r="F28" s="719" t="s">
        <v>3072</v>
      </c>
      <c r="G28" s="24">
        <f t="shared" si="14"/>
        <v>0.85</v>
      </c>
      <c r="H28" s="719" t="s">
        <v>3071</v>
      </c>
      <c r="I28" s="24">
        <f t="shared" si="15"/>
        <v>1</v>
      </c>
      <c r="J28" s="719" t="s">
        <v>3065</v>
      </c>
      <c r="K28" s="24">
        <f t="shared" si="16"/>
        <v>1</v>
      </c>
      <c r="L28" s="719" t="s">
        <v>3064</v>
      </c>
      <c r="M28" s="24">
        <f t="shared" si="17"/>
        <v>1</v>
      </c>
      <c r="N28" s="719"/>
      <c r="O28" s="24">
        <f t="shared" si="18"/>
        <v>1</v>
      </c>
      <c r="P28" s="719"/>
      <c r="Q28" s="24">
        <f t="shared" si="19"/>
        <v>1</v>
      </c>
      <c r="R28" s="715">
        <f t="shared" si="20"/>
        <v>43205</v>
      </c>
      <c r="S28" s="361">
        <f t="shared" si="11"/>
        <v>762</v>
      </c>
    </row>
    <row r="29" spans="1:45">
      <c r="A29" s="2965" t="s">
        <v>3111</v>
      </c>
      <c r="B29" s="717">
        <f>'数据-基础表'!I18</f>
        <v>214.88</v>
      </c>
      <c r="C29" s="24">
        <f t="shared" si="12"/>
        <v>0.99</v>
      </c>
      <c r="D29" s="719" t="s">
        <v>3080</v>
      </c>
      <c r="E29" s="24">
        <f t="shared" si="13"/>
        <v>1.03</v>
      </c>
      <c r="F29" s="719" t="s">
        <v>3072</v>
      </c>
      <c r="G29" s="24">
        <f t="shared" si="14"/>
        <v>0.85</v>
      </c>
      <c r="H29" s="719" t="s">
        <v>3071</v>
      </c>
      <c r="I29" s="24">
        <f t="shared" si="15"/>
        <v>1</v>
      </c>
      <c r="J29" s="719" t="s">
        <v>3065</v>
      </c>
      <c r="K29" s="24">
        <f t="shared" si="16"/>
        <v>1</v>
      </c>
      <c r="L29" s="719" t="s">
        <v>3064</v>
      </c>
      <c r="M29" s="24">
        <f t="shared" si="17"/>
        <v>1</v>
      </c>
      <c r="N29" s="719"/>
      <c r="O29" s="24">
        <f t="shared" si="18"/>
        <v>1</v>
      </c>
      <c r="P29" s="719"/>
      <c r="Q29" s="24">
        <f t="shared" si="19"/>
        <v>1</v>
      </c>
      <c r="R29" s="715">
        <f t="shared" si="20"/>
        <v>42773</v>
      </c>
      <c r="S29" s="361">
        <f t="shared" si="11"/>
        <v>919</v>
      </c>
    </row>
    <row r="30" spans="1:45">
      <c r="A30" s="2965" t="s">
        <v>3112</v>
      </c>
      <c r="B30" s="717">
        <f>'数据-基础表'!I19</f>
        <v>123.82</v>
      </c>
      <c r="C30" s="24">
        <f t="shared" si="12"/>
        <v>1.01</v>
      </c>
      <c r="D30" s="719" t="s">
        <v>3084</v>
      </c>
      <c r="E30" s="24">
        <f t="shared" si="13"/>
        <v>1</v>
      </c>
      <c r="F30" s="719">
        <v>1</v>
      </c>
      <c r="G30" s="24">
        <f t="shared" si="14"/>
        <v>1</v>
      </c>
      <c r="H30" s="719" t="s">
        <v>3071</v>
      </c>
      <c r="I30" s="24">
        <f t="shared" si="15"/>
        <v>1</v>
      </c>
      <c r="J30" s="719" t="s">
        <v>3065</v>
      </c>
      <c r="K30" s="24">
        <f t="shared" si="16"/>
        <v>1</v>
      </c>
      <c r="L30" s="719" t="s">
        <v>3064</v>
      </c>
      <c r="M30" s="24">
        <f t="shared" si="17"/>
        <v>1</v>
      </c>
      <c r="N30" s="719"/>
      <c r="O30" s="24">
        <f t="shared" si="18"/>
        <v>1</v>
      </c>
      <c r="P30" s="719"/>
      <c r="Q30" s="24">
        <f t="shared" si="19"/>
        <v>1</v>
      </c>
      <c r="R30" s="715">
        <f t="shared" si="20"/>
        <v>49842</v>
      </c>
      <c r="S30" s="361">
        <f t="shared" si="11"/>
        <v>617</v>
      </c>
    </row>
    <row r="31" spans="1:45">
      <c r="A31" s="2965" t="s">
        <v>3130</v>
      </c>
      <c r="B31" s="717">
        <f>'数据-基础表'!I20</f>
        <v>261.57</v>
      </c>
      <c r="C31" s="24">
        <f t="shared" si="12"/>
        <v>0.98</v>
      </c>
      <c r="D31" s="719" t="s">
        <v>3080</v>
      </c>
      <c r="E31" s="24">
        <f t="shared" si="13"/>
        <v>1.03</v>
      </c>
      <c r="F31" s="719" t="s">
        <v>3072</v>
      </c>
      <c r="G31" s="24">
        <f t="shared" si="14"/>
        <v>0.85</v>
      </c>
      <c r="H31" s="719" t="s">
        <v>3071</v>
      </c>
      <c r="I31" s="24">
        <f t="shared" si="15"/>
        <v>1</v>
      </c>
      <c r="J31" s="719" t="s">
        <v>3065</v>
      </c>
      <c r="K31" s="24">
        <f t="shared" si="16"/>
        <v>1</v>
      </c>
      <c r="L31" s="719" t="s">
        <v>3064</v>
      </c>
      <c r="M31" s="24">
        <f t="shared" si="17"/>
        <v>1</v>
      </c>
      <c r="N31" s="719"/>
      <c r="O31" s="24">
        <f t="shared" si="18"/>
        <v>1</v>
      </c>
      <c r="P31" s="719"/>
      <c r="Q31" s="24">
        <f t="shared" si="19"/>
        <v>1</v>
      </c>
      <c r="R31" s="715">
        <f t="shared" si="20"/>
        <v>42341</v>
      </c>
      <c r="S31" s="361">
        <f t="shared" si="11"/>
        <v>1108</v>
      </c>
    </row>
    <row r="32" spans="1:45">
      <c r="A32" s="2965" t="s">
        <v>3131</v>
      </c>
      <c r="B32" s="717">
        <f>'数据-基础表'!I21</f>
        <v>144.41</v>
      </c>
      <c r="C32" s="24">
        <f t="shared" si="12"/>
        <v>1.01</v>
      </c>
      <c r="D32" s="719" t="s">
        <v>3084</v>
      </c>
      <c r="E32" s="24">
        <f t="shared" si="13"/>
        <v>1</v>
      </c>
      <c r="F32" s="719">
        <v>1</v>
      </c>
      <c r="G32" s="24">
        <f t="shared" si="14"/>
        <v>1</v>
      </c>
      <c r="H32" s="719" t="s">
        <v>3071</v>
      </c>
      <c r="I32" s="24">
        <f t="shared" si="15"/>
        <v>1</v>
      </c>
      <c r="J32" s="719" t="s">
        <v>3065</v>
      </c>
      <c r="K32" s="24">
        <f t="shared" si="16"/>
        <v>1</v>
      </c>
      <c r="L32" s="719" t="s">
        <v>3064</v>
      </c>
      <c r="M32" s="24">
        <f t="shared" si="17"/>
        <v>1</v>
      </c>
      <c r="N32" s="719"/>
      <c r="O32" s="24">
        <f t="shared" si="18"/>
        <v>1</v>
      </c>
      <c r="P32" s="719"/>
      <c r="Q32" s="24">
        <f t="shared" si="19"/>
        <v>1</v>
      </c>
      <c r="R32" s="715">
        <f t="shared" si="20"/>
        <v>49842</v>
      </c>
      <c r="S32" s="361">
        <f t="shared" si="11"/>
        <v>720</v>
      </c>
    </row>
    <row r="33" spans="1:19">
      <c r="A33" s="2965" t="s">
        <v>3132</v>
      </c>
      <c r="B33" s="717">
        <f>'数据-基础表'!I22</f>
        <v>229.71</v>
      </c>
      <c r="C33" s="24">
        <f t="shared" si="12"/>
        <v>0.99</v>
      </c>
      <c r="D33" s="719" t="s">
        <v>3084</v>
      </c>
      <c r="E33" s="24">
        <f t="shared" si="13"/>
        <v>1</v>
      </c>
      <c r="F33" s="719" t="s">
        <v>3072</v>
      </c>
      <c r="G33" s="24">
        <f t="shared" si="14"/>
        <v>0.85</v>
      </c>
      <c r="H33" s="719" t="s">
        <v>3071</v>
      </c>
      <c r="I33" s="24">
        <f t="shared" si="15"/>
        <v>1</v>
      </c>
      <c r="J33" s="719" t="s">
        <v>3065</v>
      </c>
      <c r="K33" s="24">
        <f t="shared" si="16"/>
        <v>1</v>
      </c>
      <c r="L33" s="719" t="s">
        <v>3064</v>
      </c>
      <c r="M33" s="24">
        <f t="shared" si="17"/>
        <v>1</v>
      </c>
      <c r="N33" s="719"/>
      <c r="O33" s="24">
        <f t="shared" si="18"/>
        <v>1</v>
      </c>
      <c r="P33" s="719"/>
      <c r="Q33" s="24">
        <f t="shared" si="19"/>
        <v>1</v>
      </c>
      <c r="R33" s="715">
        <f t="shared" si="20"/>
        <v>41527</v>
      </c>
      <c r="S33" s="361">
        <f t="shared" si="11"/>
        <v>954</v>
      </c>
    </row>
    <row r="34" spans="1:19">
      <c r="A34" s="2965" t="s">
        <v>3113</v>
      </c>
      <c r="B34" s="717">
        <f>'数据-基础表'!I23</f>
        <v>99.71</v>
      </c>
      <c r="C34" s="24">
        <f t="shared" si="12"/>
        <v>1.02</v>
      </c>
      <c r="D34" s="719" t="s">
        <v>3082</v>
      </c>
      <c r="E34" s="24">
        <f t="shared" si="13"/>
        <v>1.0149999999999999</v>
      </c>
      <c r="F34" s="719">
        <v>1</v>
      </c>
      <c r="G34" s="24">
        <f t="shared" si="14"/>
        <v>1</v>
      </c>
      <c r="H34" s="719" t="s">
        <v>3071</v>
      </c>
      <c r="I34" s="24">
        <f t="shared" si="15"/>
        <v>1</v>
      </c>
      <c r="J34" s="719" t="s">
        <v>3065</v>
      </c>
      <c r="K34" s="24">
        <f t="shared" si="16"/>
        <v>1</v>
      </c>
      <c r="L34" s="719" t="s">
        <v>3064</v>
      </c>
      <c r="M34" s="24">
        <f t="shared" si="17"/>
        <v>1</v>
      </c>
      <c r="N34" s="719"/>
      <c r="O34" s="24">
        <f t="shared" si="18"/>
        <v>1</v>
      </c>
      <c r="P34" s="719"/>
      <c r="Q34" s="24">
        <f t="shared" si="19"/>
        <v>1</v>
      </c>
      <c r="R34" s="715">
        <f t="shared" si="20"/>
        <v>51091</v>
      </c>
      <c r="S34" s="361">
        <f t="shared" si="11"/>
        <v>509</v>
      </c>
    </row>
    <row r="35" spans="1:19">
      <c r="A35" s="2965" t="s">
        <v>3114</v>
      </c>
      <c r="B35" s="717">
        <f>'数据-基础表'!I24</f>
        <v>88.3</v>
      </c>
      <c r="C35" s="24">
        <f t="shared" si="12"/>
        <v>1.02</v>
      </c>
      <c r="D35" s="719" t="s">
        <v>3084</v>
      </c>
      <c r="E35" s="24">
        <f t="shared" si="13"/>
        <v>1</v>
      </c>
      <c r="F35" s="719">
        <v>1</v>
      </c>
      <c r="G35" s="24">
        <f t="shared" si="14"/>
        <v>1</v>
      </c>
      <c r="H35" s="719" t="s">
        <v>3071</v>
      </c>
      <c r="I35" s="24">
        <f t="shared" si="15"/>
        <v>1</v>
      </c>
      <c r="J35" s="719" t="s">
        <v>3065</v>
      </c>
      <c r="K35" s="24">
        <f t="shared" si="16"/>
        <v>1</v>
      </c>
      <c r="L35" s="719" t="s">
        <v>3064</v>
      </c>
      <c r="M35" s="24">
        <f t="shared" si="17"/>
        <v>1</v>
      </c>
      <c r="N35" s="719"/>
      <c r="O35" s="24">
        <f t="shared" si="18"/>
        <v>1</v>
      </c>
      <c r="P35" s="719"/>
      <c r="Q35" s="24">
        <f t="shared" si="19"/>
        <v>1</v>
      </c>
      <c r="R35" s="715">
        <f t="shared" si="20"/>
        <v>50336</v>
      </c>
      <c r="S35" s="361">
        <f t="shared" si="11"/>
        <v>444</v>
      </c>
    </row>
    <row r="36" spans="1:19">
      <c r="A36" s="2965" t="s">
        <v>3115</v>
      </c>
      <c r="B36" s="717">
        <f>'数据-基础表'!I25</f>
        <v>271.33</v>
      </c>
      <c r="C36" s="24">
        <f t="shared" si="12"/>
        <v>0.98</v>
      </c>
      <c r="D36" s="719" t="s">
        <v>3084</v>
      </c>
      <c r="E36" s="24">
        <f t="shared" si="13"/>
        <v>1</v>
      </c>
      <c r="F36" s="719" t="s">
        <v>3072</v>
      </c>
      <c r="G36" s="24">
        <f t="shared" si="14"/>
        <v>0.85</v>
      </c>
      <c r="H36" s="719" t="s">
        <v>3071</v>
      </c>
      <c r="I36" s="24">
        <f t="shared" si="15"/>
        <v>1</v>
      </c>
      <c r="J36" s="719" t="s">
        <v>3065</v>
      </c>
      <c r="K36" s="24">
        <f t="shared" si="16"/>
        <v>1</v>
      </c>
      <c r="L36" s="719" t="s">
        <v>3064</v>
      </c>
      <c r="M36" s="24">
        <f t="shared" si="17"/>
        <v>1</v>
      </c>
      <c r="N36" s="719"/>
      <c r="O36" s="24">
        <f t="shared" si="18"/>
        <v>1</v>
      </c>
      <c r="P36" s="719"/>
      <c r="Q36" s="24">
        <f t="shared" si="19"/>
        <v>1</v>
      </c>
      <c r="R36" s="715">
        <f t="shared" si="20"/>
        <v>41108</v>
      </c>
      <c r="S36" s="361">
        <f t="shared" si="11"/>
        <v>1115</v>
      </c>
    </row>
    <row r="37" spans="1:19">
      <c r="A37" s="2965" t="s">
        <v>3133</v>
      </c>
      <c r="B37" s="717">
        <f>'数据-基础表'!I26</f>
        <v>208.67</v>
      </c>
      <c r="C37" s="24">
        <f t="shared" si="12"/>
        <v>0.99</v>
      </c>
      <c r="D37" s="719" t="s">
        <v>3080</v>
      </c>
      <c r="E37" s="24">
        <f t="shared" si="13"/>
        <v>1.03</v>
      </c>
      <c r="F37" s="719" t="s">
        <v>3072</v>
      </c>
      <c r="G37" s="24">
        <f t="shared" si="14"/>
        <v>0.85</v>
      </c>
      <c r="H37" s="719" t="s">
        <v>3071</v>
      </c>
      <c r="I37" s="24">
        <f t="shared" si="15"/>
        <v>1</v>
      </c>
      <c r="J37" s="719" t="s">
        <v>3065</v>
      </c>
      <c r="K37" s="24">
        <f t="shared" si="16"/>
        <v>1</v>
      </c>
      <c r="L37" s="719" t="s">
        <v>3064</v>
      </c>
      <c r="M37" s="24">
        <f t="shared" si="17"/>
        <v>1</v>
      </c>
      <c r="N37" s="719"/>
      <c r="O37" s="24">
        <f t="shared" si="18"/>
        <v>1</v>
      </c>
      <c r="P37" s="719"/>
      <c r="Q37" s="24">
        <f t="shared" si="19"/>
        <v>1</v>
      </c>
      <c r="R37" s="715">
        <f t="shared" si="20"/>
        <v>42773</v>
      </c>
      <c r="S37" s="361">
        <f t="shared" si="11"/>
        <v>893</v>
      </c>
    </row>
    <row r="38" spans="1:19">
      <c r="A38" s="2965" t="s">
        <v>3116</v>
      </c>
      <c r="B38" s="717">
        <f>'数据-基础表'!I27</f>
        <v>142.46</v>
      </c>
      <c r="C38" s="24">
        <f t="shared" si="12"/>
        <v>1.01</v>
      </c>
      <c r="D38" s="719" t="s">
        <v>3080</v>
      </c>
      <c r="E38" s="24">
        <f t="shared" si="13"/>
        <v>1.03</v>
      </c>
      <c r="F38" s="719">
        <v>1</v>
      </c>
      <c r="G38" s="24">
        <f t="shared" si="14"/>
        <v>1</v>
      </c>
      <c r="H38" s="719" t="s">
        <v>3071</v>
      </c>
      <c r="I38" s="24">
        <f t="shared" si="15"/>
        <v>1</v>
      </c>
      <c r="J38" s="719" t="s">
        <v>3065</v>
      </c>
      <c r="K38" s="24">
        <f t="shared" si="16"/>
        <v>1</v>
      </c>
      <c r="L38" s="719" t="s">
        <v>3064</v>
      </c>
      <c r="M38" s="24">
        <f t="shared" si="17"/>
        <v>1</v>
      </c>
      <c r="N38" s="719"/>
      <c r="O38" s="24">
        <f t="shared" si="18"/>
        <v>1</v>
      </c>
      <c r="P38" s="719"/>
      <c r="Q38" s="24">
        <f t="shared" si="19"/>
        <v>1</v>
      </c>
      <c r="R38" s="715">
        <f t="shared" si="20"/>
        <v>51338</v>
      </c>
      <c r="S38" s="361">
        <f t="shared" si="11"/>
        <v>731</v>
      </c>
    </row>
    <row r="39" spans="1:19">
      <c r="A39" s="2965" t="s">
        <v>3134</v>
      </c>
      <c r="B39" s="717">
        <f>'数据-基础表'!I28</f>
        <v>263.36</v>
      </c>
      <c r="C39" s="24">
        <f t="shared" si="12"/>
        <v>0.98</v>
      </c>
      <c r="D39" s="719" t="s">
        <v>3084</v>
      </c>
      <c r="E39" s="24">
        <f t="shared" si="13"/>
        <v>1</v>
      </c>
      <c r="F39" s="719" t="s">
        <v>3072</v>
      </c>
      <c r="G39" s="24">
        <f t="shared" si="14"/>
        <v>0.85</v>
      </c>
      <c r="H39" s="719" t="s">
        <v>3071</v>
      </c>
      <c r="I39" s="24">
        <f t="shared" si="15"/>
        <v>1</v>
      </c>
      <c r="J39" s="719" t="s">
        <v>3065</v>
      </c>
      <c r="K39" s="24">
        <f t="shared" si="16"/>
        <v>1</v>
      </c>
      <c r="L39" s="719" t="s">
        <v>3064</v>
      </c>
      <c r="M39" s="24">
        <f t="shared" si="17"/>
        <v>1</v>
      </c>
      <c r="N39" s="719"/>
      <c r="O39" s="24">
        <f t="shared" si="18"/>
        <v>1</v>
      </c>
      <c r="P39" s="719"/>
      <c r="Q39" s="24">
        <f t="shared" si="19"/>
        <v>1</v>
      </c>
      <c r="R39" s="715">
        <f t="shared" si="20"/>
        <v>41108</v>
      </c>
      <c r="S39" s="361">
        <f t="shared" si="11"/>
        <v>1083</v>
      </c>
    </row>
    <row r="40" spans="1:19">
      <c r="A40" s="2965" t="s">
        <v>3135</v>
      </c>
      <c r="B40" s="717">
        <f>'数据-基础表'!I29</f>
        <v>145.44999999999999</v>
      </c>
      <c r="C40" s="24">
        <f t="shared" si="12"/>
        <v>1.01</v>
      </c>
      <c r="D40" s="719" t="s">
        <v>3080</v>
      </c>
      <c r="E40" s="24">
        <f t="shared" si="13"/>
        <v>1.03</v>
      </c>
      <c r="F40" s="719">
        <v>1</v>
      </c>
      <c r="G40" s="24">
        <f t="shared" si="14"/>
        <v>1</v>
      </c>
      <c r="H40" s="719" t="s">
        <v>3071</v>
      </c>
      <c r="I40" s="24">
        <f t="shared" si="15"/>
        <v>1</v>
      </c>
      <c r="J40" s="719" t="s">
        <v>3065</v>
      </c>
      <c r="K40" s="24">
        <f t="shared" si="16"/>
        <v>1</v>
      </c>
      <c r="L40" s="719" t="s">
        <v>3161</v>
      </c>
      <c r="M40" s="24">
        <f t="shared" si="17"/>
        <v>1.02</v>
      </c>
      <c r="N40" s="719"/>
      <c r="O40" s="24">
        <f t="shared" si="18"/>
        <v>1</v>
      </c>
      <c r="P40" s="719"/>
      <c r="Q40" s="24">
        <f t="shared" si="19"/>
        <v>1</v>
      </c>
      <c r="R40" s="715">
        <f t="shared" si="20"/>
        <v>52365</v>
      </c>
      <c r="S40" s="361">
        <f t="shared" si="11"/>
        <v>762</v>
      </c>
    </row>
    <row r="41" spans="1:19">
      <c r="A41" s="2965" t="s">
        <v>3136</v>
      </c>
      <c r="B41" s="717">
        <f>'数据-基础表'!I30</f>
        <v>230.35</v>
      </c>
      <c r="C41" s="24">
        <f t="shared" si="12"/>
        <v>0.99</v>
      </c>
      <c r="D41" s="719" t="s">
        <v>3080</v>
      </c>
      <c r="E41" s="24">
        <f t="shared" si="13"/>
        <v>1.03</v>
      </c>
      <c r="F41" s="719" t="s">
        <v>3072</v>
      </c>
      <c r="G41" s="24">
        <f t="shared" si="14"/>
        <v>0.85</v>
      </c>
      <c r="H41" s="719" t="s">
        <v>3071</v>
      </c>
      <c r="I41" s="24">
        <f t="shared" si="15"/>
        <v>1</v>
      </c>
      <c r="J41" s="719" t="s">
        <v>3065</v>
      </c>
      <c r="K41" s="24">
        <f t="shared" si="16"/>
        <v>1</v>
      </c>
      <c r="L41" s="719" t="s">
        <v>3161</v>
      </c>
      <c r="M41" s="24">
        <f t="shared" si="17"/>
        <v>1.02</v>
      </c>
      <c r="N41" s="719"/>
      <c r="O41" s="24">
        <f t="shared" si="18"/>
        <v>1</v>
      </c>
      <c r="P41" s="719"/>
      <c r="Q41" s="24">
        <f t="shared" si="19"/>
        <v>1</v>
      </c>
      <c r="R41" s="715">
        <f t="shared" si="20"/>
        <v>43628</v>
      </c>
      <c r="S41" s="361">
        <f t="shared" si="11"/>
        <v>1005</v>
      </c>
    </row>
    <row r="42" spans="1:19">
      <c r="A42" s="2965" t="s">
        <v>3137</v>
      </c>
      <c r="B42" s="717">
        <f>'数据-基础表'!I31</f>
        <v>98.19</v>
      </c>
      <c r="C42" s="24">
        <f t="shared" si="12"/>
        <v>1.02</v>
      </c>
      <c r="D42" s="719" t="s">
        <v>3080</v>
      </c>
      <c r="E42" s="24">
        <f t="shared" si="13"/>
        <v>1.03</v>
      </c>
      <c r="F42" s="719">
        <v>1</v>
      </c>
      <c r="G42" s="24">
        <f t="shared" si="14"/>
        <v>1</v>
      </c>
      <c r="H42" s="719" t="s">
        <v>3071</v>
      </c>
      <c r="I42" s="24">
        <f t="shared" si="15"/>
        <v>1</v>
      </c>
      <c r="J42" s="719" t="s">
        <v>3065</v>
      </c>
      <c r="K42" s="24">
        <f t="shared" si="16"/>
        <v>1</v>
      </c>
      <c r="L42" s="719" t="s">
        <v>3161</v>
      </c>
      <c r="M42" s="24">
        <f t="shared" si="17"/>
        <v>1.02</v>
      </c>
      <c r="N42" s="719"/>
      <c r="O42" s="24">
        <f t="shared" si="18"/>
        <v>1</v>
      </c>
      <c r="P42" s="719"/>
      <c r="Q42" s="24">
        <f t="shared" si="19"/>
        <v>1</v>
      </c>
      <c r="R42" s="715">
        <f t="shared" si="20"/>
        <v>52883</v>
      </c>
      <c r="S42" s="361">
        <f t="shared" si="11"/>
        <v>519</v>
      </c>
    </row>
    <row r="43" spans="1:19">
      <c r="A43" s="2965" t="s">
        <v>3138</v>
      </c>
      <c r="B43" s="717">
        <f>'数据-基础表'!I32</f>
        <v>115.76</v>
      </c>
      <c r="C43" s="24">
        <f t="shared" si="12"/>
        <v>1.01</v>
      </c>
      <c r="D43" s="719" t="s">
        <v>3080</v>
      </c>
      <c r="E43" s="24">
        <f t="shared" si="13"/>
        <v>1.03</v>
      </c>
      <c r="F43" s="719">
        <v>1</v>
      </c>
      <c r="G43" s="24">
        <f t="shared" si="14"/>
        <v>1</v>
      </c>
      <c r="H43" s="719" t="s">
        <v>3071</v>
      </c>
      <c r="I43" s="24">
        <f t="shared" si="15"/>
        <v>1</v>
      </c>
      <c r="J43" s="719" t="s">
        <v>3065</v>
      </c>
      <c r="K43" s="24">
        <f t="shared" si="16"/>
        <v>1</v>
      </c>
      <c r="L43" s="719" t="s">
        <v>3161</v>
      </c>
      <c r="M43" s="24">
        <f t="shared" si="17"/>
        <v>1.02</v>
      </c>
      <c r="N43" s="719"/>
      <c r="O43" s="24">
        <f t="shared" si="18"/>
        <v>1</v>
      </c>
      <c r="P43" s="719"/>
      <c r="Q43" s="24">
        <f t="shared" si="19"/>
        <v>1</v>
      </c>
      <c r="R43" s="715">
        <f t="shared" si="20"/>
        <v>52365</v>
      </c>
      <c r="S43" s="361">
        <f t="shared" si="11"/>
        <v>606</v>
      </c>
    </row>
    <row r="44" spans="1:19">
      <c r="A44" s="2965" t="s">
        <v>3139</v>
      </c>
      <c r="B44" s="717">
        <f>'数据-基础表'!I33</f>
        <v>241.95</v>
      </c>
      <c r="C44" s="24">
        <f t="shared" si="12"/>
        <v>0.99</v>
      </c>
      <c r="D44" s="719" t="s">
        <v>3084</v>
      </c>
      <c r="E44" s="24">
        <f t="shared" si="13"/>
        <v>1</v>
      </c>
      <c r="F44" s="719" t="s">
        <v>3072</v>
      </c>
      <c r="G44" s="24">
        <f t="shared" si="14"/>
        <v>0.85</v>
      </c>
      <c r="H44" s="719" t="s">
        <v>3071</v>
      </c>
      <c r="I44" s="24">
        <f t="shared" si="15"/>
        <v>1</v>
      </c>
      <c r="J44" s="719" t="s">
        <v>3065</v>
      </c>
      <c r="K44" s="24">
        <f t="shared" si="16"/>
        <v>1</v>
      </c>
      <c r="L44" s="719" t="s">
        <v>3161</v>
      </c>
      <c r="M44" s="24">
        <f t="shared" si="17"/>
        <v>1.02</v>
      </c>
      <c r="N44" s="719"/>
      <c r="O44" s="24">
        <f t="shared" si="18"/>
        <v>1</v>
      </c>
      <c r="P44" s="719"/>
      <c r="Q44" s="24">
        <f t="shared" si="19"/>
        <v>1</v>
      </c>
      <c r="R44" s="715">
        <f t="shared" si="20"/>
        <v>42358</v>
      </c>
      <c r="S44" s="361">
        <f t="shared" si="11"/>
        <v>1025</v>
      </c>
    </row>
    <row r="45" spans="1:19">
      <c r="A45" s="2965" t="s">
        <v>3140</v>
      </c>
      <c r="B45" s="717">
        <f>'数据-基础表'!I34</f>
        <v>286.64999999999998</v>
      </c>
      <c r="C45" s="24">
        <f t="shared" si="12"/>
        <v>0.98</v>
      </c>
      <c r="D45" s="719" t="s">
        <v>3080</v>
      </c>
      <c r="E45" s="24">
        <f t="shared" si="13"/>
        <v>1.03</v>
      </c>
      <c r="F45" s="719" t="s">
        <v>3072</v>
      </c>
      <c r="G45" s="24">
        <f t="shared" si="14"/>
        <v>0.85</v>
      </c>
      <c r="H45" s="719" t="s">
        <v>3214</v>
      </c>
      <c r="I45" s="24">
        <f t="shared" si="15"/>
        <v>1.02</v>
      </c>
      <c r="J45" s="719" t="s">
        <v>3065</v>
      </c>
      <c r="K45" s="24">
        <f t="shared" si="16"/>
        <v>1</v>
      </c>
      <c r="L45" s="719" t="s">
        <v>3161</v>
      </c>
      <c r="M45" s="24">
        <f t="shared" si="17"/>
        <v>1.02</v>
      </c>
      <c r="N45" s="719"/>
      <c r="O45" s="24">
        <f t="shared" si="18"/>
        <v>1</v>
      </c>
      <c r="P45" s="719"/>
      <c r="Q45" s="24">
        <f t="shared" si="19"/>
        <v>1</v>
      </c>
      <c r="R45" s="715">
        <f t="shared" si="20"/>
        <v>44052</v>
      </c>
      <c r="S45" s="361">
        <f t="shared" si="11"/>
        <v>1263</v>
      </c>
    </row>
    <row r="46" spans="1:19">
      <c r="A46" s="159"/>
      <c r="B46" s="717"/>
      <c r="C46" s="24">
        <f t="shared" si="12"/>
        <v>1</v>
      </c>
      <c r="D46" s="719"/>
      <c r="E46" s="24">
        <f t="shared" si="13"/>
        <v>4.4999999999999998E-2</v>
      </c>
      <c r="F46" s="719"/>
      <c r="G46" s="24">
        <f t="shared" si="14"/>
        <v>0</v>
      </c>
      <c r="H46" s="719"/>
      <c r="I46" s="24">
        <f t="shared" si="15"/>
        <v>0.02</v>
      </c>
      <c r="J46" s="719"/>
      <c r="K46" s="24">
        <f t="shared" si="16"/>
        <v>0</v>
      </c>
      <c r="L46" s="719"/>
      <c r="M46" s="24">
        <f t="shared" si="17"/>
        <v>0.02</v>
      </c>
      <c r="N46" s="719"/>
      <c r="O46" s="24">
        <f t="shared" si="18"/>
        <v>1</v>
      </c>
      <c r="P46" s="719"/>
      <c r="Q46" s="24">
        <f t="shared" si="19"/>
        <v>1</v>
      </c>
      <c r="R46" s="715">
        <f t="shared" si="20"/>
        <v>0</v>
      </c>
      <c r="S46" s="361">
        <f t="shared" si="11"/>
        <v>0</v>
      </c>
    </row>
    <row r="47" spans="1:19">
      <c r="A47" s="159"/>
      <c r="B47" s="59"/>
      <c r="C47" s="24">
        <f t="shared" si="12"/>
        <v>1</v>
      </c>
      <c r="D47" s="719"/>
      <c r="E47" s="24">
        <f t="shared" si="13"/>
        <v>4.4999999999999998E-2</v>
      </c>
      <c r="F47" s="719"/>
      <c r="G47" s="24">
        <f t="shared" si="14"/>
        <v>0</v>
      </c>
      <c r="H47" s="719"/>
      <c r="I47" s="24">
        <f t="shared" si="15"/>
        <v>0.02</v>
      </c>
      <c r="J47" s="719"/>
      <c r="K47" s="24">
        <f t="shared" si="16"/>
        <v>0</v>
      </c>
      <c r="L47" s="719"/>
      <c r="M47" s="24">
        <f t="shared" si="17"/>
        <v>0.02</v>
      </c>
      <c r="N47" s="719"/>
      <c r="O47" s="24">
        <f t="shared" si="18"/>
        <v>1</v>
      </c>
      <c r="P47" s="719"/>
      <c r="Q47" s="24">
        <f t="shared" si="19"/>
        <v>1</v>
      </c>
      <c r="R47" s="715">
        <f t="shared" si="20"/>
        <v>0</v>
      </c>
      <c r="S47" s="361">
        <f t="shared" si="11"/>
        <v>0</v>
      </c>
    </row>
    <row r="48" spans="1:19">
      <c r="A48" s="159"/>
      <c r="B48" s="59"/>
      <c r="C48" s="24">
        <f t="shared" si="12"/>
        <v>1</v>
      </c>
      <c r="D48" s="719"/>
      <c r="E48" s="24">
        <f t="shared" si="13"/>
        <v>4.4999999999999998E-2</v>
      </c>
      <c r="F48" s="719"/>
      <c r="G48" s="24">
        <f t="shared" si="14"/>
        <v>0</v>
      </c>
      <c r="H48" s="719"/>
      <c r="I48" s="24">
        <f t="shared" si="15"/>
        <v>0.02</v>
      </c>
      <c r="J48" s="719"/>
      <c r="K48" s="24">
        <f t="shared" si="16"/>
        <v>0</v>
      </c>
      <c r="L48" s="719"/>
      <c r="M48" s="24">
        <f t="shared" si="17"/>
        <v>0.02</v>
      </c>
      <c r="N48" s="719"/>
      <c r="O48" s="24">
        <f t="shared" si="18"/>
        <v>1</v>
      </c>
      <c r="P48" s="719"/>
      <c r="Q48" s="24">
        <f t="shared" si="19"/>
        <v>1</v>
      </c>
      <c r="R48" s="715">
        <f t="shared" si="20"/>
        <v>0</v>
      </c>
      <c r="S48" s="361">
        <f t="shared" si="11"/>
        <v>0</v>
      </c>
    </row>
    <row r="49" spans="1:19">
      <c r="A49" s="159"/>
      <c r="B49" s="59"/>
      <c r="C49" s="24">
        <f t="shared" si="12"/>
        <v>1</v>
      </c>
      <c r="D49" s="719"/>
      <c r="E49" s="24">
        <f t="shared" si="13"/>
        <v>4.4999999999999998E-2</v>
      </c>
      <c r="F49" s="719"/>
      <c r="G49" s="24">
        <f t="shared" si="14"/>
        <v>0</v>
      </c>
      <c r="H49" s="719"/>
      <c r="I49" s="24">
        <f t="shared" si="15"/>
        <v>0.02</v>
      </c>
      <c r="J49" s="719"/>
      <c r="K49" s="24">
        <f t="shared" si="16"/>
        <v>0</v>
      </c>
      <c r="L49" s="719"/>
      <c r="M49" s="24">
        <f t="shared" si="17"/>
        <v>0.02</v>
      </c>
      <c r="N49" s="719"/>
      <c r="O49" s="24">
        <f t="shared" si="18"/>
        <v>1</v>
      </c>
      <c r="P49" s="719"/>
      <c r="Q49" s="24">
        <f t="shared" si="19"/>
        <v>1</v>
      </c>
      <c r="R49" s="715">
        <f t="shared" si="20"/>
        <v>0</v>
      </c>
      <c r="S49" s="361">
        <f t="shared" si="11"/>
        <v>0</v>
      </c>
    </row>
    <row r="50" spans="1:19">
      <c r="A50" s="159"/>
      <c r="B50" s="59"/>
      <c r="C50" s="24">
        <f t="shared" si="12"/>
        <v>1</v>
      </c>
      <c r="D50" s="719"/>
      <c r="E50" s="24">
        <f t="shared" si="13"/>
        <v>4.4999999999999998E-2</v>
      </c>
      <c r="F50" s="719"/>
      <c r="G50" s="24">
        <f t="shared" si="14"/>
        <v>0</v>
      </c>
      <c r="H50" s="719"/>
      <c r="I50" s="24">
        <f t="shared" si="15"/>
        <v>0.02</v>
      </c>
      <c r="J50" s="719"/>
      <c r="K50" s="24">
        <f t="shared" si="16"/>
        <v>0</v>
      </c>
      <c r="L50" s="719"/>
      <c r="M50" s="24">
        <f t="shared" si="17"/>
        <v>0.02</v>
      </c>
      <c r="N50" s="719"/>
      <c r="O50" s="24">
        <f t="shared" si="18"/>
        <v>1</v>
      </c>
      <c r="P50" s="719"/>
      <c r="Q50" s="24">
        <f t="shared" si="19"/>
        <v>1</v>
      </c>
      <c r="R50" s="715">
        <f t="shared" si="20"/>
        <v>0</v>
      </c>
      <c r="S50" s="361">
        <f t="shared" si="11"/>
        <v>0</v>
      </c>
    </row>
    <row r="51" spans="1:19">
      <c r="A51" s="159"/>
      <c r="B51" s="59"/>
      <c r="C51" s="24">
        <f t="shared" si="12"/>
        <v>1</v>
      </c>
      <c r="D51" s="719"/>
      <c r="E51" s="24">
        <f t="shared" si="13"/>
        <v>4.4999999999999998E-2</v>
      </c>
      <c r="F51" s="719"/>
      <c r="G51" s="24">
        <f t="shared" si="14"/>
        <v>0</v>
      </c>
      <c r="H51" s="719"/>
      <c r="I51" s="24">
        <f t="shared" si="15"/>
        <v>0.02</v>
      </c>
      <c r="J51" s="719"/>
      <c r="K51" s="24">
        <f t="shared" si="16"/>
        <v>0</v>
      </c>
      <c r="L51" s="719"/>
      <c r="M51" s="24">
        <f t="shared" si="17"/>
        <v>0.02</v>
      </c>
      <c r="N51" s="719"/>
      <c r="O51" s="24">
        <f t="shared" si="18"/>
        <v>1</v>
      </c>
      <c r="P51" s="719"/>
      <c r="Q51" s="24">
        <f t="shared" si="19"/>
        <v>1</v>
      </c>
      <c r="R51" s="715">
        <f t="shared" si="20"/>
        <v>0</v>
      </c>
      <c r="S51" s="361">
        <f t="shared" si="11"/>
        <v>0</v>
      </c>
    </row>
    <row r="52" spans="1:19">
      <c r="A52" s="159"/>
      <c r="B52" s="59"/>
      <c r="C52" s="24">
        <f t="shared" si="12"/>
        <v>1</v>
      </c>
      <c r="D52" s="719"/>
      <c r="E52" s="24">
        <f t="shared" si="13"/>
        <v>4.4999999999999998E-2</v>
      </c>
      <c r="F52" s="719"/>
      <c r="G52" s="24">
        <f t="shared" si="14"/>
        <v>0</v>
      </c>
      <c r="H52" s="719"/>
      <c r="I52" s="24">
        <f t="shared" si="15"/>
        <v>0.02</v>
      </c>
      <c r="J52" s="719"/>
      <c r="K52" s="24">
        <f t="shared" si="16"/>
        <v>0</v>
      </c>
      <c r="L52" s="719"/>
      <c r="M52" s="24">
        <f t="shared" si="17"/>
        <v>0.02</v>
      </c>
      <c r="N52" s="719"/>
      <c r="O52" s="24">
        <f t="shared" si="18"/>
        <v>1</v>
      </c>
      <c r="P52" s="719"/>
      <c r="Q52" s="24">
        <f t="shared" si="19"/>
        <v>1</v>
      </c>
      <c r="R52" s="715">
        <f t="shared" si="20"/>
        <v>0</v>
      </c>
      <c r="S52" s="361">
        <f t="shared" si="11"/>
        <v>0</v>
      </c>
    </row>
    <row r="53" spans="1:19">
      <c r="A53" s="159"/>
      <c r="B53" s="59"/>
      <c r="C53" s="24">
        <f t="shared" si="12"/>
        <v>1</v>
      </c>
      <c r="D53" s="719"/>
      <c r="E53" s="24">
        <f t="shared" si="13"/>
        <v>4.4999999999999998E-2</v>
      </c>
      <c r="F53" s="719"/>
      <c r="G53" s="24">
        <f t="shared" si="14"/>
        <v>0</v>
      </c>
      <c r="H53" s="719"/>
      <c r="I53" s="24">
        <f t="shared" si="15"/>
        <v>0.02</v>
      </c>
      <c r="J53" s="719"/>
      <c r="K53" s="24">
        <f t="shared" si="16"/>
        <v>0</v>
      </c>
      <c r="L53" s="719"/>
      <c r="M53" s="24">
        <f t="shared" si="17"/>
        <v>0.02</v>
      </c>
      <c r="N53" s="719"/>
      <c r="O53" s="24">
        <f t="shared" si="18"/>
        <v>1</v>
      </c>
      <c r="P53" s="719"/>
      <c r="Q53" s="24">
        <f t="shared" si="19"/>
        <v>1</v>
      </c>
      <c r="R53" s="715">
        <f t="shared" si="20"/>
        <v>0</v>
      </c>
      <c r="S53" s="361">
        <f t="shared" si="11"/>
        <v>0</v>
      </c>
    </row>
    <row r="54" spans="1:19">
      <c r="A54" s="159"/>
      <c r="B54" s="59"/>
      <c r="C54" s="24">
        <f t="shared" si="12"/>
        <v>1</v>
      </c>
      <c r="D54" s="719"/>
      <c r="E54" s="24">
        <f t="shared" si="13"/>
        <v>4.4999999999999998E-2</v>
      </c>
      <c r="F54" s="719"/>
      <c r="G54" s="24">
        <f t="shared" si="14"/>
        <v>0</v>
      </c>
      <c r="H54" s="719"/>
      <c r="I54" s="24">
        <f t="shared" si="15"/>
        <v>0.02</v>
      </c>
      <c r="J54" s="719"/>
      <c r="K54" s="24">
        <f t="shared" si="16"/>
        <v>0</v>
      </c>
      <c r="L54" s="719"/>
      <c r="M54" s="24">
        <f t="shared" si="17"/>
        <v>0.02</v>
      </c>
      <c r="N54" s="719"/>
      <c r="O54" s="24">
        <f t="shared" si="18"/>
        <v>1</v>
      </c>
      <c r="P54" s="719"/>
      <c r="Q54" s="24">
        <f t="shared" si="19"/>
        <v>1</v>
      </c>
      <c r="R54" s="715">
        <f t="shared" si="20"/>
        <v>0</v>
      </c>
      <c r="S54" s="361">
        <f t="shared" si="11"/>
        <v>0</v>
      </c>
    </row>
    <row r="55" spans="1:19">
      <c r="A55" s="159"/>
      <c r="B55" s="59"/>
      <c r="C55" s="24">
        <f t="shared" si="12"/>
        <v>1</v>
      </c>
      <c r="D55" s="719"/>
      <c r="E55" s="24">
        <f t="shared" si="13"/>
        <v>4.4999999999999998E-2</v>
      </c>
      <c r="F55" s="719"/>
      <c r="G55" s="24">
        <f t="shared" si="14"/>
        <v>0</v>
      </c>
      <c r="H55" s="719"/>
      <c r="I55" s="24">
        <f t="shared" si="15"/>
        <v>0.02</v>
      </c>
      <c r="J55" s="719"/>
      <c r="K55" s="24">
        <f t="shared" si="16"/>
        <v>0</v>
      </c>
      <c r="L55" s="719"/>
      <c r="M55" s="24">
        <f t="shared" si="17"/>
        <v>0.02</v>
      </c>
      <c r="N55" s="719"/>
      <c r="O55" s="24">
        <f t="shared" si="18"/>
        <v>1</v>
      </c>
      <c r="P55" s="719"/>
      <c r="Q55" s="24">
        <f t="shared" si="19"/>
        <v>1</v>
      </c>
      <c r="R55" s="715">
        <f t="shared" si="20"/>
        <v>0</v>
      </c>
      <c r="S55" s="361">
        <f t="shared" ref="S55:S77" si="21">ROUND(R55*B55/10000,0)</f>
        <v>0</v>
      </c>
    </row>
    <row r="56" spans="1:19">
      <c r="A56" s="159"/>
      <c r="B56" s="59"/>
      <c r="C56" s="24">
        <f t="shared" si="12"/>
        <v>1</v>
      </c>
      <c r="D56" s="719"/>
      <c r="E56" s="24">
        <f t="shared" si="13"/>
        <v>4.4999999999999998E-2</v>
      </c>
      <c r="F56" s="719"/>
      <c r="G56" s="24">
        <f t="shared" si="14"/>
        <v>0</v>
      </c>
      <c r="H56" s="719"/>
      <c r="I56" s="24">
        <f t="shared" si="15"/>
        <v>0.02</v>
      </c>
      <c r="J56" s="719"/>
      <c r="K56" s="24">
        <f t="shared" si="16"/>
        <v>0</v>
      </c>
      <c r="L56" s="719"/>
      <c r="M56" s="24">
        <f t="shared" si="17"/>
        <v>0.02</v>
      </c>
      <c r="N56" s="719"/>
      <c r="O56" s="24">
        <f t="shared" si="18"/>
        <v>1</v>
      </c>
      <c r="P56" s="719"/>
      <c r="Q56" s="24">
        <f t="shared" si="19"/>
        <v>1</v>
      </c>
      <c r="R56" s="715">
        <f t="shared" si="20"/>
        <v>0</v>
      </c>
      <c r="S56" s="361">
        <f t="shared" si="21"/>
        <v>0</v>
      </c>
    </row>
    <row r="57" spans="1:19">
      <c r="A57" s="159"/>
      <c r="B57" s="59"/>
      <c r="C57" s="24">
        <f t="shared" si="12"/>
        <v>1</v>
      </c>
      <c r="D57" s="719"/>
      <c r="E57" s="24">
        <f t="shared" si="13"/>
        <v>4.4999999999999998E-2</v>
      </c>
      <c r="F57" s="719"/>
      <c r="G57" s="24">
        <f t="shared" si="14"/>
        <v>0</v>
      </c>
      <c r="H57" s="719"/>
      <c r="I57" s="24">
        <f t="shared" si="15"/>
        <v>0.02</v>
      </c>
      <c r="J57" s="719"/>
      <c r="K57" s="24">
        <f t="shared" si="16"/>
        <v>0</v>
      </c>
      <c r="L57" s="719"/>
      <c r="M57" s="24">
        <f t="shared" si="17"/>
        <v>0.02</v>
      </c>
      <c r="N57" s="719"/>
      <c r="O57" s="24">
        <f t="shared" si="18"/>
        <v>1</v>
      </c>
      <c r="P57" s="719"/>
      <c r="Q57" s="24">
        <f t="shared" si="19"/>
        <v>1</v>
      </c>
      <c r="R57" s="715">
        <f t="shared" si="20"/>
        <v>0</v>
      </c>
      <c r="S57" s="361">
        <f t="shared" si="21"/>
        <v>0</v>
      </c>
    </row>
    <row r="58" spans="1:19">
      <c r="A58" s="159"/>
      <c r="B58" s="59"/>
      <c r="C58" s="24">
        <f t="shared" si="12"/>
        <v>1</v>
      </c>
      <c r="D58" s="719"/>
      <c r="E58" s="24">
        <f t="shared" si="13"/>
        <v>4.4999999999999998E-2</v>
      </c>
      <c r="F58" s="719"/>
      <c r="G58" s="24">
        <f t="shared" si="14"/>
        <v>0</v>
      </c>
      <c r="H58" s="719"/>
      <c r="I58" s="24">
        <f t="shared" si="15"/>
        <v>0.02</v>
      </c>
      <c r="J58" s="719"/>
      <c r="K58" s="24">
        <f t="shared" si="16"/>
        <v>0</v>
      </c>
      <c r="L58" s="719"/>
      <c r="M58" s="24">
        <f t="shared" si="17"/>
        <v>0.02</v>
      </c>
      <c r="N58" s="719"/>
      <c r="O58" s="24">
        <f t="shared" si="18"/>
        <v>1</v>
      </c>
      <c r="P58" s="719"/>
      <c r="Q58" s="24">
        <f t="shared" si="19"/>
        <v>1</v>
      </c>
      <c r="R58" s="715">
        <f t="shared" si="20"/>
        <v>0</v>
      </c>
      <c r="S58" s="361">
        <f t="shared" si="21"/>
        <v>0</v>
      </c>
    </row>
    <row r="59" spans="1:19">
      <c r="A59" s="159"/>
      <c r="B59" s="59"/>
      <c r="C59" s="24">
        <f t="shared" si="12"/>
        <v>1</v>
      </c>
      <c r="D59" s="719"/>
      <c r="E59" s="24">
        <f t="shared" si="13"/>
        <v>4.4999999999999998E-2</v>
      </c>
      <c r="F59" s="719"/>
      <c r="G59" s="24">
        <f t="shared" si="14"/>
        <v>0</v>
      </c>
      <c r="H59" s="719"/>
      <c r="I59" s="24">
        <f t="shared" si="15"/>
        <v>0.02</v>
      </c>
      <c r="J59" s="719"/>
      <c r="K59" s="24">
        <f t="shared" si="16"/>
        <v>0</v>
      </c>
      <c r="L59" s="719"/>
      <c r="M59" s="24">
        <f t="shared" si="17"/>
        <v>0.02</v>
      </c>
      <c r="N59" s="719"/>
      <c r="O59" s="24">
        <f t="shared" si="18"/>
        <v>1</v>
      </c>
      <c r="P59" s="719"/>
      <c r="Q59" s="24">
        <f t="shared" si="19"/>
        <v>1</v>
      </c>
      <c r="R59" s="715">
        <f t="shared" si="20"/>
        <v>0</v>
      </c>
      <c r="S59" s="361">
        <f t="shared" si="21"/>
        <v>0</v>
      </c>
    </row>
    <row r="60" spans="1:19">
      <c r="A60" s="159"/>
      <c r="B60" s="59"/>
      <c r="C60" s="24">
        <f t="shared" si="12"/>
        <v>1</v>
      </c>
      <c r="D60" s="719"/>
      <c r="E60" s="24">
        <f t="shared" si="13"/>
        <v>4.4999999999999998E-2</v>
      </c>
      <c r="F60" s="719"/>
      <c r="G60" s="24">
        <f t="shared" si="14"/>
        <v>0</v>
      </c>
      <c r="H60" s="719"/>
      <c r="I60" s="24">
        <f t="shared" si="15"/>
        <v>0.02</v>
      </c>
      <c r="J60" s="719"/>
      <c r="K60" s="24">
        <f t="shared" si="16"/>
        <v>0</v>
      </c>
      <c r="L60" s="719"/>
      <c r="M60" s="24">
        <f t="shared" si="17"/>
        <v>0.02</v>
      </c>
      <c r="N60" s="719"/>
      <c r="O60" s="24">
        <f t="shared" si="18"/>
        <v>1</v>
      </c>
      <c r="P60" s="719"/>
      <c r="Q60" s="24">
        <f t="shared" si="19"/>
        <v>1</v>
      </c>
      <c r="R60" s="715">
        <f t="shared" si="20"/>
        <v>0</v>
      </c>
      <c r="S60" s="361">
        <f t="shared" si="21"/>
        <v>0</v>
      </c>
    </row>
    <row r="61" spans="1:19">
      <c r="A61" s="159"/>
      <c r="B61" s="59"/>
      <c r="C61" s="24">
        <f t="shared" si="12"/>
        <v>1</v>
      </c>
      <c r="D61" s="719"/>
      <c r="E61" s="24">
        <f t="shared" si="13"/>
        <v>4.4999999999999998E-2</v>
      </c>
      <c r="F61" s="719"/>
      <c r="G61" s="24">
        <f t="shared" si="14"/>
        <v>0</v>
      </c>
      <c r="H61" s="719"/>
      <c r="I61" s="24">
        <f t="shared" si="15"/>
        <v>0.02</v>
      </c>
      <c r="J61" s="719"/>
      <c r="K61" s="24">
        <f t="shared" si="16"/>
        <v>0</v>
      </c>
      <c r="L61" s="719"/>
      <c r="M61" s="24">
        <f t="shared" si="17"/>
        <v>0.02</v>
      </c>
      <c r="N61" s="719"/>
      <c r="O61" s="24">
        <f t="shared" si="18"/>
        <v>1</v>
      </c>
      <c r="P61" s="719"/>
      <c r="Q61" s="24">
        <f t="shared" si="19"/>
        <v>1</v>
      </c>
      <c r="R61" s="715">
        <f t="shared" si="20"/>
        <v>0</v>
      </c>
      <c r="S61" s="361">
        <f t="shared" si="21"/>
        <v>0</v>
      </c>
    </row>
    <row r="62" spans="1:19">
      <c r="A62" s="159"/>
      <c r="B62" s="59"/>
      <c r="C62" s="24">
        <f t="shared" si="12"/>
        <v>1</v>
      </c>
      <c r="D62" s="719"/>
      <c r="E62" s="24">
        <f t="shared" si="13"/>
        <v>4.4999999999999998E-2</v>
      </c>
      <c r="F62" s="719"/>
      <c r="G62" s="24">
        <f t="shared" si="14"/>
        <v>0</v>
      </c>
      <c r="H62" s="719"/>
      <c r="I62" s="24">
        <f t="shared" si="15"/>
        <v>0.02</v>
      </c>
      <c r="J62" s="719"/>
      <c r="K62" s="24">
        <f t="shared" si="16"/>
        <v>0</v>
      </c>
      <c r="L62" s="719"/>
      <c r="M62" s="24">
        <f t="shared" si="17"/>
        <v>0.02</v>
      </c>
      <c r="N62" s="719"/>
      <c r="O62" s="24">
        <f t="shared" si="18"/>
        <v>1</v>
      </c>
      <c r="P62" s="719"/>
      <c r="Q62" s="24">
        <f t="shared" si="19"/>
        <v>1</v>
      </c>
      <c r="R62" s="715">
        <f t="shared" si="20"/>
        <v>0</v>
      </c>
      <c r="S62" s="361">
        <f t="shared" si="21"/>
        <v>0</v>
      </c>
    </row>
    <row r="63" spans="1:19">
      <c r="A63" s="159"/>
      <c r="B63" s="59"/>
      <c r="C63" s="24">
        <f t="shared" si="12"/>
        <v>1</v>
      </c>
      <c r="D63" s="719"/>
      <c r="E63" s="24">
        <f t="shared" si="13"/>
        <v>4.4999999999999998E-2</v>
      </c>
      <c r="F63" s="719"/>
      <c r="G63" s="24">
        <f t="shared" si="14"/>
        <v>0</v>
      </c>
      <c r="H63" s="719"/>
      <c r="I63" s="24">
        <f t="shared" si="15"/>
        <v>0.02</v>
      </c>
      <c r="J63" s="719"/>
      <c r="K63" s="24">
        <f t="shared" si="16"/>
        <v>0</v>
      </c>
      <c r="L63" s="719"/>
      <c r="M63" s="24">
        <f t="shared" si="17"/>
        <v>0.02</v>
      </c>
      <c r="N63" s="719"/>
      <c r="O63" s="24">
        <f t="shared" si="18"/>
        <v>1</v>
      </c>
      <c r="P63" s="719"/>
      <c r="Q63" s="24">
        <f t="shared" si="19"/>
        <v>1</v>
      </c>
      <c r="R63" s="715">
        <f t="shared" si="20"/>
        <v>0</v>
      </c>
      <c r="S63" s="361">
        <f t="shared" si="21"/>
        <v>0</v>
      </c>
    </row>
    <row r="64" spans="1:19">
      <c r="A64" s="159"/>
      <c r="B64" s="59"/>
      <c r="C64" s="24">
        <f t="shared" si="12"/>
        <v>1</v>
      </c>
      <c r="D64" s="719"/>
      <c r="E64" s="24">
        <f t="shared" si="13"/>
        <v>4.4999999999999998E-2</v>
      </c>
      <c r="F64" s="719"/>
      <c r="G64" s="24">
        <f t="shared" si="14"/>
        <v>0</v>
      </c>
      <c r="H64" s="719"/>
      <c r="I64" s="24">
        <f t="shared" si="15"/>
        <v>0.02</v>
      </c>
      <c r="J64" s="719"/>
      <c r="K64" s="24">
        <f t="shared" si="16"/>
        <v>0</v>
      </c>
      <c r="L64" s="719"/>
      <c r="M64" s="24">
        <f t="shared" si="17"/>
        <v>0.02</v>
      </c>
      <c r="N64" s="719"/>
      <c r="O64" s="24">
        <f t="shared" si="18"/>
        <v>1</v>
      </c>
      <c r="P64" s="719"/>
      <c r="Q64" s="24">
        <f t="shared" si="19"/>
        <v>1</v>
      </c>
      <c r="R64" s="715">
        <f t="shared" si="20"/>
        <v>0</v>
      </c>
      <c r="S64" s="361">
        <f t="shared" si="21"/>
        <v>0</v>
      </c>
    </row>
    <row r="65" spans="1:19">
      <c r="A65" s="159"/>
      <c r="B65" s="59"/>
      <c r="C65" s="24">
        <f t="shared" si="12"/>
        <v>1</v>
      </c>
      <c r="D65" s="719"/>
      <c r="E65" s="24">
        <f t="shared" si="13"/>
        <v>4.4999999999999998E-2</v>
      </c>
      <c r="F65" s="719"/>
      <c r="G65" s="24">
        <f t="shared" si="14"/>
        <v>0</v>
      </c>
      <c r="H65" s="719"/>
      <c r="I65" s="24">
        <f t="shared" si="15"/>
        <v>0.02</v>
      </c>
      <c r="J65" s="719"/>
      <c r="K65" s="24">
        <f t="shared" si="16"/>
        <v>0</v>
      </c>
      <c r="L65" s="719"/>
      <c r="M65" s="24">
        <f t="shared" si="17"/>
        <v>0.02</v>
      </c>
      <c r="N65" s="719"/>
      <c r="O65" s="24">
        <f t="shared" si="18"/>
        <v>1</v>
      </c>
      <c r="P65" s="719"/>
      <c r="Q65" s="24">
        <f t="shared" si="19"/>
        <v>1</v>
      </c>
      <c r="R65" s="715">
        <f t="shared" si="20"/>
        <v>0</v>
      </c>
      <c r="S65" s="361">
        <f t="shared" si="21"/>
        <v>0</v>
      </c>
    </row>
    <row r="66" spans="1:19">
      <c r="A66" s="159"/>
      <c r="B66" s="59"/>
      <c r="C66" s="24">
        <f t="shared" si="12"/>
        <v>1</v>
      </c>
      <c r="D66" s="719"/>
      <c r="E66" s="24">
        <f t="shared" si="13"/>
        <v>4.4999999999999998E-2</v>
      </c>
      <c r="F66" s="719"/>
      <c r="G66" s="24">
        <f t="shared" si="14"/>
        <v>0</v>
      </c>
      <c r="H66" s="719"/>
      <c r="I66" s="24">
        <f t="shared" si="15"/>
        <v>0.02</v>
      </c>
      <c r="J66" s="719"/>
      <c r="K66" s="24">
        <f t="shared" si="16"/>
        <v>0</v>
      </c>
      <c r="L66" s="719"/>
      <c r="M66" s="24">
        <f t="shared" si="17"/>
        <v>0.02</v>
      </c>
      <c r="N66" s="719"/>
      <c r="O66" s="24">
        <f t="shared" si="18"/>
        <v>1</v>
      </c>
      <c r="P66" s="719"/>
      <c r="Q66" s="24">
        <f t="shared" si="19"/>
        <v>1</v>
      </c>
      <c r="R66" s="715">
        <f t="shared" si="20"/>
        <v>0</v>
      </c>
      <c r="S66" s="361">
        <f t="shared" si="21"/>
        <v>0</v>
      </c>
    </row>
    <row r="67" spans="1:19">
      <c r="A67" s="159"/>
      <c r="B67" s="59"/>
      <c r="C67" s="24">
        <f t="shared" si="12"/>
        <v>1</v>
      </c>
      <c r="D67" s="719"/>
      <c r="E67" s="24">
        <f t="shared" si="13"/>
        <v>4.4999999999999998E-2</v>
      </c>
      <c r="F67" s="719"/>
      <c r="G67" s="24">
        <f t="shared" si="14"/>
        <v>0</v>
      </c>
      <c r="H67" s="719"/>
      <c r="I67" s="24">
        <f t="shared" si="15"/>
        <v>0.02</v>
      </c>
      <c r="J67" s="719"/>
      <c r="K67" s="24">
        <f t="shared" si="16"/>
        <v>0</v>
      </c>
      <c r="L67" s="719"/>
      <c r="M67" s="24">
        <f t="shared" si="17"/>
        <v>0.02</v>
      </c>
      <c r="N67" s="719"/>
      <c r="O67" s="24">
        <f t="shared" si="18"/>
        <v>1</v>
      </c>
      <c r="P67" s="719"/>
      <c r="Q67" s="24">
        <f t="shared" si="19"/>
        <v>1</v>
      </c>
      <c r="R67" s="715">
        <f t="shared" si="20"/>
        <v>0</v>
      </c>
      <c r="S67" s="361">
        <f t="shared" si="21"/>
        <v>0</v>
      </c>
    </row>
    <row r="68" spans="1:19">
      <c r="A68" s="159"/>
      <c r="B68" s="59"/>
      <c r="C68" s="24">
        <f t="shared" si="12"/>
        <v>1</v>
      </c>
      <c r="D68" s="719"/>
      <c r="E68" s="24">
        <f t="shared" si="13"/>
        <v>4.4999999999999998E-2</v>
      </c>
      <c r="F68" s="719"/>
      <c r="G68" s="24">
        <f t="shared" si="14"/>
        <v>0</v>
      </c>
      <c r="H68" s="719"/>
      <c r="I68" s="24">
        <f t="shared" si="15"/>
        <v>0.02</v>
      </c>
      <c r="J68" s="719"/>
      <c r="K68" s="24">
        <f t="shared" si="16"/>
        <v>0</v>
      </c>
      <c r="L68" s="719"/>
      <c r="M68" s="24">
        <f t="shared" si="17"/>
        <v>0.02</v>
      </c>
      <c r="N68" s="719"/>
      <c r="O68" s="24">
        <f t="shared" si="18"/>
        <v>1</v>
      </c>
      <c r="P68" s="719"/>
      <c r="Q68" s="24">
        <f t="shared" si="19"/>
        <v>1</v>
      </c>
      <c r="R68" s="715">
        <f t="shared" si="20"/>
        <v>0</v>
      </c>
      <c r="S68" s="361">
        <f t="shared" si="21"/>
        <v>0</v>
      </c>
    </row>
    <row r="69" spans="1:19">
      <c r="A69" s="159"/>
      <c r="B69" s="59"/>
      <c r="C69" s="24">
        <f t="shared" si="12"/>
        <v>1</v>
      </c>
      <c r="D69" s="719"/>
      <c r="E69" s="24">
        <f t="shared" si="13"/>
        <v>4.4999999999999998E-2</v>
      </c>
      <c r="F69" s="719"/>
      <c r="G69" s="24">
        <f t="shared" si="14"/>
        <v>0</v>
      </c>
      <c r="H69" s="719"/>
      <c r="I69" s="24">
        <f t="shared" si="15"/>
        <v>0.02</v>
      </c>
      <c r="J69" s="719"/>
      <c r="K69" s="24">
        <f t="shared" si="16"/>
        <v>0</v>
      </c>
      <c r="L69" s="719"/>
      <c r="M69" s="24">
        <f t="shared" si="17"/>
        <v>0.02</v>
      </c>
      <c r="N69" s="719"/>
      <c r="O69" s="24">
        <f t="shared" si="18"/>
        <v>1</v>
      </c>
      <c r="P69" s="719"/>
      <c r="Q69" s="24">
        <f t="shared" si="19"/>
        <v>1</v>
      </c>
      <c r="R69" s="715">
        <f t="shared" si="20"/>
        <v>0</v>
      </c>
      <c r="S69" s="361">
        <f t="shared" si="21"/>
        <v>0</v>
      </c>
    </row>
    <row r="70" spans="1:19">
      <c r="A70" s="159"/>
      <c r="B70" s="59"/>
      <c r="C70" s="24">
        <f t="shared" si="12"/>
        <v>1</v>
      </c>
      <c r="D70" s="719"/>
      <c r="E70" s="24">
        <f t="shared" si="13"/>
        <v>4.4999999999999998E-2</v>
      </c>
      <c r="F70" s="719"/>
      <c r="G70" s="24">
        <f t="shared" si="14"/>
        <v>0</v>
      </c>
      <c r="H70" s="719"/>
      <c r="I70" s="24">
        <f t="shared" si="15"/>
        <v>0.02</v>
      </c>
      <c r="J70" s="719"/>
      <c r="K70" s="24">
        <f t="shared" si="16"/>
        <v>0</v>
      </c>
      <c r="L70" s="719"/>
      <c r="M70" s="24">
        <f t="shared" si="17"/>
        <v>0.02</v>
      </c>
      <c r="N70" s="719"/>
      <c r="O70" s="24">
        <f t="shared" si="18"/>
        <v>1</v>
      </c>
      <c r="P70" s="719"/>
      <c r="Q70" s="24">
        <f t="shared" si="19"/>
        <v>1</v>
      </c>
      <c r="R70" s="715">
        <f t="shared" si="20"/>
        <v>0</v>
      </c>
      <c r="S70" s="361">
        <f t="shared" si="21"/>
        <v>0</v>
      </c>
    </row>
    <row r="71" spans="1:19">
      <c r="A71" s="159"/>
      <c r="B71" s="59"/>
      <c r="C71" s="24">
        <f t="shared" si="12"/>
        <v>1</v>
      </c>
      <c r="D71" s="719"/>
      <c r="E71" s="24">
        <f t="shared" si="13"/>
        <v>4.4999999999999998E-2</v>
      </c>
      <c r="F71" s="719"/>
      <c r="G71" s="24">
        <f t="shared" si="14"/>
        <v>0</v>
      </c>
      <c r="H71" s="719"/>
      <c r="I71" s="24">
        <f t="shared" si="15"/>
        <v>0.02</v>
      </c>
      <c r="J71" s="719"/>
      <c r="K71" s="24">
        <f t="shared" si="16"/>
        <v>0</v>
      </c>
      <c r="L71" s="719"/>
      <c r="M71" s="24">
        <f t="shared" si="17"/>
        <v>0.02</v>
      </c>
      <c r="N71" s="719"/>
      <c r="O71" s="24">
        <f t="shared" si="18"/>
        <v>1</v>
      </c>
      <c r="P71" s="719"/>
      <c r="Q71" s="24">
        <f t="shared" si="19"/>
        <v>1</v>
      </c>
      <c r="R71" s="715">
        <f t="shared" si="20"/>
        <v>0</v>
      </c>
      <c r="S71" s="361">
        <f t="shared" si="21"/>
        <v>0</v>
      </c>
    </row>
    <row r="72" spans="1:19">
      <c r="A72" s="159"/>
      <c r="B72" s="59"/>
      <c r="C72" s="24">
        <f t="shared" si="12"/>
        <v>1</v>
      </c>
      <c r="D72" s="719"/>
      <c r="E72" s="24">
        <f t="shared" si="13"/>
        <v>4.4999999999999998E-2</v>
      </c>
      <c r="F72" s="719"/>
      <c r="G72" s="24">
        <f t="shared" si="14"/>
        <v>0</v>
      </c>
      <c r="H72" s="719"/>
      <c r="I72" s="24">
        <f t="shared" si="15"/>
        <v>0.02</v>
      </c>
      <c r="J72" s="719"/>
      <c r="K72" s="24">
        <f t="shared" si="16"/>
        <v>0</v>
      </c>
      <c r="L72" s="719"/>
      <c r="M72" s="24">
        <f t="shared" si="17"/>
        <v>0.02</v>
      </c>
      <c r="N72" s="719"/>
      <c r="O72" s="24">
        <f t="shared" si="18"/>
        <v>1</v>
      </c>
      <c r="P72" s="719"/>
      <c r="Q72" s="24">
        <f t="shared" si="19"/>
        <v>1</v>
      </c>
      <c r="R72" s="715">
        <f t="shared" si="20"/>
        <v>0</v>
      </c>
      <c r="S72" s="361">
        <f t="shared" si="21"/>
        <v>0</v>
      </c>
    </row>
    <row r="73" spans="1:19">
      <c r="A73" s="159"/>
      <c r="B73" s="59"/>
      <c r="C73" s="24">
        <f t="shared" si="12"/>
        <v>1</v>
      </c>
      <c r="D73" s="719"/>
      <c r="E73" s="24">
        <f t="shared" si="13"/>
        <v>4.4999999999999998E-2</v>
      </c>
      <c r="F73" s="719"/>
      <c r="G73" s="24">
        <f t="shared" si="14"/>
        <v>0</v>
      </c>
      <c r="H73" s="719"/>
      <c r="I73" s="24">
        <f t="shared" si="15"/>
        <v>0.02</v>
      </c>
      <c r="J73" s="719"/>
      <c r="K73" s="24">
        <f t="shared" si="16"/>
        <v>0</v>
      </c>
      <c r="L73" s="719"/>
      <c r="M73" s="24">
        <f t="shared" si="17"/>
        <v>0.02</v>
      </c>
      <c r="N73" s="719"/>
      <c r="O73" s="24">
        <f t="shared" si="18"/>
        <v>1</v>
      </c>
      <c r="P73" s="719"/>
      <c r="Q73" s="24">
        <f t="shared" si="19"/>
        <v>1</v>
      </c>
      <c r="R73" s="715">
        <f t="shared" si="20"/>
        <v>0</v>
      </c>
      <c r="S73" s="361">
        <f t="shared" si="21"/>
        <v>0</v>
      </c>
    </row>
    <row r="74" spans="1:19">
      <c r="A74" s="159"/>
      <c r="B74" s="59"/>
      <c r="C74" s="24">
        <f t="shared" si="12"/>
        <v>1</v>
      </c>
      <c r="D74" s="719"/>
      <c r="E74" s="24">
        <f t="shared" si="13"/>
        <v>4.4999999999999998E-2</v>
      </c>
      <c r="F74" s="719"/>
      <c r="G74" s="24">
        <f t="shared" si="14"/>
        <v>0</v>
      </c>
      <c r="H74" s="719"/>
      <c r="I74" s="24">
        <f t="shared" si="15"/>
        <v>0.02</v>
      </c>
      <c r="J74" s="719"/>
      <c r="K74" s="24">
        <f t="shared" si="16"/>
        <v>0</v>
      </c>
      <c r="L74" s="719"/>
      <c r="M74" s="24">
        <f t="shared" si="17"/>
        <v>0.02</v>
      </c>
      <c r="N74" s="719"/>
      <c r="O74" s="24">
        <f t="shared" si="18"/>
        <v>1</v>
      </c>
      <c r="P74" s="719"/>
      <c r="Q74" s="24">
        <f t="shared" si="19"/>
        <v>1</v>
      </c>
      <c r="R74" s="715">
        <f t="shared" si="20"/>
        <v>0</v>
      </c>
      <c r="S74" s="361">
        <f t="shared" si="21"/>
        <v>0</v>
      </c>
    </row>
    <row r="75" spans="1:19">
      <c r="A75" s="159"/>
      <c r="B75" s="59"/>
      <c r="C75" s="24">
        <f t="shared" si="12"/>
        <v>1</v>
      </c>
      <c r="D75" s="719"/>
      <c r="E75" s="24">
        <f t="shared" si="13"/>
        <v>4.4999999999999998E-2</v>
      </c>
      <c r="F75" s="719"/>
      <c r="G75" s="24">
        <f t="shared" si="14"/>
        <v>0</v>
      </c>
      <c r="H75" s="719"/>
      <c r="I75" s="24">
        <f t="shared" si="15"/>
        <v>0.02</v>
      </c>
      <c r="J75" s="719"/>
      <c r="K75" s="24">
        <f t="shared" si="16"/>
        <v>0</v>
      </c>
      <c r="L75" s="719"/>
      <c r="M75" s="24">
        <f t="shared" si="17"/>
        <v>0.02</v>
      </c>
      <c r="N75" s="719"/>
      <c r="O75" s="24">
        <f t="shared" si="18"/>
        <v>1</v>
      </c>
      <c r="P75" s="719"/>
      <c r="Q75" s="24">
        <f t="shared" si="19"/>
        <v>1</v>
      </c>
      <c r="R75" s="715">
        <f t="shared" si="20"/>
        <v>0</v>
      </c>
      <c r="S75" s="361">
        <f t="shared" si="21"/>
        <v>0</v>
      </c>
    </row>
    <row r="76" spans="1:19">
      <c r="A76" s="159"/>
      <c r="B76" s="59"/>
      <c r="C76" s="24">
        <f t="shared" si="12"/>
        <v>1</v>
      </c>
      <c r="D76" s="719"/>
      <c r="E76" s="24">
        <f t="shared" si="13"/>
        <v>4.4999999999999998E-2</v>
      </c>
      <c r="F76" s="719"/>
      <c r="G76" s="24">
        <f t="shared" si="14"/>
        <v>0</v>
      </c>
      <c r="H76" s="719"/>
      <c r="I76" s="24">
        <f t="shared" si="15"/>
        <v>0.02</v>
      </c>
      <c r="J76" s="719"/>
      <c r="K76" s="24">
        <f t="shared" si="16"/>
        <v>0</v>
      </c>
      <c r="L76" s="719"/>
      <c r="M76" s="24">
        <f t="shared" si="17"/>
        <v>0.02</v>
      </c>
      <c r="N76" s="719"/>
      <c r="O76" s="24">
        <f t="shared" si="18"/>
        <v>1</v>
      </c>
      <c r="P76" s="719"/>
      <c r="Q76" s="24">
        <f t="shared" si="19"/>
        <v>1</v>
      </c>
      <c r="R76" s="715">
        <f t="shared" si="20"/>
        <v>0</v>
      </c>
      <c r="S76" s="361">
        <f t="shared" si="21"/>
        <v>0</v>
      </c>
    </row>
    <row r="77" spans="1:19">
      <c r="A77" s="159"/>
      <c r="B77" s="59"/>
      <c r="C77" s="24">
        <f t="shared" si="12"/>
        <v>1</v>
      </c>
      <c r="D77" s="719"/>
      <c r="E77" s="24">
        <f t="shared" si="13"/>
        <v>4.4999999999999998E-2</v>
      </c>
      <c r="F77" s="719"/>
      <c r="G77" s="24">
        <f t="shared" si="14"/>
        <v>0</v>
      </c>
      <c r="H77" s="719"/>
      <c r="I77" s="24">
        <f t="shared" si="15"/>
        <v>0.02</v>
      </c>
      <c r="J77" s="719"/>
      <c r="K77" s="24">
        <f t="shared" si="16"/>
        <v>0</v>
      </c>
      <c r="L77" s="719"/>
      <c r="M77" s="24">
        <f t="shared" si="17"/>
        <v>0.02</v>
      </c>
      <c r="N77" s="719"/>
      <c r="O77" s="24">
        <f t="shared" si="18"/>
        <v>1</v>
      </c>
      <c r="P77" s="719"/>
      <c r="Q77" s="24">
        <f t="shared" si="19"/>
        <v>1</v>
      </c>
      <c r="R77" s="715">
        <f t="shared" si="20"/>
        <v>0</v>
      </c>
      <c r="S77" s="361">
        <f t="shared" si="21"/>
        <v>0</v>
      </c>
    </row>
    <row r="78" spans="1:19">
      <c r="A78" s="159"/>
      <c r="B78" s="59"/>
      <c r="C78" s="24">
        <f t="shared" si="12"/>
        <v>1</v>
      </c>
      <c r="D78" s="719"/>
      <c r="E78" s="24">
        <f t="shared" si="13"/>
        <v>4.4999999999999998E-2</v>
      </c>
      <c r="F78" s="719"/>
      <c r="G78" s="24">
        <f t="shared" si="14"/>
        <v>0</v>
      </c>
      <c r="H78" s="719"/>
      <c r="I78" s="24">
        <f t="shared" si="15"/>
        <v>0.02</v>
      </c>
      <c r="J78" s="719"/>
      <c r="K78" s="24">
        <f t="shared" si="16"/>
        <v>0</v>
      </c>
      <c r="L78" s="719"/>
      <c r="M78" s="24">
        <f t="shared" si="17"/>
        <v>0.02</v>
      </c>
      <c r="N78" s="719"/>
      <c r="O78" s="24">
        <f t="shared" si="18"/>
        <v>1</v>
      </c>
      <c r="P78" s="719"/>
      <c r="Q78" s="24">
        <f t="shared" si="19"/>
        <v>1</v>
      </c>
      <c r="R78" s="715">
        <f t="shared" si="20"/>
        <v>0</v>
      </c>
      <c r="S78" s="361">
        <f t="shared" ref="S78:S122" si="22">ROUND(R78*B78/10000,0)</f>
        <v>0</v>
      </c>
    </row>
    <row r="79" spans="1:19">
      <c r="A79" s="159"/>
      <c r="B79" s="59"/>
      <c r="C79" s="24">
        <f t="shared" si="12"/>
        <v>1</v>
      </c>
      <c r="D79" s="719"/>
      <c r="E79" s="24">
        <f t="shared" si="13"/>
        <v>4.4999999999999998E-2</v>
      </c>
      <c r="F79" s="719"/>
      <c r="G79" s="24">
        <f t="shared" si="14"/>
        <v>0</v>
      </c>
      <c r="H79" s="719"/>
      <c r="I79" s="24">
        <f t="shared" si="15"/>
        <v>0.02</v>
      </c>
      <c r="J79" s="719"/>
      <c r="K79" s="24">
        <f t="shared" si="16"/>
        <v>0</v>
      </c>
      <c r="L79" s="719"/>
      <c r="M79" s="24">
        <f t="shared" si="17"/>
        <v>0.02</v>
      </c>
      <c r="N79" s="719"/>
      <c r="O79" s="24">
        <f t="shared" si="18"/>
        <v>1</v>
      </c>
      <c r="P79" s="719"/>
      <c r="Q79" s="24">
        <f t="shared" si="19"/>
        <v>1</v>
      </c>
      <c r="R79" s="715">
        <f t="shared" si="20"/>
        <v>0</v>
      </c>
      <c r="S79" s="361">
        <f t="shared" si="22"/>
        <v>0</v>
      </c>
    </row>
    <row r="80" spans="1:19">
      <c r="A80" s="159"/>
      <c r="B80" s="59"/>
      <c r="C80" s="24">
        <f t="shared" si="12"/>
        <v>1</v>
      </c>
      <c r="D80" s="719"/>
      <c r="E80" s="24">
        <f t="shared" si="13"/>
        <v>4.4999999999999998E-2</v>
      </c>
      <c r="F80" s="719"/>
      <c r="G80" s="24">
        <f t="shared" si="14"/>
        <v>0</v>
      </c>
      <c r="H80" s="719"/>
      <c r="I80" s="24">
        <f t="shared" si="15"/>
        <v>0.02</v>
      </c>
      <c r="J80" s="719"/>
      <c r="K80" s="24">
        <f t="shared" si="16"/>
        <v>0</v>
      </c>
      <c r="L80" s="719"/>
      <c r="M80" s="24">
        <f t="shared" si="17"/>
        <v>0.02</v>
      </c>
      <c r="N80" s="719"/>
      <c r="O80" s="24">
        <f t="shared" si="18"/>
        <v>1</v>
      </c>
      <c r="P80" s="719"/>
      <c r="Q80" s="24">
        <f t="shared" si="19"/>
        <v>1</v>
      </c>
      <c r="R80" s="715">
        <f t="shared" si="20"/>
        <v>0</v>
      </c>
      <c r="S80" s="361">
        <f t="shared" si="22"/>
        <v>0</v>
      </c>
    </row>
    <row r="81" spans="1:19">
      <c r="A81" s="159"/>
      <c r="B81" s="59"/>
      <c r="C81" s="24">
        <f t="shared" si="12"/>
        <v>1</v>
      </c>
      <c r="D81" s="719"/>
      <c r="E81" s="24">
        <f t="shared" si="13"/>
        <v>4.4999999999999998E-2</v>
      </c>
      <c r="F81" s="719"/>
      <c r="G81" s="24">
        <f t="shared" si="14"/>
        <v>0</v>
      </c>
      <c r="H81" s="719"/>
      <c r="I81" s="24">
        <f t="shared" si="15"/>
        <v>0.02</v>
      </c>
      <c r="J81" s="719"/>
      <c r="K81" s="24">
        <f t="shared" si="16"/>
        <v>0</v>
      </c>
      <c r="L81" s="719"/>
      <c r="M81" s="24">
        <f t="shared" si="17"/>
        <v>0.02</v>
      </c>
      <c r="N81" s="719"/>
      <c r="O81" s="24">
        <f t="shared" si="18"/>
        <v>1</v>
      </c>
      <c r="P81" s="719"/>
      <c r="Q81" s="24">
        <f t="shared" si="19"/>
        <v>1</v>
      </c>
      <c r="R81" s="715">
        <f t="shared" si="20"/>
        <v>0</v>
      </c>
      <c r="S81" s="361">
        <f t="shared" si="22"/>
        <v>0</v>
      </c>
    </row>
    <row r="82" spans="1:19">
      <c r="A82" s="159"/>
      <c r="B82" s="59"/>
      <c r="C82" s="24">
        <f t="shared" si="12"/>
        <v>1</v>
      </c>
      <c r="D82" s="719"/>
      <c r="E82" s="24">
        <f t="shared" si="13"/>
        <v>4.4999999999999998E-2</v>
      </c>
      <c r="F82" s="719"/>
      <c r="G82" s="24">
        <f t="shared" si="14"/>
        <v>0</v>
      </c>
      <c r="H82" s="719"/>
      <c r="I82" s="24">
        <f t="shared" si="15"/>
        <v>0.02</v>
      </c>
      <c r="J82" s="719"/>
      <c r="K82" s="24">
        <f t="shared" si="16"/>
        <v>0</v>
      </c>
      <c r="L82" s="719"/>
      <c r="M82" s="24">
        <f t="shared" si="17"/>
        <v>0.02</v>
      </c>
      <c r="N82" s="719"/>
      <c r="O82" s="24">
        <f t="shared" si="18"/>
        <v>1</v>
      </c>
      <c r="P82" s="719"/>
      <c r="Q82" s="24">
        <f t="shared" si="19"/>
        <v>1</v>
      </c>
      <c r="R82" s="715">
        <f t="shared" si="20"/>
        <v>0</v>
      </c>
      <c r="S82" s="361">
        <f t="shared" si="22"/>
        <v>0</v>
      </c>
    </row>
    <row r="83" spans="1:19">
      <c r="A83" s="159"/>
      <c r="B83" s="59"/>
      <c r="C83" s="24">
        <f t="shared" si="12"/>
        <v>1</v>
      </c>
      <c r="D83" s="719"/>
      <c r="E83" s="24">
        <f t="shared" si="13"/>
        <v>4.4999999999999998E-2</v>
      </c>
      <c r="F83" s="719"/>
      <c r="G83" s="24">
        <f t="shared" si="14"/>
        <v>0</v>
      </c>
      <c r="H83" s="719"/>
      <c r="I83" s="24">
        <f t="shared" si="15"/>
        <v>0.02</v>
      </c>
      <c r="J83" s="719"/>
      <c r="K83" s="24">
        <f t="shared" si="16"/>
        <v>0</v>
      </c>
      <c r="L83" s="719"/>
      <c r="M83" s="24">
        <f t="shared" si="17"/>
        <v>0.02</v>
      </c>
      <c r="N83" s="719"/>
      <c r="O83" s="24">
        <f t="shared" si="18"/>
        <v>1</v>
      </c>
      <c r="P83" s="719"/>
      <c r="Q83" s="24">
        <f t="shared" si="19"/>
        <v>1</v>
      </c>
      <c r="R83" s="715">
        <f t="shared" si="20"/>
        <v>0</v>
      </c>
      <c r="S83" s="361">
        <f t="shared" si="22"/>
        <v>0</v>
      </c>
    </row>
    <row r="84" spans="1:19">
      <c r="A84" s="159"/>
      <c r="B84" s="59"/>
      <c r="C84" s="24">
        <f t="shared" si="12"/>
        <v>1</v>
      </c>
      <c r="D84" s="719"/>
      <c r="E84" s="24">
        <f t="shared" si="13"/>
        <v>4.4999999999999998E-2</v>
      </c>
      <c r="F84" s="719"/>
      <c r="G84" s="24">
        <f t="shared" si="14"/>
        <v>0</v>
      </c>
      <c r="H84" s="719"/>
      <c r="I84" s="24">
        <f t="shared" si="15"/>
        <v>0.02</v>
      </c>
      <c r="J84" s="719"/>
      <c r="K84" s="24">
        <f t="shared" si="16"/>
        <v>0</v>
      </c>
      <c r="L84" s="719"/>
      <c r="M84" s="24">
        <f t="shared" si="17"/>
        <v>0.02</v>
      </c>
      <c r="N84" s="719"/>
      <c r="O84" s="24">
        <f t="shared" si="18"/>
        <v>1</v>
      </c>
      <c r="P84" s="719"/>
      <c r="Q84" s="24">
        <f t="shared" si="19"/>
        <v>1</v>
      </c>
      <c r="R84" s="715">
        <f t="shared" si="20"/>
        <v>0</v>
      </c>
      <c r="S84" s="361">
        <f t="shared" si="22"/>
        <v>0</v>
      </c>
    </row>
    <row r="85" spans="1:19">
      <c r="A85" s="159"/>
      <c r="B85" s="59"/>
      <c r="C85" s="24">
        <f t="shared" si="12"/>
        <v>1</v>
      </c>
      <c r="D85" s="719"/>
      <c r="E85" s="24">
        <f t="shared" si="13"/>
        <v>4.4999999999999998E-2</v>
      </c>
      <c r="F85" s="719"/>
      <c r="G85" s="24">
        <f t="shared" si="14"/>
        <v>0</v>
      </c>
      <c r="H85" s="719"/>
      <c r="I85" s="24">
        <f t="shared" si="15"/>
        <v>0.02</v>
      </c>
      <c r="J85" s="719"/>
      <c r="K85" s="24">
        <f t="shared" si="16"/>
        <v>0</v>
      </c>
      <c r="L85" s="719"/>
      <c r="M85" s="24">
        <f t="shared" si="17"/>
        <v>0.02</v>
      </c>
      <c r="N85" s="719"/>
      <c r="O85" s="24">
        <f t="shared" si="18"/>
        <v>1</v>
      </c>
      <c r="P85" s="719"/>
      <c r="Q85" s="24">
        <f t="shared" si="19"/>
        <v>1</v>
      </c>
      <c r="R85" s="715">
        <f t="shared" si="20"/>
        <v>0</v>
      </c>
      <c r="S85" s="361">
        <f t="shared" si="22"/>
        <v>0</v>
      </c>
    </row>
    <row r="86" spans="1:19">
      <c r="A86" s="159"/>
      <c r="B86" s="59"/>
      <c r="C86" s="24">
        <f t="shared" si="12"/>
        <v>1</v>
      </c>
      <c r="D86" s="719"/>
      <c r="E86" s="24">
        <f t="shared" si="13"/>
        <v>4.4999999999999998E-2</v>
      </c>
      <c r="F86" s="719"/>
      <c r="G86" s="24">
        <f t="shared" si="14"/>
        <v>0</v>
      </c>
      <c r="H86" s="719"/>
      <c r="I86" s="24">
        <f t="shared" si="15"/>
        <v>0.02</v>
      </c>
      <c r="J86" s="719"/>
      <c r="K86" s="24">
        <f t="shared" si="16"/>
        <v>0</v>
      </c>
      <c r="L86" s="719"/>
      <c r="M86" s="24">
        <f t="shared" si="17"/>
        <v>0.02</v>
      </c>
      <c r="N86" s="719"/>
      <c r="O86" s="24">
        <f t="shared" si="18"/>
        <v>1</v>
      </c>
      <c r="P86" s="719"/>
      <c r="Q86" s="24">
        <f t="shared" si="19"/>
        <v>1</v>
      </c>
      <c r="R86" s="715">
        <f t="shared" si="20"/>
        <v>0</v>
      </c>
      <c r="S86" s="361">
        <f t="shared" si="22"/>
        <v>0</v>
      </c>
    </row>
    <row r="87" spans="1:19">
      <c r="A87" s="159"/>
      <c r="B87" s="59"/>
      <c r="C87" s="24">
        <f t="shared" si="12"/>
        <v>1</v>
      </c>
      <c r="D87" s="719"/>
      <c r="E87" s="24">
        <f t="shared" si="13"/>
        <v>4.4999999999999998E-2</v>
      </c>
      <c r="F87" s="719"/>
      <c r="G87" s="24">
        <f t="shared" si="14"/>
        <v>0</v>
      </c>
      <c r="H87" s="719"/>
      <c r="I87" s="24">
        <f t="shared" si="15"/>
        <v>0.02</v>
      </c>
      <c r="J87" s="719"/>
      <c r="K87" s="24">
        <f t="shared" si="16"/>
        <v>0</v>
      </c>
      <c r="L87" s="719"/>
      <c r="M87" s="24">
        <f t="shared" si="17"/>
        <v>0.02</v>
      </c>
      <c r="N87" s="719"/>
      <c r="O87" s="24">
        <f t="shared" si="18"/>
        <v>1</v>
      </c>
      <c r="P87" s="719"/>
      <c r="Q87" s="24">
        <f t="shared" si="19"/>
        <v>1</v>
      </c>
      <c r="R87" s="715">
        <f t="shared" si="20"/>
        <v>0</v>
      </c>
      <c r="S87" s="361">
        <f t="shared" si="22"/>
        <v>0</v>
      </c>
    </row>
    <row r="88" spans="1:19">
      <c r="A88" s="159"/>
      <c r="B88" s="59"/>
      <c r="C88" s="24">
        <f t="shared" si="12"/>
        <v>1</v>
      </c>
      <c r="D88" s="719"/>
      <c r="E88" s="24">
        <f t="shared" si="13"/>
        <v>4.4999999999999998E-2</v>
      </c>
      <c r="F88" s="719"/>
      <c r="G88" s="24">
        <f t="shared" si="14"/>
        <v>0</v>
      </c>
      <c r="H88" s="719"/>
      <c r="I88" s="24">
        <f t="shared" si="15"/>
        <v>0.02</v>
      </c>
      <c r="J88" s="719"/>
      <c r="K88" s="24">
        <f t="shared" si="16"/>
        <v>0</v>
      </c>
      <c r="L88" s="719"/>
      <c r="M88" s="24">
        <f t="shared" si="17"/>
        <v>0.02</v>
      </c>
      <c r="N88" s="719"/>
      <c r="O88" s="24">
        <f t="shared" si="18"/>
        <v>1</v>
      </c>
      <c r="P88" s="719"/>
      <c r="Q88" s="24">
        <f t="shared" si="19"/>
        <v>1</v>
      </c>
      <c r="R88" s="715">
        <f t="shared" si="20"/>
        <v>0</v>
      </c>
      <c r="S88" s="361">
        <f t="shared" si="22"/>
        <v>0</v>
      </c>
    </row>
    <row r="89" spans="1:19">
      <c r="A89" s="159"/>
      <c r="B89" s="59"/>
      <c r="C89" s="24">
        <f t="shared" si="12"/>
        <v>1</v>
      </c>
      <c r="D89" s="719"/>
      <c r="E89" s="24">
        <f t="shared" si="13"/>
        <v>4.4999999999999998E-2</v>
      </c>
      <c r="F89" s="719"/>
      <c r="G89" s="24">
        <f t="shared" si="14"/>
        <v>0</v>
      </c>
      <c r="H89" s="719"/>
      <c r="I89" s="24">
        <f t="shared" si="15"/>
        <v>0.02</v>
      </c>
      <c r="J89" s="719"/>
      <c r="K89" s="24">
        <f t="shared" si="16"/>
        <v>0</v>
      </c>
      <c r="L89" s="719"/>
      <c r="M89" s="24">
        <f t="shared" si="17"/>
        <v>0.02</v>
      </c>
      <c r="N89" s="719"/>
      <c r="O89" s="24">
        <f t="shared" si="18"/>
        <v>1</v>
      </c>
      <c r="P89" s="719"/>
      <c r="Q89" s="24">
        <f t="shared" si="19"/>
        <v>1</v>
      </c>
      <c r="R89" s="715">
        <f t="shared" si="20"/>
        <v>0</v>
      </c>
      <c r="S89" s="361">
        <f t="shared" si="22"/>
        <v>0</v>
      </c>
    </row>
    <row r="90" spans="1:19">
      <c r="A90" s="159"/>
      <c r="B90" s="59"/>
      <c r="C90" s="24">
        <f t="shared" ref="C90:C153" si="23">IF(B90="",1,(LOOKUP(B90,$3:$3,$4:$4)-LOOKUP($B$24,$3:$3,$4:$4)+100)/100)</f>
        <v>1</v>
      </c>
      <c r="D90" s="719"/>
      <c r="E90" s="24">
        <f t="shared" ref="E90:E153" si="24">(SUMIF($5:$5,D90,$6:$6)-SUMIF($5:$5,$D$24,$6:$6)+100)/100</f>
        <v>4.4999999999999998E-2</v>
      </c>
      <c r="F90" s="719"/>
      <c r="G90" s="24">
        <f t="shared" ref="G90:G153" si="25">(SUMIF($7:$7,F90,$8:$8)-SUMIF($7:$7,$F$24,$8:$8)+100)/100</f>
        <v>0</v>
      </c>
      <c r="H90" s="719"/>
      <c r="I90" s="24">
        <f t="shared" ref="I90:I153" si="26">(SUMIF($9:$9,H90,$10:$10)-SUMIF($9:$9,$H$24,$10:$10)+100)/100</f>
        <v>0.02</v>
      </c>
      <c r="J90" s="719"/>
      <c r="K90" s="24">
        <f t="shared" ref="K90:K153" si="27">(SUMIF($11:$11,J90,$12:$12)-SUMIF($11:$11,$J$24,$12:$12)+100)/100</f>
        <v>0</v>
      </c>
      <c r="L90" s="719"/>
      <c r="M90" s="24">
        <f t="shared" ref="M90:M153" si="28">(SUMIF($13:$13,L90,$14:$14)-SUMIF($13:$13,$L$24,$14:$14)+100)/100</f>
        <v>0.02</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1">
        <f t="shared" si="22"/>
        <v>0</v>
      </c>
    </row>
    <row r="91" spans="1:19">
      <c r="A91" s="159"/>
      <c r="B91" s="59"/>
      <c r="C91" s="24">
        <f t="shared" si="23"/>
        <v>1</v>
      </c>
      <c r="D91" s="719"/>
      <c r="E91" s="24">
        <f t="shared" si="24"/>
        <v>4.4999999999999998E-2</v>
      </c>
      <c r="F91" s="719"/>
      <c r="G91" s="24">
        <f t="shared" si="25"/>
        <v>0</v>
      </c>
      <c r="H91" s="719"/>
      <c r="I91" s="24">
        <f t="shared" si="26"/>
        <v>0.02</v>
      </c>
      <c r="J91" s="719"/>
      <c r="K91" s="24">
        <f t="shared" si="27"/>
        <v>0</v>
      </c>
      <c r="L91" s="719"/>
      <c r="M91" s="24">
        <f t="shared" si="28"/>
        <v>0.02</v>
      </c>
      <c r="N91" s="719"/>
      <c r="O91" s="24">
        <f t="shared" si="29"/>
        <v>1</v>
      </c>
      <c r="P91" s="719"/>
      <c r="Q91" s="24">
        <f t="shared" si="30"/>
        <v>1</v>
      </c>
      <c r="R91" s="715">
        <f t="shared" si="31"/>
        <v>0</v>
      </c>
      <c r="S91" s="361">
        <f t="shared" si="22"/>
        <v>0</v>
      </c>
    </row>
    <row r="92" spans="1:19">
      <c r="A92" s="159"/>
      <c r="B92" s="59"/>
      <c r="C92" s="24">
        <f t="shared" si="23"/>
        <v>1</v>
      </c>
      <c r="D92" s="719"/>
      <c r="E92" s="24">
        <f t="shared" si="24"/>
        <v>4.4999999999999998E-2</v>
      </c>
      <c r="F92" s="719"/>
      <c r="G92" s="24">
        <f t="shared" si="25"/>
        <v>0</v>
      </c>
      <c r="H92" s="719"/>
      <c r="I92" s="24">
        <f t="shared" si="26"/>
        <v>0.02</v>
      </c>
      <c r="J92" s="719"/>
      <c r="K92" s="24">
        <f t="shared" si="27"/>
        <v>0</v>
      </c>
      <c r="L92" s="719"/>
      <c r="M92" s="24">
        <f t="shared" si="28"/>
        <v>0.02</v>
      </c>
      <c r="N92" s="719"/>
      <c r="O92" s="24">
        <f t="shared" si="29"/>
        <v>1</v>
      </c>
      <c r="P92" s="719"/>
      <c r="Q92" s="24">
        <f t="shared" si="30"/>
        <v>1</v>
      </c>
      <c r="R92" s="715">
        <f t="shared" si="31"/>
        <v>0</v>
      </c>
      <c r="S92" s="361">
        <f t="shared" si="22"/>
        <v>0</v>
      </c>
    </row>
    <row r="93" spans="1:19">
      <c r="A93" s="159"/>
      <c r="B93" s="59"/>
      <c r="C93" s="24">
        <f t="shared" si="23"/>
        <v>1</v>
      </c>
      <c r="D93" s="719"/>
      <c r="E93" s="24">
        <f t="shared" si="24"/>
        <v>4.4999999999999998E-2</v>
      </c>
      <c r="F93" s="719"/>
      <c r="G93" s="24">
        <f t="shared" si="25"/>
        <v>0</v>
      </c>
      <c r="H93" s="719"/>
      <c r="I93" s="24">
        <f t="shared" si="26"/>
        <v>0.02</v>
      </c>
      <c r="J93" s="719"/>
      <c r="K93" s="24">
        <f t="shared" si="27"/>
        <v>0</v>
      </c>
      <c r="L93" s="719"/>
      <c r="M93" s="24">
        <f t="shared" si="28"/>
        <v>0.02</v>
      </c>
      <c r="N93" s="719"/>
      <c r="O93" s="24">
        <f t="shared" si="29"/>
        <v>1</v>
      </c>
      <c r="P93" s="719"/>
      <c r="Q93" s="24">
        <f t="shared" si="30"/>
        <v>1</v>
      </c>
      <c r="R93" s="715">
        <f t="shared" si="31"/>
        <v>0</v>
      </c>
      <c r="S93" s="361">
        <f t="shared" si="22"/>
        <v>0</v>
      </c>
    </row>
    <row r="94" spans="1:19">
      <c r="A94" s="159"/>
      <c r="B94" s="59"/>
      <c r="C94" s="24">
        <f t="shared" si="23"/>
        <v>1</v>
      </c>
      <c r="D94" s="719"/>
      <c r="E94" s="24">
        <f t="shared" si="24"/>
        <v>4.4999999999999998E-2</v>
      </c>
      <c r="F94" s="719"/>
      <c r="G94" s="24">
        <f t="shared" si="25"/>
        <v>0</v>
      </c>
      <c r="H94" s="719"/>
      <c r="I94" s="24">
        <f t="shared" si="26"/>
        <v>0.02</v>
      </c>
      <c r="J94" s="719"/>
      <c r="K94" s="24">
        <f t="shared" si="27"/>
        <v>0</v>
      </c>
      <c r="L94" s="719"/>
      <c r="M94" s="24">
        <f t="shared" si="28"/>
        <v>0.02</v>
      </c>
      <c r="N94" s="719"/>
      <c r="O94" s="24">
        <f t="shared" si="29"/>
        <v>1</v>
      </c>
      <c r="P94" s="719"/>
      <c r="Q94" s="24">
        <f t="shared" si="30"/>
        <v>1</v>
      </c>
      <c r="R94" s="715">
        <f t="shared" si="31"/>
        <v>0</v>
      </c>
      <c r="S94" s="361">
        <f t="shared" si="22"/>
        <v>0</v>
      </c>
    </row>
    <row r="95" spans="1:19">
      <c r="A95" s="159"/>
      <c r="B95" s="59"/>
      <c r="C95" s="24">
        <f t="shared" si="23"/>
        <v>1</v>
      </c>
      <c r="D95" s="719"/>
      <c r="E95" s="24">
        <f t="shared" si="24"/>
        <v>4.4999999999999998E-2</v>
      </c>
      <c r="F95" s="719"/>
      <c r="G95" s="24">
        <f t="shared" si="25"/>
        <v>0</v>
      </c>
      <c r="H95" s="719"/>
      <c r="I95" s="24">
        <f t="shared" si="26"/>
        <v>0.02</v>
      </c>
      <c r="J95" s="719"/>
      <c r="K95" s="24">
        <f t="shared" si="27"/>
        <v>0</v>
      </c>
      <c r="L95" s="719"/>
      <c r="M95" s="24">
        <f t="shared" si="28"/>
        <v>0.02</v>
      </c>
      <c r="N95" s="719"/>
      <c r="O95" s="24">
        <f t="shared" si="29"/>
        <v>1</v>
      </c>
      <c r="P95" s="719"/>
      <c r="Q95" s="24">
        <f t="shared" si="30"/>
        <v>1</v>
      </c>
      <c r="R95" s="715">
        <f t="shared" si="31"/>
        <v>0</v>
      </c>
      <c r="S95" s="361">
        <f t="shared" si="22"/>
        <v>0</v>
      </c>
    </row>
    <row r="96" spans="1:19">
      <c r="A96" s="159"/>
      <c r="B96" s="59"/>
      <c r="C96" s="24">
        <f t="shared" si="23"/>
        <v>1</v>
      </c>
      <c r="D96" s="719"/>
      <c r="E96" s="24">
        <f t="shared" si="24"/>
        <v>4.4999999999999998E-2</v>
      </c>
      <c r="F96" s="719"/>
      <c r="G96" s="24">
        <f t="shared" si="25"/>
        <v>0</v>
      </c>
      <c r="H96" s="719"/>
      <c r="I96" s="24">
        <f t="shared" si="26"/>
        <v>0.02</v>
      </c>
      <c r="J96" s="719"/>
      <c r="K96" s="24">
        <f t="shared" si="27"/>
        <v>0</v>
      </c>
      <c r="L96" s="719"/>
      <c r="M96" s="24">
        <f t="shared" si="28"/>
        <v>0.02</v>
      </c>
      <c r="N96" s="719"/>
      <c r="O96" s="24">
        <f t="shared" si="29"/>
        <v>1</v>
      </c>
      <c r="P96" s="719"/>
      <c r="Q96" s="24">
        <f t="shared" si="30"/>
        <v>1</v>
      </c>
      <c r="R96" s="715">
        <f t="shared" si="31"/>
        <v>0</v>
      </c>
      <c r="S96" s="361">
        <f t="shared" si="22"/>
        <v>0</v>
      </c>
    </row>
    <row r="97" spans="1:19">
      <c r="A97" s="159"/>
      <c r="B97" s="59"/>
      <c r="C97" s="24">
        <f t="shared" si="23"/>
        <v>1</v>
      </c>
      <c r="D97" s="719"/>
      <c r="E97" s="24">
        <f t="shared" si="24"/>
        <v>4.4999999999999998E-2</v>
      </c>
      <c r="F97" s="719"/>
      <c r="G97" s="24">
        <f t="shared" si="25"/>
        <v>0</v>
      </c>
      <c r="H97" s="719"/>
      <c r="I97" s="24">
        <f t="shared" si="26"/>
        <v>0.02</v>
      </c>
      <c r="J97" s="719"/>
      <c r="K97" s="24">
        <f t="shared" si="27"/>
        <v>0</v>
      </c>
      <c r="L97" s="719"/>
      <c r="M97" s="24">
        <f t="shared" si="28"/>
        <v>0.02</v>
      </c>
      <c r="N97" s="719"/>
      <c r="O97" s="24">
        <f t="shared" si="29"/>
        <v>1</v>
      </c>
      <c r="P97" s="719"/>
      <c r="Q97" s="24">
        <f t="shared" si="30"/>
        <v>1</v>
      </c>
      <c r="R97" s="715">
        <f t="shared" si="31"/>
        <v>0</v>
      </c>
      <c r="S97" s="361">
        <f t="shared" si="22"/>
        <v>0</v>
      </c>
    </row>
    <row r="98" spans="1:19">
      <c r="A98" s="159"/>
      <c r="B98" s="59"/>
      <c r="C98" s="24">
        <f t="shared" si="23"/>
        <v>1</v>
      </c>
      <c r="D98" s="719"/>
      <c r="E98" s="24">
        <f t="shared" si="24"/>
        <v>4.4999999999999998E-2</v>
      </c>
      <c r="F98" s="719"/>
      <c r="G98" s="24">
        <f t="shared" si="25"/>
        <v>0</v>
      </c>
      <c r="H98" s="719"/>
      <c r="I98" s="24">
        <f t="shared" si="26"/>
        <v>0.02</v>
      </c>
      <c r="J98" s="719"/>
      <c r="K98" s="24">
        <f t="shared" si="27"/>
        <v>0</v>
      </c>
      <c r="L98" s="719"/>
      <c r="M98" s="24">
        <f t="shared" si="28"/>
        <v>0.02</v>
      </c>
      <c r="N98" s="719"/>
      <c r="O98" s="24">
        <f t="shared" si="29"/>
        <v>1</v>
      </c>
      <c r="P98" s="719"/>
      <c r="Q98" s="24">
        <f t="shared" si="30"/>
        <v>1</v>
      </c>
      <c r="R98" s="715">
        <f t="shared" si="31"/>
        <v>0</v>
      </c>
      <c r="S98" s="361">
        <f t="shared" si="22"/>
        <v>0</v>
      </c>
    </row>
    <row r="99" spans="1:19">
      <c r="A99" s="159"/>
      <c r="B99" s="59"/>
      <c r="C99" s="24">
        <f t="shared" si="23"/>
        <v>1</v>
      </c>
      <c r="D99" s="719"/>
      <c r="E99" s="24">
        <f t="shared" si="24"/>
        <v>4.4999999999999998E-2</v>
      </c>
      <c r="F99" s="719"/>
      <c r="G99" s="24">
        <f t="shared" si="25"/>
        <v>0</v>
      </c>
      <c r="H99" s="719"/>
      <c r="I99" s="24">
        <f t="shared" si="26"/>
        <v>0.02</v>
      </c>
      <c r="J99" s="719"/>
      <c r="K99" s="24">
        <f t="shared" si="27"/>
        <v>0</v>
      </c>
      <c r="L99" s="719"/>
      <c r="M99" s="24">
        <f t="shared" si="28"/>
        <v>0.02</v>
      </c>
      <c r="N99" s="719"/>
      <c r="O99" s="24">
        <f t="shared" si="29"/>
        <v>1</v>
      </c>
      <c r="P99" s="719"/>
      <c r="Q99" s="24">
        <f t="shared" si="30"/>
        <v>1</v>
      </c>
      <c r="R99" s="715">
        <f t="shared" si="31"/>
        <v>0</v>
      </c>
      <c r="S99" s="361">
        <f t="shared" si="22"/>
        <v>0</v>
      </c>
    </row>
    <row r="100" spans="1:19">
      <c r="A100" s="159"/>
      <c r="B100" s="59"/>
      <c r="C100" s="24">
        <f t="shared" si="23"/>
        <v>1</v>
      </c>
      <c r="D100" s="719"/>
      <c r="E100" s="24">
        <f t="shared" si="24"/>
        <v>4.4999999999999998E-2</v>
      </c>
      <c r="F100" s="719"/>
      <c r="G100" s="24">
        <f t="shared" si="25"/>
        <v>0</v>
      </c>
      <c r="H100" s="719"/>
      <c r="I100" s="24">
        <f t="shared" si="26"/>
        <v>0.02</v>
      </c>
      <c r="J100" s="719"/>
      <c r="K100" s="24">
        <f t="shared" si="27"/>
        <v>0</v>
      </c>
      <c r="L100" s="719"/>
      <c r="M100" s="24">
        <f t="shared" si="28"/>
        <v>0.02</v>
      </c>
      <c r="N100" s="719"/>
      <c r="O100" s="24">
        <f t="shared" si="29"/>
        <v>1</v>
      </c>
      <c r="P100" s="719"/>
      <c r="Q100" s="24">
        <f t="shared" si="30"/>
        <v>1</v>
      </c>
      <c r="R100" s="715">
        <f t="shared" si="31"/>
        <v>0</v>
      </c>
      <c r="S100" s="361">
        <f t="shared" si="22"/>
        <v>0</v>
      </c>
    </row>
    <row r="101" spans="1:19">
      <c r="A101" s="159"/>
      <c r="B101" s="59"/>
      <c r="C101" s="24">
        <f t="shared" si="23"/>
        <v>1</v>
      </c>
      <c r="D101" s="719"/>
      <c r="E101" s="24">
        <f t="shared" si="24"/>
        <v>4.4999999999999998E-2</v>
      </c>
      <c r="F101" s="719"/>
      <c r="G101" s="24">
        <f t="shared" si="25"/>
        <v>0</v>
      </c>
      <c r="H101" s="719"/>
      <c r="I101" s="24">
        <f t="shared" si="26"/>
        <v>0.02</v>
      </c>
      <c r="J101" s="719"/>
      <c r="K101" s="24">
        <f t="shared" si="27"/>
        <v>0</v>
      </c>
      <c r="L101" s="719"/>
      <c r="M101" s="24">
        <f t="shared" si="28"/>
        <v>0.02</v>
      </c>
      <c r="N101" s="719"/>
      <c r="O101" s="24">
        <f t="shared" si="29"/>
        <v>1</v>
      </c>
      <c r="P101" s="719"/>
      <c r="Q101" s="24">
        <f t="shared" si="30"/>
        <v>1</v>
      </c>
      <c r="R101" s="715">
        <f t="shared" si="31"/>
        <v>0</v>
      </c>
      <c r="S101" s="361">
        <f t="shared" si="22"/>
        <v>0</v>
      </c>
    </row>
    <row r="102" spans="1:19">
      <c r="A102" s="159"/>
      <c r="B102" s="59"/>
      <c r="C102" s="24">
        <f t="shared" si="23"/>
        <v>1</v>
      </c>
      <c r="D102" s="719"/>
      <c r="E102" s="24">
        <f t="shared" si="24"/>
        <v>4.4999999999999998E-2</v>
      </c>
      <c r="F102" s="719"/>
      <c r="G102" s="24">
        <f t="shared" si="25"/>
        <v>0</v>
      </c>
      <c r="H102" s="719"/>
      <c r="I102" s="24">
        <f t="shared" si="26"/>
        <v>0.02</v>
      </c>
      <c r="J102" s="719"/>
      <c r="K102" s="24">
        <f t="shared" si="27"/>
        <v>0</v>
      </c>
      <c r="L102" s="719"/>
      <c r="M102" s="24">
        <f t="shared" si="28"/>
        <v>0.02</v>
      </c>
      <c r="N102" s="719"/>
      <c r="O102" s="24">
        <f t="shared" si="29"/>
        <v>1</v>
      </c>
      <c r="P102" s="719"/>
      <c r="Q102" s="24">
        <f t="shared" si="30"/>
        <v>1</v>
      </c>
      <c r="R102" s="715">
        <f t="shared" si="31"/>
        <v>0</v>
      </c>
      <c r="S102" s="361">
        <f t="shared" si="22"/>
        <v>0</v>
      </c>
    </row>
    <row r="103" spans="1:19">
      <c r="A103" s="159"/>
      <c r="B103" s="59"/>
      <c r="C103" s="24">
        <f t="shared" si="23"/>
        <v>1</v>
      </c>
      <c r="D103" s="719"/>
      <c r="E103" s="24">
        <f t="shared" si="24"/>
        <v>4.4999999999999998E-2</v>
      </c>
      <c r="F103" s="719"/>
      <c r="G103" s="24">
        <f t="shared" si="25"/>
        <v>0</v>
      </c>
      <c r="H103" s="719"/>
      <c r="I103" s="24">
        <f t="shared" si="26"/>
        <v>0.02</v>
      </c>
      <c r="J103" s="719"/>
      <c r="K103" s="24">
        <f t="shared" si="27"/>
        <v>0</v>
      </c>
      <c r="L103" s="719"/>
      <c r="M103" s="24">
        <f t="shared" si="28"/>
        <v>0.02</v>
      </c>
      <c r="N103" s="719"/>
      <c r="O103" s="24">
        <f t="shared" si="29"/>
        <v>1</v>
      </c>
      <c r="P103" s="719"/>
      <c r="Q103" s="24">
        <f t="shared" si="30"/>
        <v>1</v>
      </c>
      <c r="R103" s="715">
        <f t="shared" si="31"/>
        <v>0</v>
      </c>
      <c r="S103" s="361">
        <f t="shared" si="22"/>
        <v>0</v>
      </c>
    </row>
    <row r="104" spans="1:19">
      <c r="A104" s="159"/>
      <c r="B104" s="59"/>
      <c r="C104" s="24">
        <f t="shared" si="23"/>
        <v>1</v>
      </c>
      <c r="D104" s="719"/>
      <c r="E104" s="24">
        <f t="shared" si="24"/>
        <v>4.4999999999999998E-2</v>
      </c>
      <c r="F104" s="719"/>
      <c r="G104" s="24">
        <f t="shared" si="25"/>
        <v>0</v>
      </c>
      <c r="H104" s="719"/>
      <c r="I104" s="24">
        <f t="shared" si="26"/>
        <v>0.02</v>
      </c>
      <c r="J104" s="719"/>
      <c r="K104" s="24">
        <f t="shared" si="27"/>
        <v>0</v>
      </c>
      <c r="L104" s="719"/>
      <c r="M104" s="24">
        <f t="shared" si="28"/>
        <v>0.02</v>
      </c>
      <c r="N104" s="719"/>
      <c r="O104" s="24">
        <f t="shared" si="29"/>
        <v>1</v>
      </c>
      <c r="P104" s="719"/>
      <c r="Q104" s="24">
        <f t="shared" si="30"/>
        <v>1</v>
      </c>
      <c r="R104" s="715">
        <f t="shared" si="31"/>
        <v>0</v>
      </c>
      <c r="S104" s="361">
        <f t="shared" si="22"/>
        <v>0</v>
      </c>
    </row>
    <row r="105" spans="1:19">
      <c r="A105" s="159"/>
      <c r="B105" s="59"/>
      <c r="C105" s="24">
        <f t="shared" si="23"/>
        <v>1</v>
      </c>
      <c r="D105" s="719"/>
      <c r="E105" s="24">
        <f t="shared" si="24"/>
        <v>4.4999999999999998E-2</v>
      </c>
      <c r="F105" s="719"/>
      <c r="G105" s="24">
        <f t="shared" si="25"/>
        <v>0</v>
      </c>
      <c r="H105" s="719"/>
      <c r="I105" s="24">
        <f t="shared" si="26"/>
        <v>0.02</v>
      </c>
      <c r="J105" s="719"/>
      <c r="K105" s="24">
        <f t="shared" si="27"/>
        <v>0</v>
      </c>
      <c r="L105" s="719"/>
      <c r="M105" s="24">
        <f t="shared" si="28"/>
        <v>0.02</v>
      </c>
      <c r="N105" s="719"/>
      <c r="O105" s="24">
        <f t="shared" si="29"/>
        <v>1</v>
      </c>
      <c r="P105" s="719"/>
      <c r="Q105" s="24">
        <f t="shared" si="30"/>
        <v>1</v>
      </c>
      <c r="R105" s="715">
        <f t="shared" si="31"/>
        <v>0</v>
      </c>
      <c r="S105" s="361">
        <f t="shared" si="22"/>
        <v>0</v>
      </c>
    </row>
    <row r="106" spans="1:19">
      <c r="A106" s="159"/>
      <c r="B106" s="59"/>
      <c r="C106" s="24">
        <f t="shared" si="23"/>
        <v>1</v>
      </c>
      <c r="D106" s="719"/>
      <c r="E106" s="24">
        <f t="shared" si="24"/>
        <v>4.4999999999999998E-2</v>
      </c>
      <c r="F106" s="719"/>
      <c r="G106" s="24">
        <f t="shared" si="25"/>
        <v>0</v>
      </c>
      <c r="H106" s="719"/>
      <c r="I106" s="24">
        <f t="shared" si="26"/>
        <v>0.02</v>
      </c>
      <c r="J106" s="719"/>
      <c r="K106" s="24">
        <f t="shared" si="27"/>
        <v>0</v>
      </c>
      <c r="L106" s="719"/>
      <c r="M106" s="24">
        <f t="shared" si="28"/>
        <v>0.02</v>
      </c>
      <c r="N106" s="719"/>
      <c r="O106" s="24">
        <f t="shared" si="29"/>
        <v>1</v>
      </c>
      <c r="P106" s="719"/>
      <c r="Q106" s="24">
        <f t="shared" si="30"/>
        <v>1</v>
      </c>
      <c r="R106" s="715">
        <f t="shared" si="31"/>
        <v>0</v>
      </c>
      <c r="S106" s="361">
        <f t="shared" si="22"/>
        <v>0</v>
      </c>
    </row>
    <row r="107" spans="1:19">
      <c r="A107" s="159"/>
      <c r="B107" s="59"/>
      <c r="C107" s="24">
        <f t="shared" si="23"/>
        <v>1</v>
      </c>
      <c r="D107" s="719"/>
      <c r="E107" s="24">
        <f t="shared" si="24"/>
        <v>4.4999999999999998E-2</v>
      </c>
      <c r="F107" s="719"/>
      <c r="G107" s="24">
        <f t="shared" si="25"/>
        <v>0</v>
      </c>
      <c r="H107" s="719"/>
      <c r="I107" s="24">
        <f t="shared" si="26"/>
        <v>0.02</v>
      </c>
      <c r="J107" s="719"/>
      <c r="K107" s="24">
        <f t="shared" si="27"/>
        <v>0</v>
      </c>
      <c r="L107" s="719"/>
      <c r="M107" s="24">
        <f t="shared" si="28"/>
        <v>0.02</v>
      </c>
      <c r="N107" s="719"/>
      <c r="O107" s="24">
        <f t="shared" si="29"/>
        <v>1</v>
      </c>
      <c r="P107" s="719"/>
      <c r="Q107" s="24">
        <f t="shared" si="30"/>
        <v>1</v>
      </c>
      <c r="R107" s="715">
        <f t="shared" si="31"/>
        <v>0</v>
      </c>
      <c r="S107" s="361">
        <f t="shared" si="22"/>
        <v>0</v>
      </c>
    </row>
    <row r="108" spans="1:19">
      <c r="A108" s="159"/>
      <c r="B108" s="59"/>
      <c r="C108" s="24">
        <f t="shared" si="23"/>
        <v>1</v>
      </c>
      <c r="D108" s="719"/>
      <c r="E108" s="24">
        <f t="shared" si="24"/>
        <v>4.4999999999999998E-2</v>
      </c>
      <c r="F108" s="719"/>
      <c r="G108" s="24">
        <f t="shared" si="25"/>
        <v>0</v>
      </c>
      <c r="H108" s="719"/>
      <c r="I108" s="24">
        <f t="shared" si="26"/>
        <v>0.02</v>
      </c>
      <c r="J108" s="719"/>
      <c r="K108" s="24">
        <f t="shared" si="27"/>
        <v>0</v>
      </c>
      <c r="L108" s="719"/>
      <c r="M108" s="24">
        <f t="shared" si="28"/>
        <v>0.02</v>
      </c>
      <c r="N108" s="719"/>
      <c r="O108" s="24">
        <f t="shared" si="29"/>
        <v>1</v>
      </c>
      <c r="P108" s="719"/>
      <c r="Q108" s="24">
        <f t="shared" si="30"/>
        <v>1</v>
      </c>
      <c r="R108" s="715">
        <f t="shared" si="31"/>
        <v>0</v>
      </c>
      <c r="S108" s="361">
        <f t="shared" si="22"/>
        <v>0</v>
      </c>
    </row>
    <row r="109" spans="1:19">
      <c r="A109" s="159"/>
      <c r="B109" s="59"/>
      <c r="C109" s="24">
        <f t="shared" si="23"/>
        <v>1</v>
      </c>
      <c r="D109" s="719"/>
      <c r="E109" s="24">
        <f t="shared" si="24"/>
        <v>4.4999999999999998E-2</v>
      </c>
      <c r="F109" s="719"/>
      <c r="G109" s="24">
        <f t="shared" si="25"/>
        <v>0</v>
      </c>
      <c r="H109" s="719"/>
      <c r="I109" s="24">
        <f t="shared" si="26"/>
        <v>0.02</v>
      </c>
      <c r="J109" s="719"/>
      <c r="K109" s="24">
        <f t="shared" si="27"/>
        <v>0</v>
      </c>
      <c r="L109" s="719"/>
      <c r="M109" s="24">
        <f t="shared" si="28"/>
        <v>0.02</v>
      </c>
      <c r="N109" s="719"/>
      <c r="O109" s="24">
        <f t="shared" si="29"/>
        <v>1</v>
      </c>
      <c r="P109" s="719"/>
      <c r="Q109" s="24">
        <f t="shared" si="30"/>
        <v>1</v>
      </c>
      <c r="R109" s="715">
        <f t="shared" si="31"/>
        <v>0</v>
      </c>
      <c r="S109" s="361">
        <f t="shared" si="22"/>
        <v>0</v>
      </c>
    </row>
    <row r="110" spans="1:19">
      <c r="A110" s="159"/>
      <c r="B110" s="59"/>
      <c r="C110" s="24">
        <f t="shared" si="23"/>
        <v>1</v>
      </c>
      <c r="D110" s="719"/>
      <c r="E110" s="24">
        <f t="shared" si="24"/>
        <v>4.4999999999999998E-2</v>
      </c>
      <c r="F110" s="719"/>
      <c r="G110" s="24">
        <f t="shared" si="25"/>
        <v>0</v>
      </c>
      <c r="H110" s="719"/>
      <c r="I110" s="24">
        <f t="shared" si="26"/>
        <v>0.02</v>
      </c>
      <c r="J110" s="719"/>
      <c r="K110" s="24">
        <f t="shared" si="27"/>
        <v>0</v>
      </c>
      <c r="L110" s="719"/>
      <c r="M110" s="24">
        <f t="shared" si="28"/>
        <v>0.02</v>
      </c>
      <c r="N110" s="719"/>
      <c r="O110" s="24">
        <f t="shared" si="29"/>
        <v>1</v>
      </c>
      <c r="P110" s="719"/>
      <c r="Q110" s="24">
        <f t="shared" si="30"/>
        <v>1</v>
      </c>
      <c r="R110" s="715">
        <f t="shared" si="31"/>
        <v>0</v>
      </c>
      <c r="S110" s="361">
        <f t="shared" si="22"/>
        <v>0</v>
      </c>
    </row>
    <row r="111" spans="1:19">
      <c r="A111" s="159"/>
      <c r="B111" s="59"/>
      <c r="C111" s="24">
        <f t="shared" si="23"/>
        <v>1</v>
      </c>
      <c r="D111" s="719"/>
      <c r="E111" s="24">
        <f t="shared" si="24"/>
        <v>4.4999999999999998E-2</v>
      </c>
      <c r="F111" s="719"/>
      <c r="G111" s="24">
        <f t="shared" si="25"/>
        <v>0</v>
      </c>
      <c r="H111" s="719"/>
      <c r="I111" s="24">
        <f t="shared" si="26"/>
        <v>0.02</v>
      </c>
      <c r="J111" s="719"/>
      <c r="K111" s="24">
        <f t="shared" si="27"/>
        <v>0</v>
      </c>
      <c r="L111" s="719"/>
      <c r="M111" s="24">
        <f t="shared" si="28"/>
        <v>0.02</v>
      </c>
      <c r="N111" s="719"/>
      <c r="O111" s="24">
        <f t="shared" si="29"/>
        <v>1</v>
      </c>
      <c r="P111" s="719"/>
      <c r="Q111" s="24">
        <f t="shared" si="30"/>
        <v>1</v>
      </c>
      <c r="R111" s="715">
        <f t="shared" si="31"/>
        <v>0</v>
      </c>
      <c r="S111" s="361">
        <f t="shared" si="22"/>
        <v>0</v>
      </c>
    </row>
    <row r="112" spans="1:19">
      <c r="A112" s="159"/>
      <c r="B112" s="59"/>
      <c r="C112" s="24">
        <f t="shared" si="23"/>
        <v>1</v>
      </c>
      <c r="D112" s="719"/>
      <c r="E112" s="24">
        <f t="shared" si="24"/>
        <v>4.4999999999999998E-2</v>
      </c>
      <c r="F112" s="719"/>
      <c r="G112" s="24">
        <f t="shared" si="25"/>
        <v>0</v>
      </c>
      <c r="H112" s="719"/>
      <c r="I112" s="24">
        <f t="shared" si="26"/>
        <v>0.02</v>
      </c>
      <c r="J112" s="719"/>
      <c r="K112" s="24">
        <f t="shared" si="27"/>
        <v>0</v>
      </c>
      <c r="L112" s="719"/>
      <c r="M112" s="24">
        <f t="shared" si="28"/>
        <v>0.02</v>
      </c>
      <c r="N112" s="719"/>
      <c r="O112" s="24">
        <f t="shared" si="29"/>
        <v>1</v>
      </c>
      <c r="P112" s="719"/>
      <c r="Q112" s="24">
        <f t="shared" si="30"/>
        <v>1</v>
      </c>
      <c r="R112" s="715">
        <f t="shared" si="31"/>
        <v>0</v>
      </c>
      <c r="S112" s="361">
        <f t="shared" si="22"/>
        <v>0</v>
      </c>
    </row>
    <row r="113" spans="1:19">
      <c r="A113" s="159"/>
      <c r="B113" s="59"/>
      <c r="C113" s="24">
        <f t="shared" si="23"/>
        <v>1</v>
      </c>
      <c r="D113" s="719"/>
      <c r="E113" s="24">
        <f t="shared" si="24"/>
        <v>4.4999999999999998E-2</v>
      </c>
      <c r="F113" s="719"/>
      <c r="G113" s="24">
        <f t="shared" si="25"/>
        <v>0</v>
      </c>
      <c r="H113" s="719"/>
      <c r="I113" s="24">
        <f t="shared" si="26"/>
        <v>0.02</v>
      </c>
      <c r="J113" s="719"/>
      <c r="K113" s="24">
        <f t="shared" si="27"/>
        <v>0</v>
      </c>
      <c r="L113" s="719"/>
      <c r="M113" s="24">
        <f t="shared" si="28"/>
        <v>0.02</v>
      </c>
      <c r="N113" s="719"/>
      <c r="O113" s="24">
        <f t="shared" si="29"/>
        <v>1</v>
      </c>
      <c r="P113" s="719"/>
      <c r="Q113" s="24">
        <f t="shared" si="30"/>
        <v>1</v>
      </c>
      <c r="R113" s="715">
        <f t="shared" si="31"/>
        <v>0</v>
      </c>
      <c r="S113" s="361">
        <f t="shared" si="22"/>
        <v>0</v>
      </c>
    </row>
    <row r="114" spans="1:19">
      <c r="A114" s="159"/>
      <c r="B114" s="59"/>
      <c r="C114" s="24">
        <f t="shared" si="23"/>
        <v>1</v>
      </c>
      <c r="D114" s="719"/>
      <c r="E114" s="24">
        <f t="shared" si="24"/>
        <v>4.4999999999999998E-2</v>
      </c>
      <c r="F114" s="719"/>
      <c r="G114" s="24">
        <f t="shared" si="25"/>
        <v>0</v>
      </c>
      <c r="H114" s="719"/>
      <c r="I114" s="24">
        <f t="shared" si="26"/>
        <v>0.02</v>
      </c>
      <c r="J114" s="719"/>
      <c r="K114" s="24">
        <f t="shared" si="27"/>
        <v>0</v>
      </c>
      <c r="L114" s="719"/>
      <c r="M114" s="24">
        <f t="shared" si="28"/>
        <v>0.02</v>
      </c>
      <c r="N114" s="719"/>
      <c r="O114" s="24">
        <f t="shared" si="29"/>
        <v>1</v>
      </c>
      <c r="P114" s="719"/>
      <c r="Q114" s="24">
        <f t="shared" si="30"/>
        <v>1</v>
      </c>
      <c r="R114" s="715">
        <f t="shared" si="31"/>
        <v>0</v>
      </c>
      <c r="S114" s="361">
        <f t="shared" si="22"/>
        <v>0</v>
      </c>
    </row>
    <row r="115" spans="1:19">
      <c r="A115" s="159"/>
      <c r="B115" s="59"/>
      <c r="C115" s="24">
        <f t="shared" si="23"/>
        <v>1</v>
      </c>
      <c r="D115" s="719"/>
      <c r="E115" s="24">
        <f t="shared" si="24"/>
        <v>4.4999999999999998E-2</v>
      </c>
      <c r="F115" s="719"/>
      <c r="G115" s="24">
        <f t="shared" si="25"/>
        <v>0</v>
      </c>
      <c r="H115" s="719"/>
      <c r="I115" s="24">
        <f t="shared" si="26"/>
        <v>0.02</v>
      </c>
      <c r="J115" s="719"/>
      <c r="K115" s="24">
        <f t="shared" si="27"/>
        <v>0</v>
      </c>
      <c r="L115" s="719"/>
      <c r="M115" s="24">
        <f t="shared" si="28"/>
        <v>0.02</v>
      </c>
      <c r="N115" s="719"/>
      <c r="O115" s="24">
        <f t="shared" si="29"/>
        <v>1</v>
      </c>
      <c r="P115" s="719"/>
      <c r="Q115" s="24">
        <f t="shared" si="30"/>
        <v>1</v>
      </c>
      <c r="R115" s="715">
        <f t="shared" si="31"/>
        <v>0</v>
      </c>
      <c r="S115" s="361">
        <f t="shared" si="22"/>
        <v>0</v>
      </c>
    </row>
    <row r="116" spans="1:19">
      <c r="A116" s="159"/>
      <c r="B116" s="59"/>
      <c r="C116" s="24">
        <f t="shared" si="23"/>
        <v>1</v>
      </c>
      <c r="D116" s="719"/>
      <c r="E116" s="24">
        <f t="shared" si="24"/>
        <v>4.4999999999999998E-2</v>
      </c>
      <c r="F116" s="719"/>
      <c r="G116" s="24">
        <f t="shared" si="25"/>
        <v>0</v>
      </c>
      <c r="H116" s="719"/>
      <c r="I116" s="24">
        <f t="shared" si="26"/>
        <v>0.02</v>
      </c>
      <c r="J116" s="719"/>
      <c r="K116" s="24">
        <f t="shared" si="27"/>
        <v>0</v>
      </c>
      <c r="L116" s="719"/>
      <c r="M116" s="24">
        <f t="shared" si="28"/>
        <v>0.02</v>
      </c>
      <c r="N116" s="719"/>
      <c r="O116" s="24">
        <f t="shared" si="29"/>
        <v>1</v>
      </c>
      <c r="P116" s="719"/>
      <c r="Q116" s="24">
        <f t="shared" si="30"/>
        <v>1</v>
      </c>
      <c r="R116" s="715">
        <f t="shared" si="31"/>
        <v>0</v>
      </c>
      <c r="S116" s="361">
        <f t="shared" si="22"/>
        <v>0</v>
      </c>
    </row>
    <row r="117" spans="1:19">
      <c r="A117" s="159"/>
      <c r="B117" s="59"/>
      <c r="C117" s="24">
        <f t="shared" si="23"/>
        <v>1</v>
      </c>
      <c r="D117" s="719"/>
      <c r="E117" s="24">
        <f t="shared" si="24"/>
        <v>4.4999999999999998E-2</v>
      </c>
      <c r="F117" s="719"/>
      <c r="G117" s="24">
        <f t="shared" si="25"/>
        <v>0</v>
      </c>
      <c r="H117" s="719"/>
      <c r="I117" s="24">
        <f t="shared" si="26"/>
        <v>0.02</v>
      </c>
      <c r="J117" s="719"/>
      <c r="K117" s="24">
        <f t="shared" si="27"/>
        <v>0</v>
      </c>
      <c r="L117" s="719"/>
      <c r="M117" s="24">
        <f t="shared" si="28"/>
        <v>0.02</v>
      </c>
      <c r="N117" s="719"/>
      <c r="O117" s="24">
        <f t="shared" si="29"/>
        <v>1</v>
      </c>
      <c r="P117" s="719"/>
      <c r="Q117" s="24">
        <f t="shared" si="30"/>
        <v>1</v>
      </c>
      <c r="R117" s="715">
        <f t="shared" si="31"/>
        <v>0</v>
      </c>
      <c r="S117" s="361">
        <f t="shared" si="22"/>
        <v>0</v>
      </c>
    </row>
    <row r="118" spans="1:19">
      <c r="A118" s="159"/>
      <c r="B118" s="59"/>
      <c r="C118" s="24">
        <f t="shared" si="23"/>
        <v>1</v>
      </c>
      <c r="D118" s="719"/>
      <c r="E118" s="24">
        <f t="shared" si="24"/>
        <v>4.4999999999999998E-2</v>
      </c>
      <c r="F118" s="719"/>
      <c r="G118" s="24">
        <f t="shared" si="25"/>
        <v>0</v>
      </c>
      <c r="H118" s="719"/>
      <c r="I118" s="24">
        <f t="shared" si="26"/>
        <v>0.02</v>
      </c>
      <c r="J118" s="719"/>
      <c r="K118" s="24">
        <f t="shared" si="27"/>
        <v>0</v>
      </c>
      <c r="L118" s="719"/>
      <c r="M118" s="24">
        <f t="shared" si="28"/>
        <v>0.02</v>
      </c>
      <c r="N118" s="719"/>
      <c r="O118" s="24">
        <f t="shared" si="29"/>
        <v>1</v>
      </c>
      <c r="P118" s="719"/>
      <c r="Q118" s="24">
        <f t="shared" si="30"/>
        <v>1</v>
      </c>
      <c r="R118" s="715">
        <f t="shared" si="31"/>
        <v>0</v>
      </c>
      <c r="S118" s="361">
        <f t="shared" si="22"/>
        <v>0</v>
      </c>
    </row>
    <row r="119" spans="1:19">
      <c r="A119" s="159"/>
      <c r="B119" s="59"/>
      <c r="C119" s="24">
        <f t="shared" si="23"/>
        <v>1</v>
      </c>
      <c r="D119" s="719"/>
      <c r="E119" s="24">
        <f t="shared" si="24"/>
        <v>4.4999999999999998E-2</v>
      </c>
      <c r="F119" s="719"/>
      <c r="G119" s="24">
        <f t="shared" si="25"/>
        <v>0</v>
      </c>
      <c r="H119" s="719"/>
      <c r="I119" s="24">
        <f t="shared" si="26"/>
        <v>0.02</v>
      </c>
      <c r="J119" s="719"/>
      <c r="K119" s="24">
        <f t="shared" si="27"/>
        <v>0</v>
      </c>
      <c r="L119" s="719"/>
      <c r="M119" s="24">
        <f t="shared" si="28"/>
        <v>0.02</v>
      </c>
      <c r="N119" s="719"/>
      <c r="O119" s="24">
        <f t="shared" si="29"/>
        <v>1</v>
      </c>
      <c r="P119" s="719"/>
      <c r="Q119" s="24">
        <f t="shared" si="30"/>
        <v>1</v>
      </c>
      <c r="R119" s="715">
        <f t="shared" si="31"/>
        <v>0</v>
      </c>
      <c r="S119" s="361">
        <f t="shared" si="22"/>
        <v>0</v>
      </c>
    </row>
    <row r="120" spans="1:19">
      <c r="A120" s="159"/>
      <c r="B120" s="59"/>
      <c r="C120" s="24">
        <f t="shared" si="23"/>
        <v>1</v>
      </c>
      <c r="D120" s="719"/>
      <c r="E120" s="24">
        <f t="shared" si="24"/>
        <v>4.4999999999999998E-2</v>
      </c>
      <c r="F120" s="719"/>
      <c r="G120" s="24">
        <f t="shared" si="25"/>
        <v>0</v>
      </c>
      <c r="H120" s="719"/>
      <c r="I120" s="24">
        <f t="shared" si="26"/>
        <v>0.02</v>
      </c>
      <c r="J120" s="719"/>
      <c r="K120" s="24">
        <f t="shared" si="27"/>
        <v>0</v>
      </c>
      <c r="L120" s="719"/>
      <c r="M120" s="24">
        <f t="shared" si="28"/>
        <v>0.02</v>
      </c>
      <c r="N120" s="719"/>
      <c r="O120" s="24">
        <f t="shared" si="29"/>
        <v>1</v>
      </c>
      <c r="P120" s="719"/>
      <c r="Q120" s="24">
        <f t="shared" si="30"/>
        <v>1</v>
      </c>
      <c r="R120" s="715">
        <f t="shared" si="31"/>
        <v>0</v>
      </c>
      <c r="S120" s="361">
        <f t="shared" si="22"/>
        <v>0</v>
      </c>
    </row>
    <row r="121" spans="1:19">
      <c r="A121" s="159"/>
      <c r="B121" s="59"/>
      <c r="C121" s="24">
        <f t="shared" si="23"/>
        <v>1</v>
      </c>
      <c r="D121" s="719"/>
      <c r="E121" s="24">
        <f t="shared" si="24"/>
        <v>4.4999999999999998E-2</v>
      </c>
      <c r="F121" s="719"/>
      <c r="G121" s="24">
        <f t="shared" si="25"/>
        <v>0</v>
      </c>
      <c r="H121" s="719"/>
      <c r="I121" s="24">
        <f t="shared" si="26"/>
        <v>0.02</v>
      </c>
      <c r="J121" s="719"/>
      <c r="K121" s="24">
        <f t="shared" si="27"/>
        <v>0</v>
      </c>
      <c r="L121" s="719"/>
      <c r="M121" s="24">
        <f t="shared" si="28"/>
        <v>0.02</v>
      </c>
      <c r="N121" s="719"/>
      <c r="O121" s="24">
        <f t="shared" si="29"/>
        <v>1</v>
      </c>
      <c r="P121" s="719"/>
      <c r="Q121" s="24">
        <f t="shared" si="30"/>
        <v>1</v>
      </c>
      <c r="R121" s="715">
        <f t="shared" si="31"/>
        <v>0</v>
      </c>
      <c r="S121" s="361">
        <f t="shared" si="22"/>
        <v>0</v>
      </c>
    </row>
    <row r="122" spans="1:19">
      <c r="A122" s="159"/>
      <c r="B122" s="59"/>
      <c r="C122" s="24">
        <f t="shared" si="23"/>
        <v>1</v>
      </c>
      <c r="D122" s="719"/>
      <c r="E122" s="24">
        <f t="shared" si="24"/>
        <v>4.4999999999999998E-2</v>
      </c>
      <c r="F122" s="719"/>
      <c r="G122" s="24">
        <f t="shared" si="25"/>
        <v>0</v>
      </c>
      <c r="H122" s="719"/>
      <c r="I122" s="24">
        <f t="shared" si="26"/>
        <v>0.02</v>
      </c>
      <c r="J122" s="719"/>
      <c r="K122" s="24">
        <f t="shared" si="27"/>
        <v>0</v>
      </c>
      <c r="L122" s="719"/>
      <c r="M122" s="24">
        <f t="shared" si="28"/>
        <v>0.02</v>
      </c>
      <c r="N122" s="719"/>
      <c r="O122" s="24">
        <f t="shared" si="29"/>
        <v>1</v>
      </c>
      <c r="P122" s="719"/>
      <c r="Q122" s="24">
        <f t="shared" si="30"/>
        <v>1</v>
      </c>
      <c r="R122" s="715">
        <f t="shared" si="31"/>
        <v>0</v>
      </c>
      <c r="S122" s="361">
        <f t="shared" si="22"/>
        <v>0</v>
      </c>
    </row>
    <row r="123" spans="1:19">
      <c r="A123" s="159"/>
      <c r="B123" s="59"/>
      <c r="C123" s="24">
        <f t="shared" si="23"/>
        <v>1</v>
      </c>
      <c r="D123" s="719"/>
      <c r="E123" s="24">
        <f t="shared" si="24"/>
        <v>4.4999999999999998E-2</v>
      </c>
      <c r="F123" s="719"/>
      <c r="G123" s="24">
        <f t="shared" si="25"/>
        <v>0</v>
      </c>
      <c r="H123" s="719"/>
      <c r="I123" s="24">
        <f t="shared" si="26"/>
        <v>0.02</v>
      </c>
      <c r="J123" s="719"/>
      <c r="K123" s="24">
        <f t="shared" si="27"/>
        <v>0</v>
      </c>
      <c r="L123" s="719"/>
      <c r="M123" s="24">
        <f t="shared" si="28"/>
        <v>0.02</v>
      </c>
      <c r="N123" s="719"/>
      <c r="O123" s="24">
        <f t="shared" si="29"/>
        <v>1</v>
      </c>
      <c r="P123" s="719"/>
      <c r="Q123" s="24">
        <f t="shared" si="30"/>
        <v>1</v>
      </c>
      <c r="R123" s="715">
        <f t="shared" si="31"/>
        <v>0</v>
      </c>
      <c r="S123" s="361">
        <f t="shared" ref="S123:S186" si="32">ROUND(R123*B123/10000,0)</f>
        <v>0</v>
      </c>
    </row>
    <row r="124" spans="1:19">
      <c r="A124" s="159"/>
      <c r="B124" s="59"/>
      <c r="C124" s="24">
        <f t="shared" si="23"/>
        <v>1</v>
      </c>
      <c r="D124" s="719"/>
      <c r="E124" s="24">
        <f t="shared" si="24"/>
        <v>4.4999999999999998E-2</v>
      </c>
      <c r="F124" s="719"/>
      <c r="G124" s="24">
        <f t="shared" si="25"/>
        <v>0</v>
      </c>
      <c r="H124" s="719"/>
      <c r="I124" s="24">
        <f t="shared" si="26"/>
        <v>0.02</v>
      </c>
      <c r="J124" s="719"/>
      <c r="K124" s="24">
        <f t="shared" si="27"/>
        <v>0</v>
      </c>
      <c r="L124" s="719"/>
      <c r="M124" s="24">
        <f t="shared" si="28"/>
        <v>0.02</v>
      </c>
      <c r="N124" s="719"/>
      <c r="O124" s="24">
        <f t="shared" si="29"/>
        <v>1</v>
      </c>
      <c r="P124" s="719"/>
      <c r="Q124" s="24">
        <f t="shared" si="30"/>
        <v>1</v>
      </c>
      <c r="R124" s="715">
        <f t="shared" si="31"/>
        <v>0</v>
      </c>
      <c r="S124" s="361">
        <f t="shared" si="32"/>
        <v>0</v>
      </c>
    </row>
    <row r="125" spans="1:19">
      <c r="A125" s="159"/>
      <c r="B125" s="59"/>
      <c r="C125" s="24">
        <f t="shared" si="23"/>
        <v>1</v>
      </c>
      <c r="D125" s="719"/>
      <c r="E125" s="24">
        <f t="shared" si="24"/>
        <v>4.4999999999999998E-2</v>
      </c>
      <c r="F125" s="719"/>
      <c r="G125" s="24">
        <f t="shared" si="25"/>
        <v>0</v>
      </c>
      <c r="H125" s="719"/>
      <c r="I125" s="24">
        <f t="shared" si="26"/>
        <v>0.02</v>
      </c>
      <c r="J125" s="719"/>
      <c r="K125" s="24">
        <f t="shared" si="27"/>
        <v>0</v>
      </c>
      <c r="L125" s="719"/>
      <c r="M125" s="24">
        <f t="shared" si="28"/>
        <v>0.02</v>
      </c>
      <c r="N125" s="719"/>
      <c r="O125" s="24">
        <f t="shared" si="29"/>
        <v>1</v>
      </c>
      <c r="P125" s="719"/>
      <c r="Q125" s="24">
        <f t="shared" si="30"/>
        <v>1</v>
      </c>
      <c r="R125" s="715">
        <f t="shared" si="31"/>
        <v>0</v>
      </c>
      <c r="S125" s="361">
        <f t="shared" si="32"/>
        <v>0</v>
      </c>
    </row>
    <row r="126" spans="1:19">
      <c r="A126" s="159"/>
      <c r="B126" s="59"/>
      <c r="C126" s="24">
        <f t="shared" si="23"/>
        <v>1</v>
      </c>
      <c r="D126" s="719"/>
      <c r="E126" s="24">
        <f t="shared" si="24"/>
        <v>4.4999999999999998E-2</v>
      </c>
      <c r="F126" s="719"/>
      <c r="G126" s="24">
        <f t="shared" si="25"/>
        <v>0</v>
      </c>
      <c r="H126" s="719"/>
      <c r="I126" s="24">
        <f t="shared" si="26"/>
        <v>0.02</v>
      </c>
      <c r="J126" s="719"/>
      <c r="K126" s="24">
        <f t="shared" si="27"/>
        <v>0</v>
      </c>
      <c r="L126" s="719"/>
      <c r="M126" s="24">
        <f t="shared" si="28"/>
        <v>0.02</v>
      </c>
      <c r="N126" s="719"/>
      <c r="O126" s="24">
        <f t="shared" si="29"/>
        <v>1</v>
      </c>
      <c r="P126" s="719"/>
      <c r="Q126" s="24">
        <f t="shared" si="30"/>
        <v>1</v>
      </c>
      <c r="R126" s="715">
        <f t="shared" si="31"/>
        <v>0</v>
      </c>
      <c r="S126" s="361">
        <f t="shared" si="32"/>
        <v>0</v>
      </c>
    </row>
    <row r="127" spans="1:19">
      <c r="A127" s="159"/>
      <c r="B127" s="59"/>
      <c r="C127" s="24">
        <f t="shared" si="23"/>
        <v>1</v>
      </c>
      <c r="D127" s="719"/>
      <c r="E127" s="24">
        <f t="shared" si="24"/>
        <v>4.4999999999999998E-2</v>
      </c>
      <c r="F127" s="719"/>
      <c r="G127" s="24">
        <f t="shared" si="25"/>
        <v>0</v>
      </c>
      <c r="H127" s="719"/>
      <c r="I127" s="24">
        <f t="shared" si="26"/>
        <v>0.02</v>
      </c>
      <c r="J127" s="719"/>
      <c r="K127" s="24">
        <f t="shared" si="27"/>
        <v>0</v>
      </c>
      <c r="L127" s="719"/>
      <c r="M127" s="24">
        <f t="shared" si="28"/>
        <v>0.02</v>
      </c>
      <c r="N127" s="719"/>
      <c r="O127" s="24">
        <f t="shared" si="29"/>
        <v>1</v>
      </c>
      <c r="P127" s="719"/>
      <c r="Q127" s="24">
        <f t="shared" si="30"/>
        <v>1</v>
      </c>
      <c r="R127" s="715">
        <f t="shared" si="31"/>
        <v>0</v>
      </c>
      <c r="S127" s="361">
        <f t="shared" si="32"/>
        <v>0</v>
      </c>
    </row>
    <row r="128" spans="1:19">
      <c r="A128" s="159"/>
      <c r="B128" s="59"/>
      <c r="C128" s="24">
        <f t="shared" si="23"/>
        <v>1</v>
      </c>
      <c r="D128" s="719"/>
      <c r="E128" s="24">
        <f t="shared" si="24"/>
        <v>4.4999999999999998E-2</v>
      </c>
      <c r="F128" s="719"/>
      <c r="G128" s="24">
        <f t="shared" si="25"/>
        <v>0</v>
      </c>
      <c r="H128" s="719"/>
      <c r="I128" s="24">
        <f t="shared" si="26"/>
        <v>0.02</v>
      </c>
      <c r="J128" s="719"/>
      <c r="K128" s="24">
        <f t="shared" si="27"/>
        <v>0</v>
      </c>
      <c r="L128" s="719"/>
      <c r="M128" s="24">
        <f t="shared" si="28"/>
        <v>0.02</v>
      </c>
      <c r="N128" s="719"/>
      <c r="O128" s="24">
        <f t="shared" si="29"/>
        <v>1</v>
      </c>
      <c r="P128" s="719"/>
      <c r="Q128" s="24">
        <f t="shared" si="30"/>
        <v>1</v>
      </c>
      <c r="R128" s="715">
        <f t="shared" si="31"/>
        <v>0</v>
      </c>
      <c r="S128" s="361">
        <f t="shared" si="32"/>
        <v>0</v>
      </c>
    </row>
    <row r="129" spans="1:19">
      <c r="A129" s="159"/>
      <c r="B129" s="59"/>
      <c r="C129" s="24">
        <f t="shared" si="23"/>
        <v>1</v>
      </c>
      <c r="D129" s="719"/>
      <c r="E129" s="24">
        <f t="shared" si="24"/>
        <v>4.4999999999999998E-2</v>
      </c>
      <c r="F129" s="719"/>
      <c r="G129" s="24">
        <f t="shared" si="25"/>
        <v>0</v>
      </c>
      <c r="H129" s="719"/>
      <c r="I129" s="24">
        <f t="shared" si="26"/>
        <v>0.02</v>
      </c>
      <c r="J129" s="719"/>
      <c r="K129" s="24">
        <f t="shared" si="27"/>
        <v>0</v>
      </c>
      <c r="L129" s="719"/>
      <c r="M129" s="24">
        <f t="shared" si="28"/>
        <v>0.02</v>
      </c>
      <c r="N129" s="719"/>
      <c r="O129" s="24">
        <f t="shared" si="29"/>
        <v>1</v>
      </c>
      <c r="P129" s="719"/>
      <c r="Q129" s="24">
        <f t="shared" si="30"/>
        <v>1</v>
      </c>
      <c r="R129" s="715">
        <f t="shared" si="31"/>
        <v>0</v>
      </c>
      <c r="S129" s="361">
        <f t="shared" si="32"/>
        <v>0</v>
      </c>
    </row>
    <row r="130" spans="1:19">
      <c r="A130" s="159"/>
      <c r="B130" s="59"/>
      <c r="C130" s="24">
        <f t="shared" si="23"/>
        <v>1</v>
      </c>
      <c r="D130" s="719"/>
      <c r="E130" s="24">
        <f t="shared" si="24"/>
        <v>4.4999999999999998E-2</v>
      </c>
      <c r="F130" s="719"/>
      <c r="G130" s="24">
        <f t="shared" si="25"/>
        <v>0</v>
      </c>
      <c r="H130" s="719"/>
      <c r="I130" s="24">
        <f t="shared" si="26"/>
        <v>0.02</v>
      </c>
      <c r="J130" s="719"/>
      <c r="K130" s="24">
        <f t="shared" si="27"/>
        <v>0</v>
      </c>
      <c r="L130" s="719"/>
      <c r="M130" s="24">
        <f t="shared" si="28"/>
        <v>0.02</v>
      </c>
      <c r="N130" s="719"/>
      <c r="O130" s="24">
        <f t="shared" si="29"/>
        <v>1</v>
      </c>
      <c r="P130" s="719"/>
      <c r="Q130" s="24">
        <f t="shared" si="30"/>
        <v>1</v>
      </c>
      <c r="R130" s="715">
        <f t="shared" si="31"/>
        <v>0</v>
      </c>
      <c r="S130" s="361">
        <f t="shared" si="32"/>
        <v>0</v>
      </c>
    </row>
    <row r="131" spans="1:19">
      <c r="A131" s="159"/>
      <c r="B131" s="59"/>
      <c r="C131" s="24">
        <f t="shared" si="23"/>
        <v>1</v>
      </c>
      <c r="D131" s="719"/>
      <c r="E131" s="24">
        <f t="shared" si="24"/>
        <v>4.4999999999999998E-2</v>
      </c>
      <c r="F131" s="719"/>
      <c r="G131" s="24">
        <f t="shared" si="25"/>
        <v>0</v>
      </c>
      <c r="H131" s="719"/>
      <c r="I131" s="24">
        <f t="shared" si="26"/>
        <v>0.02</v>
      </c>
      <c r="J131" s="719"/>
      <c r="K131" s="24">
        <f t="shared" si="27"/>
        <v>0</v>
      </c>
      <c r="L131" s="719"/>
      <c r="M131" s="24">
        <f t="shared" si="28"/>
        <v>0.02</v>
      </c>
      <c r="N131" s="719"/>
      <c r="O131" s="24">
        <f t="shared" si="29"/>
        <v>1</v>
      </c>
      <c r="P131" s="719"/>
      <c r="Q131" s="24">
        <f t="shared" si="30"/>
        <v>1</v>
      </c>
      <c r="R131" s="715">
        <f t="shared" si="31"/>
        <v>0</v>
      </c>
      <c r="S131" s="361">
        <f t="shared" si="32"/>
        <v>0</v>
      </c>
    </row>
    <row r="132" spans="1:19">
      <c r="A132" s="159"/>
      <c r="B132" s="59"/>
      <c r="C132" s="24">
        <f t="shared" si="23"/>
        <v>1</v>
      </c>
      <c r="D132" s="719"/>
      <c r="E132" s="24">
        <f t="shared" si="24"/>
        <v>4.4999999999999998E-2</v>
      </c>
      <c r="F132" s="719"/>
      <c r="G132" s="24">
        <f t="shared" si="25"/>
        <v>0</v>
      </c>
      <c r="H132" s="719"/>
      <c r="I132" s="24">
        <f t="shared" si="26"/>
        <v>0.02</v>
      </c>
      <c r="J132" s="719"/>
      <c r="K132" s="24">
        <f t="shared" si="27"/>
        <v>0</v>
      </c>
      <c r="L132" s="719"/>
      <c r="M132" s="24">
        <f t="shared" si="28"/>
        <v>0.02</v>
      </c>
      <c r="N132" s="719"/>
      <c r="O132" s="24">
        <f t="shared" si="29"/>
        <v>1</v>
      </c>
      <c r="P132" s="719"/>
      <c r="Q132" s="24">
        <f t="shared" si="30"/>
        <v>1</v>
      </c>
      <c r="R132" s="715">
        <f t="shared" si="31"/>
        <v>0</v>
      </c>
      <c r="S132" s="361">
        <f t="shared" si="32"/>
        <v>0</v>
      </c>
    </row>
    <row r="133" spans="1:19">
      <c r="A133" s="159"/>
      <c r="B133" s="59"/>
      <c r="C133" s="24">
        <f t="shared" si="23"/>
        <v>1</v>
      </c>
      <c r="D133" s="719"/>
      <c r="E133" s="24">
        <f t="shared" si="24"/>
        <v>4.4999999999999998E-2</v>
      </c>
      <c r="F133" s="719"/>
      <c r="G133" s="24">
        <f t="shared" si="25"/>
        <v>0</v>
      </c>
      <c r="H133" s="719"/>
      <c r="I133" s="24">
        <f t="shared" si="26"/>
        <v>0.02</v>
      </c>
      <c r="J133" s="719"/>
      <c r="K133" s="24">
        <f t="shared" si="27"/>
        <v>0</v>
      </c>
      <c r="L133" s="719"/>
      <c r="M133" s="24">
        <f t="shared" si="28"/>
        <v>0.02</v>
      </c>
      <c r="N133" s="719"/>
      <c r="O133" s="24">
        <f t="shared" si="29"/>
        <v>1</v>
      </c>
      <c r="P133" s="719"/>
      <c r="Q133" s="24">
        <f t="shared" si="30"/>
        <v>1</v>
      </c>
      <c r="R133" s="715">
        <f t="shared" si="31"/>
        <v>0</v>
      </c>
      <c r="S133" s="361">
        <f t="shared" si="32"/>
        <v>0</v>
      </c>
    </row>
    <row r="134" spans="1:19">
      <c r="A134" s="159"/>
      <c r="B134" s="59"/>
      <c r="C134" s="24">
        <f t="shared" si="23"/>
        <v>1</v>
      </c>
      <c r="D134" s="719"/>
      <c r="E134" s="24">
        <f t="shared" si="24"/>
        <v>4.4999999999999998E-2</v>
      </c>
      <c r="F134" s="719"/>
      <c r="G134" s="24">
        <f t="shared" si="25"/>
        <v>0</v>
      </c>
      <c r="H134" s="719"/>
      <c r="I134" s="24">
        <f t="shared" si="26"/>
        <v>0.02</v>
      </c>
      <c r="J134" s="719"/>
      <c r="K134" s="24">
        <f t="shared" si="27"/>
        <v>0</v>
      </c>
      <c r="L134" s="719"/>
      <c r="M134" s="24">
        <f t="shared" si="28"/>
        <v>0.02</v>
      </c>
      <c r="N134" s="719"/>
      <c r="O134" s="24">
        <f t="shared" si="29"/>
        <v>1</v>
      </c>
      <c r="P134" s="719"/>
      <c r="Q134" s="24">
        <f t="shared" si="30"/>
        <v>1</v>
      </c>
      <c r="R134" s="715">
        <f t="shared" si="31"/>
        <v>0</v>
      </c>
      <c r="S134" s="361">
        <f t="shared" si="32"/>
        <v>0</v>
      </c>
    </row>
    <row r="135" spans="1:19">
      <c r="A135" s="159"/>
      <c r="B135" s="59"/>
      <c r="C135" s="24">
        <f t="shared" si="23"/>
        <v>1</v>
      </c>
      <c r="D135" s="719"/>
      <c r="E135" s="24">
        <f t="shared" si="24"/>
        <v>4.4999999999999998E-2</v>
      </c>
      <c r="F135" s="719"/>
      <c r="G135" s="24">
        <f t="shared" si="25"/>
        <v>0</v>
      </c>
      <c r="H135" s="719"/>
      <c r="I135" s="24">
        <f t="shared" si="26"/>
        <v>0.02</v>
      </c>
      <c r="J135" s="719"/>
      <c r="K135" s="24">
        <f t="shared" si="27"/>
        <v>0</v>
      </c>
      <c r="L135" s="719"/>
      <c r="M135" s="24">
        <f t="shared" si="28"/>
        <v>0.02</v>
      </c>
      <c r="N135" s="719"/>
      <c r="O135" s="24">
        <f t="shared" si="29"/>
        <v>1</v>
      </c>
      <c r="P135" s="719"/>
      <c r="Q135" s="24">
        <f t="shared" si="30"/>
        <v>1</v>
      </c>
      <c r="R135" s="715">
        <f t="shared" si="31"/>
        <v>0</v>
      </c>
      <c r="S135" s="361">
        <f t="shared" si="32"/>
        <v>0</v>
      </c>
    </row>
    <row r="136" spans="1:19">
      <c r="A136" s="159"/>
      <c r="B136" s="59"/>
      <c r="C136" s="24">
        <f t="shared" si="23"/>
        <v>1</v>
      </c>
      <c r="D136" s="719"/>
      <c r="E136" s="24">
        <f t="shared" si="24"/>
        <v>4.4999999999999998E-2</v>
      </c>
      <c r="F136" s="719"/>
      <c r="G136" s="24">
        <f t="shared" si="25"/>
        <v>0</v>
      </c>
      <c r="H136" s="719"/>
      <c r="I136" s="24">
        <f t="shared" si="26"/>
        <v>0.02</v>
      </c>
      <c r="J136" s="719"/>
      <c r="K136" s="24">
        <f t="shared" si="27"/>
        <v>0</v>
      </c>
      <c r="L136" s="719"/>
      <c r="M136" s="24">
        <f t="shared" si="28"/>
        <v>0.02</v>
      </c>
      <c r="N136" s="719"/>
      <c r="O136" s="24">
        <f t="shared" si="29"/>
        <v>1</v>
      </c>
      <c r="P136" s="719"/>
      <c r="Q136" s="24">
        <f t="shared" si="30"/>
        <v>1</v>
      </c>
      <c r="R136" s="715">
        <f t="shared" si="31"/>
        <v>0</v>
      </c>
      <c r="S136" s="361">
        <f t="shared" si="32"/>
        <v>0</v>
      </c>
    </row>
    <row r="137" spans="1:19">
      <c r="A137" s="159"/>
      <c r="B137" s="59"/>
      <c r="C137" s="24">
        <f t="shared" si="23"/>
        <v>1</v>
      </c>
      <c r="D137" s="719"/>
      <c r="E137" s="24">
        <f t="shared" si="24"/>
        <v>4.4999999999999998E-2</v>
      </c>
      <c r="F137" s="719"/>
      <c r="G137" s="24">
        <f t="shared" si="25"/>
        <v>0</v>
      </c>
      <c r="H137" s="719"/>
      <c r="I137" s="24">
        <f t="shared" si="26"/>
        <v>0.02</v>
      </c>
      <c r="J137" s="719"/>
      <c r="K137" s="24">
        <f t="shared" si="27"/>
        <v>0</v>
      </c>
      <c r="L137" s="719"/>
      <c r="M137" s="24">
        <f t="shared" si="28"/>
        <v>0.02</v>
      </c>
      <c r="N137" s="719"/>
      <c r="O137" s="24">
        <f t="shared" si="29"/>
        <v>1</v>
      </c>
      <c r="P137" s="719"/>
      <c r="Q137" s="24">
        <f t="shared" si="30"/>
        <v>1</v>
      </c>
      <c r="R137" s="715">
        <f t="shared" si="31"/>
        <v>0</v>
      </c>
      <c r="S137" s="361">
        <f t="shared" si="32"/>
        <v>0</v>
      </c>
    </row>
    <row r="138" spans="1:19">
      <c r="A138" s="159"/>
      <c r="B138" s="59"/>
      <c r="C138" s="24">
        <f t="shared" si="23"/>
        <v>1</v>
      </c>
      <c r="D138" s="719"/>
      <c r="E138" s="24">
        <f t="shared" si="24"/>
        <v>4.4999999999999998E-2</v>
      </c>
      <c r="F138" s="719"/>
      <c r="G138" s="24">
        <f t="shared" si="25"/>
        <v>0</v>
      </c>
      <c r="H138" s="719"/>
      <c r="I138" s="24">
        <f t="shared" si="26"/>
        <v>0.02</v>
      </c>
      <c r="J138" s="719"/>
      <c r="K138" s="24">
        <f t="shared" si="27"/>
        <v>0</v>
      </c>
      <c r="L138" s="719"/>
      <c r="M138" s="24">
        <f t="shared" si="28"/>
        <v>0.02</v>
      </c>
      <c r="N138" s="719"/>
      <c r="O138" s="24">
        <f t="shared" si="29"/>
        <v>1</v>
      </c>
      <c r="P138" s="719"/>
      <c r="Q138" s="24">
        <f t="shared" si="30"/>
        <v>1</v>
      </c>
      <c r="R138" s="715">
        <f t="shared" si="31"/>
        <v>0</v>
      </c>
      <c r="S138" s="361">
        <f t="shared" si="32"/>
        <v>0</v>
      </c>
    </row>
    <row r="139" spans="1:19">
      <c r="A139" s="159"/>
      <c r="B139" s="59"/>
      <c r="C139" s="24">
        <f t="shared" si="23"/>
        <v>1</v>
      </c>
      <c r="D139" s="719"/>
      <c r="E139" s="24">
        <f t="shared" si="24"/>
        <v>4.4999999999999998E-2</v>
      </c>
      <c r="F139" s="719"/>
      <c r="G139" s="24">
        <f t="shared" si="25"/>
        <v>0</v>
      </c>
      <c r="H139" s="719"/>
      <c r="I139" s="24">
        <f t="shared" si="26"/>
        <v>0.02</v>
      </c>
      <c r="J139" s="719"/>
      <c r="K139" s="24">
        <f t="shared" si="27"/>
        <v>0</v>
      </c>
      <c r="L139" s="719"/>
      <c r="M139" s="24">
        <f t="shared" si="28"/>
        <v>0.02</v>
      </c>
      <c r="N139" s="719"/>
      <c r="O139" s="24">
        <f t="shared" si="29"/>
        <v>1</v>
      </c>
      <c r="P139" s="719"/>
      <c r="Q139" s="24">
        <f t="shared" si="30"/>
        <v>1</v>
      </c>
      <c r="R139" s="715">
        <f t="shared" si="31"/>
        <v>0</v>
      </c>
      <c r="S139" s="361">
        <f t="shared" si="32"/>
        <v>0</v>
      </c>
    </row>
    <row r="140" spans="1:19">
      <c r="A140" s="159"/>
      <c r="B140" s="59"/>
      <c r="C140" s="24">
        <f t="shared" si="23"/>
        <v>1</v>
      </c>
      <c r="D140" s="719"/>
      <c r="E140" s="24">
        <f t="shared" si="24"/>
        <v>4.4999999999999998E-2</v>
      </c>
      <c r="F140" s="719"/>
      <c r="G140" s="24">
        <f t="shared" si="25"/>
        <v>0</v>
      </c>
      <c r="H140" s="719"/>
      <c r="I140" s="24">
        <f t="shared" si="26"/>
        <v>0.02</v>
      </c>
      <c r="J140" s="719"/>
      <c r="K140" s="24">
        <f t="shared" si="27"/>
        <v>0</v>
      </c>
      <c r="L140" s="719"/>
      <c r="M140" s="24">
        <f t="shared" si="28"/>
        <v>0.02</v>
      </c>
      <c r="N140" s="719"/>
      <c r="O140" s="24">
        <f t="shared" si="29"/>
        <v>1</v>
      </c>
      <c r="P140" s="719"/>
      <c r="Q140" s="24">
        <f t="shared" si="30"/>
        <v>1</v>
      </c>
      <c r="R140" s="715">
        <f t="shared" si="31"/>
        <v>0</v>
      </c>
      <c r="S140" s="361">
        <f t="shared" si="32"/>
        <v>0</v>
      </c>
    </row>
    <row r="141" spans="1:19">
      <c r="A141" s="159"/>
      <c r="B141" s="59"/>
      <c r="C141" s="24">
        <f t="shared" si="23"/>
        <v>1</v>
      </c>
      <c r="D141" s="719"/>
      <c r="E141" s="24">
        <f t="shared" si="24"/>
        <v>4.4999999999999998E-2</v>
      </c>
      <c r="F141" s="719"/>
      <c r="G141" s="24">
        <f t="shared" si="25"/>
        <v>0</v>
      </c>
      <c r="H141" s="719"/>
      <c r="I141" s="24">
        <f t="shared" si="26"/>
        <v>0.02</v>
      </c>
      <c r="J141" s="719"/>
      <c r="K141" s="24">
        <f t="shared" si="27"/>
        <v>0</v>
      </c>
      <c r="L141" s="719"/>
      <c r="M141" s="24">
        <f t="shared" si="28"/>
        <v>0.02</v>
      </c>
      <c r="N141" s="719"/>
      <c r="O141" s="24">
        <f t="shared" si="29"/>
        <v>1</v>
      </c>
      <c r="P141" s="719"/>
      <c r="Q141" s="24">
        <f t="shared" si="30"/>
        <v>1</v>
      </c>
      <c r="R141" s="715">
        <f t="shared" si="31"/>
        <v>0</v>
      </c>
      <c r="S141" s="361">
        <f t="shared" si="32"/>
        <v>0</v>
      </c>
    </row>
    <row r="142" spans="1:19">
      <c r="A142" s="159"/>
      <c r="B142" s="59"/>
      <c r="C142" s="24">
        <f t="shared" si="23"/>
        <v>1</v>
      </c>
      <c r="D142" s="719"/>
      <c r="E142" s="24">
        <f t="shared" si="24"/>
        <v>4.4999999999999998E-2</v>
      </c>
      <c r="F142" s="719"/>
      <c r="G142" s="24">
        <f t="shared" si="25"/>
        <v>0</v>
      </c>
      <c r="H142" s="719"/>
      <c r="I142" s="24">
        <f t="shared" si="26"/>
        <v>0.02</v>
      </c>
      <c r="J142" s="719"/>
      <c r="K142" s="24">
        <f t="shared" si="27"/>
        <v>0</v>
      </c>
      <c r="L142" s="719"/>
      <c r="M142" s="24">
        <f t="shared" si="28"/>
        <v>0.02</v>
      </c>
      <c r="N142" s="719"/>
      <c r="O142" s="24">
        <f t="shared" si="29"/>
        <v>1</v>
      </c>
      <c r="P142" s="719"/>
      <c r="Q142" s="24">
        <f t="shared" si="30"/>
        <v>1</v>
      </c>
      <c r="R142" s="715">
        <f t="shared" si="31"/>
        <v>0</v>
      </c>
      <c r="S142" s="361">
        <f t="shared" si="32"/>
        <v>0</v>
      </c>
    </row>
    <row r="143" spans="1:19">
      <c r="A143" s="159"/>
      <c r="B143" s="59"/>
      <c r="C143" s="24">
        <f t="shared" si="23"/>
        <v>1</v>
      </c>
      <c r="D143" s="719"/>
      <c r="E143" s="24">
        <f t="shared" si="24"/>
        <v>4.4999999999999998E-2</v>
      </c>
      <c r="F143" s="719"/>
      <c r="G143" s="24">
        <f t="shared" si="25"/>
        <v>0</v>
      </c>
      <c r="H143" s="719"/>
      <c r="I143" s="24">
        <f t="shared" si="26"/>
        <v>0.02</v>
      </c>
      <c r="J143" s="719"/>
      <c r="K143" s="24">
        <f t="shared" si="27"/>
        <v>0</v>
      </c>
      <c r="L143" s="719"/>
      <c r="M143" s="24">
        <f t="shared" si="28"/>
        <v>0.02</v>
      </c>
      <c r="N143" s="719"/>
      <c r="O143" s="24">
        <f t="shared" si="29"/>
        <v>1</v>
      </c>
      <c r="P143" s="719"/>
      <c r="Q143" s="24">
        <f t="shared" si="30"/>
        <v>1</v>
      </c>
      <c r="R143" s="715">
        <f t="shared" si="31"/>
        <v>0</v>
      </c>
      <c r="S143" s="361">
        <f t="shared" si="32"/>
        <v>0</v>
      </c>
    </row>
    <row r="144" spans="1:19">
      <c r="A144" s="159"/>
      <c r="B144" s="59"/>
      <c r="C144" s="24">
        <f t="shared" si="23"/>
        <v>1</v>
      </c>
      <c r="D144" s="719"/>
      <c r="E144" s="24">
        <f t="shared" si="24"/>
        <v>4.4999999999999998E-2</v>
      </c>
      <c r="F144" s="719"/>
      <c r="G144" s="24">
        <f t="shared" si="25"/>
        <v>0</v>
      </c>
      <c r="H144" s="719"/>
      <c r="I144" s="24">
        <f t="shared" si="26"/>
        <v>0.02</v>
      </c>
      <c r="J144" s="719"/>
      <c r="K144" s="24">
        <f t="shared" si="27"/>
        <v>0</v>
      </c>
      <c r="L144" s="719"/>
      <c r="M144" s="24">
        <f t="shared" si="28"/>
        <v>0.02</v>
      </c>
      <c r="N144" s="719"/>
      <c r="O144" s="24">
        <f t="shared" si="29"/>
        <v>1</v>
      </c>
      <c r="P144" s="719"/>
      <c r="Q144" s="24">
        <f t="shared" si="30"/>
        <v>1</v>
      </c>
      <c r="R144" s="715">
        <f t="shared" si="31"/>
        <v>0</v>
      </c>
      <c r="S144" s="361">
        <f t="shared" si="32"/>
        <v>0</v>
      </c>
    </row>
    <row r="145" spans="1:19">
      <c r="A145" s="159"/>
      <c r="B145" s="59"/>
      <c r="C145" s="24">
        <f t="shared" si="23"/>
        <v>1</v>
      </c>
      <c r="D145" s="719"/>
      <c r="E145" s="24">
        <f t="shared" si="24"/>
        <v>4.4999999999999998E-2</v>
      </c>
      <c r="F145" s="719"/>
      <c r="G145" s="24">
        <f t="shared" si="25"/>
        <v>0</v>
      </c>
      <c r="H145" s="719"/>
      <c r="I145" s="24">
        <f t="shared" si="26"/>
        <v>0.02</v>
      </c>
      <c r="J145" s="719"/>
      <c r="K145" s="24">
        <f t="shared" si="27"/>
        <v>0</v>
      </c>
      <c r="L145" s="719"/>
      <c r="M145" s="24">
        <f t="shared" si="28"/>
        <v>0.02</v>
      </c>
      <c r="N145" s="719"/>
      <c r="O145" s="24">
        <f t="shared" si="29"/>
        <v>1</v>
      </c>
      <c r="P145" s="719"/>
      <c r="Q145" s="24">
        <f t="shared" si="30"/>
        <v>1</v>
      </c>
      <c r="R145" s="715">
        <f t="shared" si="31"/>
        <v>0</v>
      </c>
      <c r="S145" s="361">
        <f t="shared" si="32"/>
        <v>0</v>
      </c>
    </row>
    <row r="146" spans="1:19">
      <c r="A146" s="159"/>
      <c r="B146" s="59"/>
      <c r="C146" s="24">
        <f t="shared" si="23"/>
        <v>1</v>
      </c>
      <c r="D146" s="719"/>
      <c r="E146" s="24">
        <f t="shared" si="24"/>
        <v>4.4999999999999998E-2</v>
      </c>
      <c r="F146" s="719"/>
      <c r="G146" s="24">
        <f t="shared" si="25"/>
        <v>0</v>
      </c>
      <c r="H146" s="719"/>
      <c r="I146" s="24">
        <f t="shared" si="26"/>
        <v>0.02</v>
      </c>
      <c r="J146" s="719"/>
      <c r="K146" s="24">
        <f t="shared" si="27"/>
        <v>0</v>
      </c>
      <c r="L146" s="719"/>
      <c r="M146" s="24">
        <f t="shared" si="28"/>
        <v>0.02</v>
      </c>
      <c r="N146" s="719"/>
      <c r="O146" s="24">
        <f t="shared" si="29"/>
        <v>1</v>
      </c>
      <c r="P146" s="719"/>
      <c r="Q146" s="24">
        <f t="shared" si="30"/>
        <v>1</v>
      </c>
      <c r="R146" s="715">
        <f t="shared" si="31"/>
        <v>0</v>
      </c>
      <c r="S146" s="361">
        <f t="shared" si="32"/>
        <v>0</v>
      </c>
    </row>
    <row r="147" spans="1:19">
      <c r="A147" s="159"/>
      <c r="B147" s="59"/>
      <c r="C147" s="24">
        <f t="shared" si="23"/>
        <v>1</v>
      </c>
      <c r="D147" s="719"/>
      <c r="E147" s="24">
        <f t="shared" si="24"/>
        <v>4.4999999999999998E-2</v>
      </c>
      <c r="F147" s="719"/>
      <c r="G147" s="24">
        <f t="shared" si="25"/>
        <v>0</v>
      </c>
      <c r="H147" s="719"/>
      <c r="I147" s="24">
        <f t="shared" si="26"/>
        <v>0.02</v>
      </c>
      <c r="J147" s="719"/>
      <c r="K147" s="24">
        <f t="shared" si="27"/>
        <v>0</v>
      </c>
      <c r="L147" s="719"/>
      <c r="M147" s="24">
        <f t="shared" si="28"/>
        <v>0.02</v>
      </c>
      <c r="N147" s="719"/>
      <c r="O147" s="24">
        <f t="shared" si="29"/>
        <v>1</v>
      </c>
      <c r="P147" s="719"/>
      <c r="Q147" s="24">
        <f t="shared" si="30"/>
        <v>1</v>
      </c>
      <c r="R147" s="715">
        <f t="shared" si="31"/>
        <v>0</v>
      </c>
      <c r="S147" s="361">
        <f t="shared" si="32"/>
        <v>0</v>
      </c>
    </row>
    <row r="148" spans="1:19">
      <c r="A148" s="159"/>
      <c r="B148" s="59"/>
      <c r="C148" s="24">
        <f t="shared" si="23"/>
        <v>1</v>
      </c>
      <c r="D148" s="719"/>
      <c r="E148" s="24">
        <f t="shared" si="24"/>
        <v>4.4999999999999998E-2</v>
      </c>
      <c r="F148" s="719"/>
      <c r="G148" s="24">
        <f t="shared" si="25"/>
        <v>0</v>
      </c>
      <c r="H148" s="719"/>
      <c r="I148" s="24">
        <f t="shared" si="26"/>
        <v>0.02</v>
      </c>
      <c r="J148" s="719"/>
      <c r="K148" s="24">
        <f t="shared" si="27"/>
        <v>0</v>
      </c>
      <c r="L148" s="719"/>
      <c r="M148" s="24">
        <f t="shared" si="28"/>
        <v>0.02</v>
      </c>
      <c r="N148" s="719"/>
      <c r="O148" s="24">
        <f t="shared" si="29"/>
        <v>1</v>
      </c>
      <c r="P148" s="719"/>
      <c r="Q148" s="24">
        <f t="shared" si="30"/>
        <v>1</v>
      </c>
      <c r="R148" s="715">
        <f t="shared" si="31"/>
        <v>0</v>
      </c>
      <c r="S148" s="361">
        <f t="shared" si="32"/>
        <v>0</v>
      </c>
    </row>
    <row r="149" spans="1:19">
      <c r="A149" s="159"/>
      <c r="B149" s="59"/>
      <c r="C149" s="24">
        <f t="shared" si="23"/>
        <v>1</v>
      </c>
      <c r="D149" s="719"/>
      <c r="E149" s="24">
        <f t="shared" si="24"/>
        <v>4.4999999999999998E-2</v>
      </c>
      <c r="F149" s="719"/>
      <c r="G149" s="24">
        <f t="shared" si="25"/>
        <v>0</v>
      </c>
      <c r="H149" s="719"/>
      <c r="I149" s="24">
        <f t="shared" si="26"/>
        <v>0.02</v>
      </c>
      <c r="J149" s="719"/>
      <c r="K149" s="24">
        <f t="shared" si="27"/>
        <v>0</v>
      </c>
      <c r="L149" s="719"/>
      <c r="M149" s="24">
        <f t="shared" si="28"/>
        <v>0.02</v>
      </c>
      <c r="N149" s="719"/>
      <c r="O149" s="24">
        <f t="shared" si="29"/>
        <v>1</v>
      </c>
      <c r="P149" s="719"/>
      <c r="Q149" s="24">
        <f t="shared" si="30"/>
        <v>1</v>
      </c>
      <c r="R149" s="715">
        <f t="shared" si="31"/>
        <v>0</v>
      </c>
      <c r="S149" s="361">
        <f t="shared" si="32"/>
        <v>0</v>
      </c>
    </row>
    <row r="150" spans="1:19">
      <c r="A150" s="159"/>
      <c r="B150" s="59"/>
      <c r="C150" s="24">
        <f t="shared" si="23"/>
        <v>1</v>
      </c>
      <c r="D150" s="719"/>
      <c r="E150" s="24">
        <f t="shared" si="24"/>
        <v>4.4999999999999998E-2</v>
      </c>
      <c r="F150" s="719"/>
      <c r="G150" s="24">
        <f t="shared" si="25"/>
        <v>0</v>
      </c>
      <c r="H150" s="719"/>
      <c r="I150" s="24">
        <f t="shared" si="26"/>
        <v>0.02</v>
      </c>
      <c r="J150" s="719"/>
      <c r="K150" s="24">
        <f t="shared" si="27"/>
        <v>0</v>
      </c>
      <c r="L150" s="719"/>
      <c r="M150" s="24">
        <f t="shared" si="28"/>
        <v>0.02</v>
      </c>
      <c r="N150" s="719"/>
      <c r="O150" s="24">
        <f t="shared" si="29"/>
        <v>1</v>
      </c>
      <c r="P150" s="719"/>
      <c r="Q150" s="24">
        <f t="shared" si="30"/>
        <v>1</v>
      </c>
      <c r="R150" s="715">
        <f t="shared" si="31"/>
        <v>0</v>
      </c>
      <c r="S150" s="361">
        <f t="shared" si="32"/>
        <v>0</v>
      </c>
    </row>
    <row r="151" spans="1:19">
      <c r="A151" s="159"/>
      <c r="B151" s="59"/>
      <c r="C151" s="24">
        <f t="shared" si="23"/>
        <v>1</v>
      </c>
      <c r="D151" s="719"/>
      <c r="E151" s="24">
        <f t="shared" si="24"/>
        <v>4.4999999999999998E-2</v>
      </c>
      <c r="F151" s="719"/>
      <c r="G151" s="24">
        <f t="shared" si="25"/>
        <v>0</v>
      </c>
      <c r="H151" s="719"/>
      <c r="I151" s="24">
        <f t="shared" si="26"/>
        <v>0.02</v>
      </c>
      <c r="J151" s="719"/>
      <c r="K151" s="24">
        <f t="shared" si="27"/>
        <v>0</v>
      </c>
      <c r="L151" s="719"/>
      <c r="M151" s="24">
        <f t="shared" si="28"/>
        <v>0.02</v>
      </c>
      <c r="N151" s="719"/>
      <c r="O151" s="24">
        <f t="shared" si="29"/>
        <v>1</v>
      </c>
      <c r="P151" s="719"/>
      <c r="Q151" s="24">
        <f t="shared" si="30"/>
        <v>1</v>
      </c>
      <c r="R151" s="715">
        <f t="shared" si="31"/>
        <v>0</v>
      </c>
      <c r="S151" s="361">
        <f t="shared" si="32"/>
        <v>0</v>
      </c>
    </row>
    <row r="152" spans="1:19">
      <c r="A152" s="159"/>
      <c r="B152" s="59"/>
      <c r="C152" s="24">
        <f t="shared" si="23"/>
        <v>1</v>
      </c>
      <c r="D152" s="719"/>
      <c r="E152" s="24">
        <f t="shared" si="24"/>
        <v>4.4999999999999998E-2</v>
      </c>
      <c r="F152" s="719"/>
      <c r="G152" s="24">
        <f t="shared" si="25"/>
        <v>0</v>
      </c>
      <c r="H152" s="719"/>
      <c r="I152" s="24">
        <f t="shared" si="26"/>
        <v>0.02</v>
      </c>
      <c r="J152" s="719"/>
      <c r="K152" s="24">
        <f t="shared" si="27"/>
        <v>0</v>
      </c>
      <c r="L152" s="719"/>
      <c r="M152" s="24">
        <f t="shared" si="28"/>
        <v>0.02</v>
      </c>
      <c r="N152" s="719"/>
      <c r="O152" s="24">
        <f t="shared" si="29"/>
        <v>1</v>
      </c>
      <c r="P152" s="719"/>
      <c r="Q152" s="24">
        <f t="shared" si="30"/>
        <v>1</v>
      </c>
      <c r="R152" s="715">
        <f t="shared" si="31"/>
        <v>0</v>
      </c>
      <c r="S152" s="361">
        <f t="shared" si="32"/>
        <v>0</v>
      </c>
    </row>
    <row r="153" spans="1:19">
      <c r="A153" s="159"/>
      <c r="B153" s="59"/>
      <c r="C153" s="24">
        <f t="shared" si="23"/>
        <v>1</v>
      </c>
      <c r="D153" s="719"/>
      <c r="E153" s="24">
        <f t="shared" si="24"/>
        <v>4.4999999999999998E-2</v>
      </c>
      <c r="F153" s="719"/>
      <c r="G153" s="24">
        <f t="shared" si="25"/>
        <v>0</v>
      </c>
      <c r="H153" s="719"/>
      <c r="I153" s="24">
        <f t="shared" si="26"/>
        <v>0.02</v>
      </c>
      <c r="J153" s="719"/>
      <c r="K153" s="24">
        <f t="shared" si="27"/>
        <v>0</v>
      </c>
      <c r="L153" s="719"/>
      <c r="M153" s="24">
        <f t="shared" si="28"/>
        <v>0.02</v>
      </c>
      <c r="N153" s="719"/>
      <c r="O153" s="24">
        <f t="shared" si="29"/>
        <v>1</v>
      </c>
      <c r="P153" s="719"/>
      <c r="Q153" s="24">
        <f t="shared" si="30"/>
        <v>1</v>
      </c>
      <c r="R153" s="715">
        <f t="shared" si="31"/>
        <v>0</v>
      </c>
      <c r="S153" s="361">
        <f t="shared" si="32"/>
        <v>0</v>
      </c>
    </row>
    <row r="154" spans="1:19">
      <c r="A154" s="159"/>
      <c r="B154" s="59"/>
      <c r="C154" s="24">
        <f t="shared" ref="C154:C217" si="33">IF(B154="",1,(LOOKUP(B154,$3:$3,$4:$4)-LOOKUP($B$24,$3:$3,$4:$4)+100)/100)</f>
        <v>1</v>
      </c>
      <c r="D154" s="719"/>
      <c r="E154" s="24">
        <f t="shared" ref="E154:E217" si="34">(SUMIF($5:$5,D154,$6:$6)-SUMIF($5:$5,$D$24,$6:$6)+100)/100</f>
        <v>4.4999999999999998E-2</v>
      </c>
      <c r="F154" s="719"/>
      <c r="G154" s="24">
        <f t="shared" ref="G154:G217" si="35">(SUMIF($7:$7,F154,$8:$8)-SUMIF($7:$7,$F$24,$8:$8)+100)/100</f>
        <v>0</v>
      </c>
      <c r="H154" s="719"/>
      <c r="I154" s="24">
        <f t="shared" ref="I154:I217" si="36">(SUMIF($9:$9,H154,$10:$10)-SUMIF($9:$9,$H$24,$10:$10)+100)/100</f>
        <v>0.02</v>
      </c>
      <c r="J154" s="719"/>
      <c r="K154" s="24">
        <f t="shared" ref="K154:K217" si="37">(SUMIF($11:$11,J154,$12:$12)-SUMIF($11:$11,$J$24,$12:$12)+100)/100</f>
        <v>0</v>
      </c>
      <c r="L154" s="719"/>
      <c r="M154" s="24">
        <f t="shared" ref="M154:M217" si="38">(SUMIF($13:$13,L154,$14:$14)-SUMIF($13:$13,$L$24,$14:$14)+100)/100</f>
        <v>0.02</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1">
        <f t="shared" si="32"/>
        <v>0</v>
      </c>
    </row>
    <row r="155" spans="1:19">
      <c r="A155" s="159"/>
      <c r="B155" s="59"/>
      <c r="C155" s="24">
        <f t="shared" si="33"/>
        <v>1</v>
      </c>
      <c r="D155" s="719"/>
      <c r="E155" s="24">
        <f t="shared" si="34"/>
        <v>4.4999999999999998E-2</v>
      </c>
      <c r="F155" s="719"/>
      <c r="G155" s="24">
        <f t="shared" si="35"/>
        <v>0</v>
      </c>
      <c r="H155" s="719"/>
      <c r="I155" s="24">
        <f t="shared" si="36"/>
        <v>0.02</v>
      </c>
      <c r="J155" s="719"/>
      <c r="K155" s="24">
        <f t="shared" si="37"/>
        <v>0</v>
      </c>
      <c r="L155" s="719"/>
      <c r="M155" s="24">
        <f t="shared" si="38"/>
        <v>0.02</v>
      </c>
      <c r="N155" s="719"/>
      <c r="O155" s="24">
        <f t="shared" si="39"/>
        <v>1</v>
      </c>
      <c r="P155" s="719"/>
      <c r="Q155" s="24">
        <f t="shared" si="40"/>
        <v>1</v>
      </c>
      <c r="R155" s="715">
        <f t="shared" si="41"/>
        <v>0</v>
      </c>
      <c r="S155" s="361">
        <f t="shared" si="32"/>
        <v>0</v>
      </c>
    </row>
    <row r="156" spans="1:19">
      <c r="A156" s="159"/>
      <c r="B156" s="59"/>
      <c r="C156" s="24">
        <f t="shared" si="33"/>
        <v>1</v>
      </c>
      <c r="D156" s="719"/>
      <c r="E156" s="24">
        <f t="shared" si="34"/>
        <v>4.4999999999999998E-2</v>
      </c>
      <c r="F156" s="719"/>
      <c r="G156" s="24">
        <f t="shared" si="35"/>
        <v>0</v>
      </c>
      <c r="H156" s="719"/>
      <c r="I156" s="24">
        <f t="shared" si="36"/>
        <v>0.02</v>
      </c>
      <c r="J156" s="719"/>
      <c r="K156" s="24">
        <f t="shared" si="37"/>
        <v>0</v>
      </c>
      <c r="L156" s="719"/>
      <c r="M156" s="24">
        <f t="shared" si="38"/>
        <v>0.02</v>
      </c>
      <c r="N156" s="719"/>
      <c r="O156" s="24">
        <f t="shared" si="39"/>
        <v>1</v>
      </c>
      <c r="P156" s="719"/>
      <c r="Q156" s="24">
        <f t="shared" si="40"/>
        <v>1</v>
      </c>
      <c r="R156" s="715">
        <f t="shared" si="41"/>
        <v>0</v>
      </c>
      <c r="S156" s="361">
        <f t="shared" si="32"/>
        <v>0</v>
      </c>
    </row>
    <row r="157" spans="1:19">
      <c r="A157" s="159"/>
      <c r="B157" s="59"/>
      <c r="C157" s="24">
        <f t="shared" si="33"/>
        <v>1</v>
      </c>
      <c r="D157" s="719"/>
      <c r="E157" s="24">
        <f t="shared" si="34"/>
        <v>4.4999999999999998E-2</v>
      </c>
      <c r="F157" s="719"/>
      <c r="G157" s="24">
        <f t="shared" si="35"/>
        <v>0</v>
      </c>
      <c r="H157" s="719"/>
      <c r="I157" s="24">
        <f t="shared" si="36"/>
        <v>0.02</v>
      </c>
      <c r="J157" s="719"/>
      <c r="K157" s="24">
        <f t="shared" si="37"/>
        <v>0</v>
      </c>
      <c r="L157" s="719"/>
      <c r="M157" s="24">
        <f t="shared" si="38"/>
        <v>0.02</v>
      </c>
      <c r="N157" s="719"/>
      <c r="O157" s="24">
        <f t="shared" si="39"/>
        <v>1</v>
      </c>
      <c r="P157" s="719"/>
      <c r="Q157" s="24">
        <f t="shared" si="40"/>
        <v>1</v>
      </c>
      <c r="R157" s="715">
        <f t="shared" si="41"/>
        <v>0</v>
      </c>
      <c r="S157" s="361">
        <f t="shared" si="32"/>
        <v>0</v>
      </c>
    </row>
    <row r="158" spans="1:19">
      <c r="A158" s="159"/>
      <c r="B158" s="59"/>
      <c r="C158" s="24">
        <f t="shared" si="33"/>
        <v>1</v>
      </c>
      <c r="D158" s="719"/>
      <c r="E158" s="24">
        <f t="shared" si="34"/>
        <v>4.4999999999999998E-2</v>
      </c>
      <c r="F158" s="719"/>
      <c r="G158" s="24">
        <f t="shared" si="35"/>
        <v>0</v>
      </c>
      <c r="H158" s="719"/>
      <c r="I158" s="24">
        <f t="shared" si="36"/>
        <v>0.02</v>
      </c>
      <c r="J158" s="719"/>
      <c r="K158" s="24">
        <f t="shared" si="37"/>
        <v>0</v>
      </c>
      <c r="L158" s="719"/>
      <c r="M158" s="24">
        <f t="shared" si="38"/>
        <v>0.02</v>
      </c>
      <c r="N158" s="719"/>
      <c r="O158" s="24">
        <f t="shared" si="39"/>
        <v>1</v>
      </c>
      <c r="P158" s="719"/>
      <c r="Q158" s="24">
        <f t="shared" si="40"/>
        <v>1</v>
      </c>
      <c r="R158" s="715">
        <f t="shared" si="41"/>
        <v>0</v>
      </c>
      <c r="S158" s="361">
        <f t="shared" si="32"/>
        <v>0</v>
      </c>
    </row>
    <row r="159" spans="1:19">
      <c r="A159" s="159"/>
      <c r="B159" s="59"/>
      <c r="C159" s="24">
        <f t="shared" si="33"/>
        <v>1</v>
      </c>
      <c r="D159" s="719"/>
      <c r="E159" s="24">
        <f t="shared" si="34"/>
        <v>4.4999999999999998E-2</v>
      </c>
      <c r="F159" s="719"/>
      <c r="G159" s="24">
        <f t="shared" si="35"/>
        <v>0</v>
      </c>
      <c r="H159" s="719"/>
      <c r="I159" s="24">
        <f t="shared" si="36"/>
        <v>0.02</v>
      </c>
      <c r="J159" s="719"/>
      <c r="K159" s="24">
        <f t="shared" si="37"/>
        <v>0</v>
      </c>
      <c r="L159" s="719"/>
      <c r="M159" s="24">
        <f t="shared" si="38"/>
        <v>0.02</v>
      </c>
      <c r="N159" s="719"/>
      <c r="O159" s="24">
        <f t="shared" si="39"/>
        <v>1</v>
      </c>
      <c r="P159" s="719"/>
      <c r="Q159" s="24">
        <f t="shared" si="40"/>
        <v>1</v>
      </c>
      <c r="R159" s="715">
        <f t="shared" si="41"/>
        <v>0</v>
      </c>
      <c r="S159" s="361">
        <f t="shared" si="32"/>
        <v>0</v>
      </c>
    </row>
    <row r="160" spans="1:19">
      <c r="A160" s="159"/>
      <c r="B160" s="59"/>
      <c r="C160" s="24">
        <f t="shared" si="33"/>
        <v>1</v>
      </c>
      <c r="D160" s="719"/>
      <c r="E160" s="24">
        <f t="shared" si="34"/>
        <v>4.4999999999999998E-2</v>
      </c>
      <c r="F160" s="719"/>
      <c r="G160" s="24">
        <f t="shared" si="35"/>
        <v>0</v>
      </c>
      <c r="H160" s="719"/>
      <c r="I160" s="24">
        <f t="shared" si="36"/>
        <v>0.02</v>
      </c>
      <c r="J160" s="719"/>
      <c r="K160" s="24">
        <f t="shared" si="37"/>
        <v>0</v>
      </c>
      <c r="L160" s="719"/>
      <c r="M160" s="24">
        <f t="shared" si="38"/>
        <v>0.02</v>
      </c>
      <c r="N160" s="719"/>
      <c r="O160" s="24">
        <f t="shared" si="39"/>
        <v>1</v>
      </c>
      <c r="P160" s="719"/>
      <c r="Q160" s="24">
        <f t="shared" si="40"/>
        <v>1</v>
      </c>
      <c r="R160" s="715">
        <f t="shared" si="41"/>
        <v>0</v>
      </c>
      <c r="S160" s="361">
        <f t="shared" si="32"/>
        <v>0</v>
      </c>
    </row>
    <row r="161" spans="1:19">
      <c r="A161" s="159"/>
      <c r="B161" s="59"/>
      <c r="C161" s="24">
        <f t="shared" si="33"/>
        <v>1</v>
      </c>
      <c r="D161" s="719"/>
      <c r="E161" s="24">
        <f t="shared" si="34"/>
        <v>4.4999999999999998E-2</v>
      </c>
      <c r="F161" s="719"/>
      <c r="G161" s="24">
        <f t="shared" si="35"/>
        <v>0</v>
      </c>
      <c r="H161" s="719"/>
      <c r="I161" s="24">
        <f t="shared" si="36"/>
        <v>0.02</v>
      </c>
      <c r="J161" s="719"/>
      <c r="K161" s="24">
        <f t="shared" si="37"/>
        <v>0</v>
      </c>
      <c r="L161" s="719"/>
      <c r="M161" s="24">
        <f t="shared" si="38"/>
        <v>0.02</v>
      </c>
      <c r="N161" s="719"/>
      <c r="O161" s="24">
        <f t="shared" si="39"/>
        <v>1</v>
      </c>
      <c r="P161" s="719"/>
      <c r="Q161" s="24">
        <f t="shared" si="40"/>
        <v>1</v>
      </c>
      <c r="R161" s="715">
        <f t="shared" si="41"/>
        <v>0</v>
      </c>
      <c r="S161" s="361">
        <f t="shared" si="32"/>
        <v>0</v>
      </c>
    </row>
    <row r="162" spans="1:19">
      <c r="A162" s="159"/>
      <c r="B162" s="59"/>
      <c r="C162" s="24">
        <f t="shared" si="33"/>
        <v>1</v>
      </c>
      <c r="D162" s="719"/>
      <c r="E162" s="24">
        <f t="shared" si="34"/>
        <v>4.4999999999999998E-2</v>
      </c>
      <c r="F162" s="719"/>
      <c r="G162" s="24">
        <f t="shared" si="35"/>
        <v>0</v>
      </c>
      <c r="H162" s="719"/>
      <c r="I162" s="24">
        <f t="shared" si="36"/>
        <v>0.02</v>
      </c>
      <c r="J162" s="719"/>
      <c r="K162" s="24">
        <f t="shared" si="37"/>
        <v>0</v>
      </c>
      <c r="L162" s="719"/>
      <c r="M162" s="24">
        <f t="shared" si="38"/>
        <v>0.02</v>
      </c>
      <c r="N162" s="719"/>
      <c r="O162" s="24">
        <f t="shared" si="39"/>
        <v>1</v>
      </c>
      <c r="P162" s="719"/>
      <c r="Q162" s="24">
        <f t="shared" si="40"/>
        <v>1</v>
      </c>
      <c r="R162" s="715">
        <f t="shared" si="41"/>
        <v>0</v>
      </c>
      <c r="S162" s="361">
        <f t="shared" si="32"/>
        <v>0</v>
      </c>
    </row>
    <row r="163" spans="1:19">
      <c r="A163" s="159"/>
      <c r="B163" s="59"/>
      <c r="C163" s="24">
        <f t="shared" si="33"/>
        <v>1</v>
      </c>
      <c r="D163" s="719"/>
      <c r="E163" s="24">
        <f t="shared" si="34"/>
        <v>4.4999999999999998E-2</v>
      </c>
      <c r="F163" s="719"/>
      <c r="G163" s="24">
        <f t="shared" si="35"/>
        <v>0</v>
      </c>
      <c r="H163" s="719"/>
      <c r="I163" s="24">
        <f t="shared" si="36"/>
        <v>0.02</v>
      </c>
      <c r="J163" s="719"/>
      <c r="K163" s="24">
        <f t="shared" si="37"/>
        <v>0</v>
      </c>
      <c r="L163" s="719"/>
      <c r="M163" s="24">
        <f t="shared" si="38"/>
        <v>0.02</v>
      </c>
      <c r="N163" s="719"/>
      <c r="O163" s="24">
        <f t="shared" si="39"/>
        <v>1</v>
      </c>
      <c r="P163" s="719"/>
      <c r="Q163" s="24">
        <f t="shared" si="40"/>
        <v>1</v>
      </c>
      <c r="R163" s="715">
        <f t="shared" si="41"/>
        <v>0</v>
      </c>
      <c r="S163" s="361">
        <f t="shared" si="32"/>
        <v>0</v>
      </c>
    </row>
    <row r="164" spans="1:19">
      <c r="A164" s="159"/>
      <c r="B164" s="59"/>
      <c r="C164" s="24">
        <f t="shared" si="33"/>
        <v>1</v>
      </c>
      <c r="D164" s="719"/>
      <c r="E164" s="24">
        <f t="shared" si="34"/>
        <v>4.4999999999999998E-2</v>
      </c>
      <c r="F164" s="719"/>
      <c r="G164" s="24">
        <f t="shared" si="35"/>
        <v>0</v>
      </c>
      <c r="H164" s="719"/>
      <c r="I164" s="24">
        <f t="shared" si="36"/>
        <v>0.02</v>
      </c>
      <c r="J164" s="719"/>
      <c r="K164" s="24">
        <f t="shared" si="37"/>
        <v>0</v>
      </c>
      <c r="L164" s="719"/>
      <c r="M164" s="24">
        <f t="shared" si="38"/>
        <v>0.02</v>
      </c>
      <c r="N164" s="719"/>
      <c r="O164" s="24">
        <f t="shared" si="39"/>
        <v>1</v>
      </c>
      <c r="P164" s="719"/>
      <c r="Q164" s="24">
        <f t="shared" si="40"/>
        <v>1</v>
      </c>
      <c r="R164" s="715">
        <f t="shared" si="41"/>
        <v>0</v>
      </c>
      <c r="S164" s="361">
        <f t="shared" si="32"/>
        <v>0</v>
      </c>
    </row>
    <row r="165" spans="1:19">
      <c r="A165" s="159"/>
      <c r="B165" s="59"/>
      <c r="C165" s="24">
        <f t="shared" si="33"/>
        <v>1</v>
      </c>
      <c r="D165" s="719"/>
      <c r="E165" s="24">
        <f t="shared" si="34"/>
        <v>4.4999999999999998E-2</v>
      </c>
      <c r="F165" s="719"/>
      <c r="G165" s="24">
        <f t="shared" si="35"/>
        <v>0</v>
      </c>
      <c r="H165" s="719"/>
      <c r="I165" s="24">
        <f t="shared" si="36"/>
        <v>0.02</v>
      </c>
      <c r="J165" s="719"/>
      <c r="K165" s="24">
        <f t="shared" si="37"/>
        <v>0</v>
      </c>
      <c r="L165" s="719"/>
      <c r="M165" s="24">
        <f t="shared" si="38"/>
        <v>0.02</v>
      </c>
      <c r="N165" s="719"/>
      <c r="O165" s="24">
        <f t="shared" si="39"/>
        <v>1</v>
      </c>
      <c r="P165" s="719"/>
      <c r="Q165" s="24">
        <f t="shared" si="40"/>
        <v>1</v>
      </c>
      <c r="R165" s="715">
        <f t="shared" si="41"/>
        <v>0</v>
      </c>
      <c r="S165" s="361">
        <f t="shared" si="32"/>
        <v>0</v>
      </c>
    </row>
    <row r="166" spans="1:19">
      <c r="A166" s="159"/>
      <c r="B166" s="59"/>
      <c r="C166" s="24">
        <f t="shared" si="33"/>
        <v>1</v>
      </c>
      <c r="D166" s="719"/>
      <c r="E166" s="24">
        <f t="shared" si="34"/>
        <v>4.4999999999999998E-2</v>
      </c>
      <c r="F166" s="719"/>
      <c r="G166" s="24">
        <f t="shared" si="35"/>
        <v>0</v>
      </c>
      <c r="H166" s="719"/>
      <c r="I166" s="24">
        <f t="shared" si="36"/>
        <v>0.02</v>
      </c>
      <c r="J166" s="719"/>
      <c r="K166" s="24">
        <f t="shared" si="37"/>
        <v>0</v>
      </c>
      <c r="L166" s="719"/>
      <c r="M166" s="24">
        <f t="shared" si="38"/>
        <v>0.02</v>
      </c>
      <c r="N166" s="719"/>
      <c r="O166" s="24">
        <f t="shared" si="39"/>
        <v>1</v>
      </c>
      <c r="P166" s="719"/>
      <c r="Q166" s="24">
        <f t="shared" si="40"/>
        <v>1</v>
      </c>
      <c r="R166" s="715">
        <f t="shared" si="41"/>
        <v>0</v>
      </c>
      <c r="S166" s="361">
        <f t="shared" si="32"/>
        <v>0</v>
      </c>
    </row>
    <row r="167" spans="1:19">
      <c r="A167" s="159"/>
      <c r="B167" s="59"/>
      <c r="C167" s="24">
        <f t="shared" si="33"/>
        <v>1</v>
      </c>
      <c r="D167" s="719"/>
      <c r="E167" s="24">
        <f t="shared" si="34"/>
        <v>4.4999999999999998E-2</v>
      </c>
      <c r="F167" s="719"/>
      <c r="G167" s="24">
        <f t="shared" si="35"/>
        <v>0</v>
      </c>
      <c r="H167" s="719"/>
      <c r="I167" s="24">
        <f t="shared" si="36"/>
        <v>0.02</v>
      </c>
      <c r="J167" s="719"/>
      <c r="K167" s="24">
        <f t="shared" si="37"/>
        <v>0</v>
      </c>
      <c r="L167" s="719"/>
      <c r="M167" s="24">
        <f t="shared" si="38"/>
        <v>0.02</v>
      </c>
      <c r="N167" s="719"/>
      <c r="O167" s="24">
        <f t="shared" si="39"/>
        <v>1</v>
      </c>
      <c r="P167" s="719"/>
      <c r="Q167" s="24">
        <f t="shared" si="40"/>
        <v>1</v>
      </c>
      <c r="R167" s="715">
        <f t="shared" si="41"/>
        <v>0</v>
      </c>
      <c r="S167" s="361">
        <f t="shared" si="32"/>
        <v>0</v>
      </c>
    </row>
    <row r="168" spans="1:19">
      <c r="A168" s="159"/>
      <c r="B168" s="59"/>
      <c r="C168" s="24">
        <f t="shared" si="33"/>
        <v>1</v>
      </c>
      <c r="D168" s="719"/>
      <c r="E168" s="24">
        <f t="shared" si="34"/>
        <v>4.4999999999999998E-2</v>
      </c>
      <c r="F168" s="719"/>
      <c r="G168" s="24">
        <f t="shared" si="35"/>
        <v>0</v>
      </c>
      <c r="H168" s="719"/>
      <c r="I168" s="24">
        <f t="shared" si="36"/>
        <v>0.02</v>
      </c>
      <c r="J168" s="719"/>
      <c r="K168" s="24">
        <f t="shared" si="37"/>
        <v>0</v>
      </c>
      <c r="L168" s="719"/>
      <c r="M168" s="24">
        <f t="shared" si="38"/>
        <v>0.02</v>
      </c>
      <c r="N168" s="719"/>
      <c r="O168" s="24">
        <f t="shared" si="39"/>
        <v>1</v>
      </c>
      <c r="P168" s="719"/>
      <c r="Q168" s="24">
        <f t="shared" si="40"/>
        <v>1</v>
      </c>
      <c r="R168" s="715">
        <f t="shared" si="41"/>
        <v>0</v>
      </c>
      <c r="S168" s="361">
        <f t="shared" si="32"/>
        <v>0</v>
      </c>
    </row>
    <row r="169" spans="1:19">
      <c r="A169" s="159"/>
      <c r="B169" s="59"/>
      <c r="C169" s="24">
        <f t="shared" si="33"/>
        <v>1</v>
      </c>
      <c r="D169" s="719"/>
      <c r="E169" s="24">
        <f t="shared" si="34"/>
        <v>4.4999999999999998E-2</v>
      </c>
      <c r="F169" s="719"/>
      <c r="G169" s="24">
        <f t="shared" si="35"/>
        <v>0</v>
      </c>
      <c r="H169" s="719"/>
      <c r="I169" s="24">
        <f t="shared" si="36"/>
        <v>0.02</v>
      </c>
      <c r="J169" s="719"/>
      <c r="K169" s="24">
        <f t="shared" si="37"/>
        <v>0</v>
      </c>
      <c r="L169" s="719"/>
      <c r="M169" s="24">
        <f t="shared" si="38"/>
        <v>0.02</v>
      </c>
      <c r="N169" s="719"/>
      <c r="O169" s="24">
        <f t="shared" si="39"/>
        <v>1</v>
      </c>
      <c r="P169" s="719"/>
      <c r="Q169" s="24">
        <f t="shared" si="40"/>
        <v>1</v>
      </c>
      <c r="R169" s="715">
        <f t="shared" si="41"/>
        <v>0</v>
      </c>
      <c r="S169" s="361">
        <f t="shared" si="32"/>
        <v>0</v>
      </c>
    </row>
    <row r="170" spans="1:19">
      <c r="A170" s="159"/>
      <c r="B170" s="59"/>
      <c r="C170" s="24">
        <f t="shared" si="33"/>
        <v>1</v>
      </c>
      <c r="D170" s="719"/>
      <c r="E170" s="24">
        <f t="shared" si="34"/>
        <v>4.4999999999999998E-2</v>
      </c>
      <c r="F170" s="719"/>
      <c r="G170" s="24">
        <f t="shared" si="35"/>
        <v>0</v>
      </c>
      <c r="H170" s="719"/>
      <c r="I170" s="24">
        <f t="shared" si="36"/>
        <v>0.02</v>
      </c>
      <c r="J170" s="719"/>
      <c r="K170" s="24">
        <f t="shared" si="37"/>
        <v>0</v>
      </c>
      <c r="L170" s="719"/>
      <c r="M170" s="24">
        <f t="shared" si="38"/>
        <v>0.02</v>
      </c>
      <c r="N170" s="719"/>
      <c r="O170" s="24">
        <f t="shared" si="39"/>
        <v>1</v>
      </c>
      <c r="P170" s="719"/>
      <c r="Q170" s="24">
        <f t="shared" si="40"/>
        <v>1</v>
      </c>
      <c r="R170" s="715">
        <f t="shared" si="41"/>
        <v>0</v>
      </c>
      <c r="S170" s="361">
        <f t="shared" si="32"/>
        <v>0</v>
      </c>
    </row>
    <row r="171" spans="1:19">
      <c r="A171" s="159"/>
      <c r="B171" s="59"/>
      <c r="C171" s="24">
        <f t="shared" si="33"/>
        <v>1</v>
      </c>
      <c r="D171" s="719"/>
      <c r="E171" s="24">
        <f t="shared" si="34"/>
        <v>4.4999999999999998E-2</v>
      </c>
      <c r="F171" s="719"/>
      <c r="G171" s="24">
        <f t="shared" si="35"/>
        <v>0</v>
      </c>
      <c r="H171" s="719"/>
      <c r="I171" s="24">
        <f t="shared" si="36"/>
        <v>0.02</v>
      </c>
      <c r="J171" s="719"/>
      <c r="K171" s="24">
        <f t="shared" si="37"/>
        <v>0</v>
      </c>
      <c r="L171" s="719"/>
      <c r="M171" s="24">
        <f t="shared" si="38"/>
        <v>0.02</v>
      </c>
      <c r="N171" s="719"/>
      <c r="O171" s="24">
        <f t="shared" si="39"/>
        <v>1</v>
      </c>
      <c r="P171" s="719"/>
      <c r="Q171" s="24">
        <f t="shared" si="40"/>
        <v>1</v>
      </c>
      <c r="R171" s="715">
        <f t="shared" si="41"/>
        <v>0</v>
      </c>
      <c r="S171" s="361">
        <f t="shared" si="32"/>
        <v>0</v>
      </c>
    </row>
    <row r="172" spans="1:19">
      <c r="A172" s="159"/>
      <c r="B172" s="59"/>
      <c r="C172" s="24">
        <f t="shared" si="33"/>
        <v>1</v>
      </c>
      <c r="D172" s="719"/>
      <c r="E172" s="24">
        <f t="shared" si="34"/>
        <v>4.4999999999999998E-2</v>
      </c>
      <c r="F172" s="719"/>
      <c r="G172" s="24">
        <f t="shared" si="35"/>
        <v>0</v>
      </c>
      <c r="H172" s="719"/>
      <c r="I172" s="24">
        <f t="shared" si="36"/>
        <v>0.02</v>
      </c>
      <c r="J172" s="719"/>
      <c r="K172" s="24">
        <f t="shared" si="37"/>
        <v>0</v>
      </c>
      <c r="L172" s="719"/>
      <c r="M172" s="24">
        <f t="shared" si="38"/>
        <v>0.02</v>
      </c>
      <c r="N172" s="719"/>
      <c r="O172" s="24">
        <f t="shared" si="39"/>
        <v>1</v>
      </c>
      <c r="P172" s="719"/>
      <c r="Q172" s="24">
        <f t="shared" si="40"/>
        <v>1</v>
      </c>
      <c r="R172" s="715">
        <f t="shared" si="41"/>
        <v>0</v>
      </c>
      <c r="S172" s="361">
        <f t="shared" si="32"/>
        <v>0</v>
      </c>
    </row>
    <row r="173" spans="1:19">
      <c r="A173" s="159"/>
      <c r="B173" s="59"/>
      <c r="C173" s="24">
        <f t="shared" si="33"/>
        <v>1</v>
      </c>
      <c r="D173" s="719"/>
      <c r="E173" s="24">
        <f t="shared" si="34"/>
        <v>4.4999999999999998E-2</v>
      </c>
      <c r="F173" s="719"/>
      <c r="G173" s="24">
        <f t="shared" si="35"/>
        <v>0</v>
      </c>
      <c r="H173" s="719"/>
      <c r="I173" s="24">
        <f t="shared" si="36"/>
        <v>0.02</v>
      </c>
      <c r="J173" s="719"/>
      <c r="K173" s="24">
        <f t="shared" si="37"/>
        <v>0</v>
      </c>
      <c r="L173" s="719"/>
      <c r="M173" s="24">
        <f t="shared" si="38"/>
        <v>0.02</v>
      </c>
      <c r="N173" s="719"/>
      <c r="O173" s="24">
        <f t="shared" si="39"/>
        <v>1</v>
      </c>
      <c r="P173" s="719"/>
      <c r="Q173" s="24">
        <f t="shared" si="40"/>
        <v>1</v>
      </c>
      <c r="R173" s="715">
        <f t="shared" si="41"/>
        <v>0</v>
      </c>
      <c r="S173" s="361">
        <f t="shared" si="32"/>
        <v>0</v>
      </c>
    </row>
    <row r="174" spans="1:19">
      <c r="A174" s="159"/>
      <c r="B174" s="59"/>
      <c r="C174" s="24">
        <f t="shared" si="33"/>
        <v>1</v>
      </c>
      <c r="D174" s="719"/>
      <c r="E174" s="24">
        <f t="shared" si="34"/>
        <v>4.4999999999999998E-2</v>
      </c>
      <c r="F174" s="719"/>
      <c r="G174" s="24">
        <f t="shared" si="35"/>
        <v>0</v>
      </c>
      <c r="H174" s="719"/>
      <c r="I174" s="24">
        <f t="shared" si="36"/>
        <v>0.02</v>
      </c>
      <c r="J174" s="719"/>
      <c r="K174" s="24">
        <f t="shared" si="37"/>
        <v>0</v>
      </c>
      <c r="L174" s="719"/>
      <c r="M174" s="24">
        <f t="shared" si="38"/>
        <v>0.02</v>
      </c>
      <c r="N174" s="719"/>
      <c r="O174" s="24">
        <f t="shared" si="39"/>
        <v>1</v>
      </c>
      <c r="P174" s="719"/>
      <c r="Q174" s="24">
        <f t="shared" si="40"/>
        <v>1</v>
      </c>
      <c r="R174" s="715">
        <f t="shared" si="41"/>
        <v>0</v>
      </c>
      <c r="S174" s="361">
        <f t="shared" si="32"/>
        <v>0</v>
      </c>
    </row>
    <row r="175" spans="1:19">
      <c r="A175" s="159"/>
      <c r="B175" s="59"/>
      <c r="C175" s="24">
        <f t="shared" si="33"/>
        <v>1</v>
      </c>
      <c r="D175" s="719"/>
      <c r="E175" s="24">
        <f t="shared" si="34"/>
        <v>4.4999999999999998E-2</v>
      </c>
      <c r="F175" s="719"/>
      <c r="G175" s="24">
        <f t="shared" si="35"/>
        <v>0</v>
      </c>
      <c r="H175" s="719"/>
      <c r="I175" s="24">
        <f t="shared" si="36"/>
        <v>0.02</v>
      </c>
      <c r="J175" s="719"/>
      <c r="K175" s="24">
        <f t="shared" si="37"/>
        <v>0</v>
      </c>
      <c r="L175" s="719"/>
      <c r="M175" s="24">
        <f t="shared" si="38"/>
        <v>0.02</v>
      </c>
      <c r="N175" s="719"/>
      <c r="O175" s="24">
        <f t="shared" si="39"/>
        <v>1</v>
      </c>
      <c r="P175" s="719"/>
      <c r="Q175" s="24">
        <f t="shared" si="40"/>
        <v>1</v>
      </c>
      <c r="R175" s="715">
        <f t="shared" si="41"/>
        <v>0</v>
      </c>
      <c r="S175" s="361">
        <f t="shared" si="32"/>
        <v>0</v>
      </c>
    </row>
    <row r="176" spans="1:19">
      <c r="A176" s="159"/>
      <c r="B176" s="59"/>
      <c r="C176" s="24">
        <f t="shared" si="33"/>
        <v>1</v>
      </c>
      <c r="D176" s="719"/>
      <c r="E176" s="24">
        <f t="shared" si="34"/>
        <v>4.4999999999999998E-2</v>
      </c>
      <c r="F176" s="719"/>
      <c r="G176" s="24">
        <f t="shared" si="35"/>
        <v>0</v>
      </c>
      <c r="H176" s="719"/>
      <c r="I176" s="24">
        <f t="shared" si="36"/>
        <v>0.02</v>
      </c>
      <c r="J176" s="719"/>
      <c r="K176" s="24">
        <f t="shared" si="37"/>
        <v>0</v>
      </c>
      <c r="L176" s="719"/>
      <c r="M176" s="24">
        <f t="shared" si="38"/>
        <v>0.02</v>
      </c>
      <c r="N176" s="719"/>
      <c r="O176" s="24">
        <f t="shared" si="39"/>
        <v>1</v>
      </c>
      <c r="P176" s="719"/>
      <c r="Q176" s="24">
        <f t="shared" si="40"/>
        <v>1</v>
      </c>
      <c r="R176" s="715">
        <f t="shared" si="41"/>
        <v>0</v>
      </c>
      <c r="S176" s="361">
        <f t="shared" si="32"/>
        <v>0</v>
      </c>
    </row>
    <row r="177" spans="1:19">
      <c r="A177" s="159"/>
      <c r="B177" s="59"/>
      <c r="C177" s="24">
        <f t="shared" si="33"/>
        <v>1</v>
      </c>
      <c r="D177" s="719"/>
      <c r="E177" s="24">
        <f t="shared" si="34"/>
        <v>4.4999999999999998E-2</v>
      </c>
      <c r="F177" s="719"/>
      <c r="G177" s="24">
        <f t="shared" si="35"/>
        <v>0</v>
      </c>
      <c r="H177" s="719"/>
      <c r="I177" s="24">
        <f t="shared" si="36"/>
        <v>0.02</v>
      </c>
      <c r="J177" s="719"/>
      <c r="K177" s="24">
        <f t="shared" si="37"/>
        <v>0</v>
      </c>
      <c r="L177" s="719"/>
      <c r="M177" s="24">
        <f t="shared" si="38"/>
        <v>0.02</v>
      </c>
      <c r="N177" s="719"/>
      <c r="O177" s="24">
        <f t="shared" si="39"/>
        <v>1</v>
      </c>
      <c r="P177" s="719"/>
      <c r="Q177" s="24">
        <f t="shared" si="40"/>
        <v>1</v>
      </c>
      <c r="R177" s="715">
        <f t="shared" si="41"/>
        <v>0</v>
      </c>
      <c r="S177" s="361">
        <f t="shared" si="32"/>
        <v>0</v>
      </c>
    </row>
    <row r="178" spans="1:19">
      <c r="A178" s="159"/>
      <c r="B178" s="59"/>
      <c r="C178" s="24">
        <f t="shared" si="33"/>
        <v>1</v>
      </c>
      <c r="D178" s="719"/>
      <c r="E178" s="24">
        <f t="shared" si="34"/>
        <v>4.4999999999999998E-2</v>
      </c>
      <c r="F178" s="719"/>
      <c r="G178" s="24">
        <f t="shared" si="35"/>
        <v>0</v>
      </c>
      <c r="H178" s="719"/>
      <c r="I178" s="24">
        <f t="shared" si="36"/>
        <v>0.02</v>
      </c>
      <c r="J178" s="719"/>
      <c r="K178" s="24">
        <f t="shared" si="37"/>
        <v>0</v>
      </c>
      <c r="L178" s="719"/>
      <c r="M178" s="24">
        <f t="shared" si="38"/>
        <v>0.02</v>
      </c>
      <c r="N178" s="719"/>
      <c r="O178" s="24">
        <f t="shared" si="39"/>
        <v>1</v>
      </c>
      <c r="P178" s="719"/>
      <c r="Q178" s="24">
        <f t="shared" si="40"/>
        <v>1</v>
      </c>
      <c r="R178" s="715">
        <f t="shared" si="41"/>
        <v>0</v>
      </c>
      <c r="S178" s="361">
        <f t="shared" si="32"/>
        <v>0</v>
      </c>
    </row>
    <row r="179" spans="1:19">
      <c r="A179" s="159"/>
      <c r="B179" s="59"/>
      <c r="C179" s="24">
        <f t="shared" si="33"/>
        <v>1</v>
      </c>
      <c r="D179" s="719"/>
      <c r="E179" s="24">
        <f t="shared" si="34"/>
        <v>4.4999999999999998E-2</v>
      </c>
      <c r="F179" s="719"/>
      <c r="G179" s="24">
        <f t="shared" si="35"/>
        <v>0</v>
      </c>
      <c r="H179" s="719"/>
      <c r="I179" s="24">
        <f t="shared" si="36"/>
        <v>0.02</v>
      </c>
      <c r="J179" s="719"/>
      <c r="K179" s="24">
        <f t="shared" si="37"/>
        <v>0</v>
      </c>
      <c r="L179" s="719"/>
      <c r="M179" s="24">
        <f t="shared" si="38"/>
        <v>0.02</v>
      </c>
      <c r="N179" s="719"/>
      <c r="O179" s="24">
        <f t="shared" si="39"/>
        <v>1</v>
      </c>
      <c r="P179" s="719"/>
      <c r="Q179" s="24">
        <f t="shared" si="40"/>
        <v>1</v>
      </c>
      <c r="R179" s="715">
        <f t="shared" si="41"/>
        <v>0</v>
      </c>
      <c r="S179" s="361">
        <f t="shared" si="32"/>
        <v>0</v>
      </c>
    </row>
    <row r="180" spans="1:19">
      <c r="A180" s="159"/>
      <c r="B180" s="59"/>
      <c r="C180" s="24">
        <f t="shared" si="33"/>
        <v>1</v>
      </c>
      <c r="D180" s="719"/>
      <c r="E180" s="24">
        <f t="shared" si="34"/>
        <v>4.4999999999999998E-2</v>
      </c>
      <c r="F180" s="719"/>
      <c r="G180" s="24">
        <f t="shared" si="35"/>
        <v>0</v>
      </c>
      <c r="H180" s="719"/>
      <c r="I180" s="24">
        <f t="shared" si="36"/>
        <v>0.02</v>
      </c>
      <c r="J180" s="719"/>
      <c r="K180" s="24">
        <f t="shared" si="37"/>
        <v>0</v>
      </c>
      <c r="L180" s="719"/>
      <c r="M180" s="24">
        <f t="shared" si="38"/>
        <v>0.02</v>
      </c>
      <c r="N180" s="719"/>
      <c r="O180" s="24">
        <f t="shared" si="39"/>
        <v>1</v>
      </c>
      <c r="P180" s="719"/>
      <c r="Q180" s="24">
        <f t="shared" si="40"/>
        <v>1</v>
      </c>
      <c r="R180" s="715">
        <f t="shared" si="41"/>
        <v>0</v>
      </c>
      <c r="S180" s="361">
        <f t="shared" si="32"/>
        <v>0</v>
      </c>
    </row>
    <row r="181" spans="1:19">
      <c r="A181" s="159"/>
      <c r="B181" s="59"/>
      <c r="C181" s="24">
        <f t="shared" si="33"/>
        <v>1</v>
      </c>
      <c r="D181" s="719"/>
      <c r="E181" s="24">
        <f t="shared" si="34"/>
        <v>4.4999999999999998E-2</v>
      </c>
      <c r="F181" s="719"/>
      <c r="G181" s="24">
        <f t="shared" si="35"/>
        <v>0</v>
      </c>
      <c r="H181" s="719"/>
      <c r="I181" s="24">
        <f t="shared" si="36"/>
        <v>0.02</v>
      </c>
      <c r="J181" s="719"/>
      <c r="K181" s="24">
        <f t="shared" si="37"/>
        <v>0</v>
      </c>
      <c r="L181" s="719"/>
      <c r="M181" s="24">
        <f t="shared" si="38"/>
        <v>0.02</v>
      </c>
      <c r="N181" s="719"/>
      <c r="O181" s="24">
        <f t="shared" si="39"/>
        <v>1</v>
      </c>
      <c r="P181" s="719"/>
      <c r="Q181" s="24">
        <f t="shared" si="40"/>
        <v>1</v>
      </c>
      <c r="R181" s="715">
        <f t="shared" si="41"/>
        <v>0</v>
      </c>
      <c r="S181" s="361">
        <f t="shared" si="32"/>
        <v>0</v>
      </c>
    </row>
    <row r="182" spans="1:19">
      <c r="A182" s="159"/>
      <c r="B182" s="59"/>
      <c r="C182" s="24">
        <f t="shared" si="33"/>
        <v>1</v>
      </c>
      <c r="D182" s="719"/>
      <c r="E182" s="24">
        <f t="shared" si="34"/>
        <v>4.4999999999999998E-2</v>
      </c>
      <c r="F182" s="719"/>
      <c r="G182" s="24">
        <f t="shared" si="35"/>
        <v>0</v>
      </c>
      <c r="H182" s="719"/>
      <c r="I182" s="24">
        <f t="shared" si="36"/>
        <v>0.02</v>
      </c>
      <c r="J182" s="719"/>
      <c r="K182" s="24">
        <f t="shared" si="37"/>
        <v>0</v>
      </c>
      <c r="L182" s="719"/>
      <c r="M182" s="24">
        <f t="shared" si="38"/>
        <v>0.02</v>
      </c>
      <c r="N182" s="719"/>
      <c r="O182" s="24">
        <f t="shared" si="39"/>
        <v>1</v>
      </c>
      <c r="P182" s="719"/>
      <c r="Q182" s="24">
        <f t="shared" si="40"/>
        <v>1</v>
      </c>
      <c r="R182" s="715">
        <f t="shared" si="41"/>
        <v>0</v>
      </c>
      <c r="S182" s="361">
        <f t="shared" si="32"/>
        <v>0</v>
      </c>
    </row>
    <row r="183" spans="1:19">
      <c r="A183" s="159"/>
      <c r="B183" s="59"/>
      <c r="C183" s="24">
        <f t="shared" si="33"/>
        <v>1</v>
      </c>
      <c r="D183" s="719"/>
      <c r="E183" s="24">
        <f t="shared" si="34"/>
        <v>4.4999999999999998E-2</v>
      </c>
      <c r="F183" s="719"/>
      <c r="G183" s="24">
        <f t="shared" si="35"/>
        <v>0</v>
      </c>
      <c r="H183" s="719"/>
      <c r="I183" s="24">
        <f t="shared" si="36"/>
        <v>0.02</v>
      </c>
      <c r="J183" s="719"/>
      <c r="K183" s="24">
        <f t="shared" si="37"/>
        <v>0</v>
      </c>
      <c r="L183" s="719"/>
      <c r="M183" s="24">
        <f t="shared" si="38"/>
        <v>0.02</v>
      </c>
      <c r="N183" s="719"/>
      <c r="O183" s="24">
        <f t="shared" si="39"/>
        <v>1</v>
      </c>
      <c r="P183" s="719"/>
      <c r="Q183" s="24">
        <f t="shared" si="40"/>
        <v>1</v>
      </c>
      <c r="R183" s="715">
        <f t="shared" si="41"/>
        <v>0</v>
      </c>
      <c r="S183" s="361">
        <f t="shared" si="32"/>
        <v>0</v>
      </c>
    </row>
    <row r="184" spans="1:19">
      <c r="A184" s="159"/>
      <c r="B184" s="59"/>
      <c r="C184" s="24">
        <f t="shared" si="33"/>
        <v>1</v>
      </c>
      <c r="D184" s="719"/>
      <c r="E184" s="24">
        <f t="shared" si="34"/>
        <v>4.4999999999999998E-2</v>
      </c>
      <c r="F184" s="719"/>
      <c r="G184" s="24">
        <f t="shared" si="35"/>
        <v>0</v>
      </c>
      <c r="H184" s="719"/>
      <c r="I184" s="24">
        <f t="shared" si="36"/>
        <v>0.02</v>
      </c>
      <c r="J184" s="719"/>
      <c r="K184" s="24">
        <f t="shared" si="37"/>
        <v>0</v>
      </c>
      <c r="L184" s="719"/>
      <c r="M184" s="24">
        <f t="shared" si="38"/>
        <v>0.02</v>
      </c>
      <c r="N184" s="719"/>
      <c r="O184" s="24">
        <f t="shared" si="39"/>
        <v>1</v>
      </c>
      <c r="P184" s="719"/>
      <c r="Q184" s="24">
        <f t="shared" si="40"/>
        <v>1</v>
      </c>
      <c r="R184" s="715">
        <f t="shared" si="41"/>
        <v>0</v>
      </c>
      <c r="S184" s="361">
        <f t="shared" si="32"/>
        <v>0</v>
      </c>
    </row>
    <row r="185" spans="1:19">
      <c r="A185" s="159"/>
      <c r="B185" s="59"/>
      <c r="C185" s="24">
        <f t="shared" si="33"/>
        <v>1</v>
      </c>
      <c r="D185" s="719"/>
      <c r="E185" s="24">
        <f t="shared" si="34"/>
        <v>4.4999999999999998E-2</v>
      </c>
      <c r="F185" s="719"/>
      <c r="G185" s="24">
        <f t="shared" si="35"/>
        <v>0</v>
      </c>
      <c r="H185" s="719"/>
      <c r="I185" s="24">
        <f t="shared" si="36"/>
        <v>0.02</v>
      </c>
      <c r="J185" s="719"/>
      <c r="K185" s="24">
        <f t="shared" si="37"/>
        <v>0</v>
      </c>
      <c r="L185" s="719"/>
      <c r="M185" s="24">
        <f t="shared" si="38"/>
        <v>0.02</v>
      </c>
      <c r="N185" s="719"/>
      <c r="O185" s="24">
        <f t="shared" si="39"/>
        <v>1</v>
      </c>
      <c r="P185" s="719"/>
      <c r="Q185" s="24">
        <f t="shared" si="40"/>
        <v>1</v>
      </c>
      <c r="R185" s="715">
        <f t="shared" si="41"/>
        <v>0</v>
      </c>
      <c r="S185" s="361">
        <f t="shared" si="32"/>
        <v>0</v>
      </c>
    </row>
    <row r="186" spans="1:19">
      <c r="A186" s="159"/>
      <c r="B186" s="59"/>
      <c r="C186" s="24">
        <f t="shared" si="33"/>
        <v>1</v>
      </c>
      <c r="D186" s="719"/>
      <c r="E186" s="24">
        <f t="shared" si="34"/>
        <v>4.4999999999999998E-2</v>
      </c>
      <c r="F186" s="719"/>
      <c r="G186" s="24">
        <f t="shared" si="35"/>
        <v>0</v>
      </c>
      <c r="H186" s="719"/>
      <c r="I186" s="24">
        <f t="shared" si="36"/>
        <v>0.02</v>
      </c>
      <c r="J186" s="719"/>
      <c r="K186" s="24">
        <f t="shared" si="37"/>
        <v>0</v>
      </c>
      <c r="L186" s="719"/>
      <c r="M186" s="24">
        <f t="shared" si="38"/>
        <v>0.02</v>
      </c>
      <c r="N186" s="719"/>
      <c r="O186" s="24">
        <f t="shared" si="39"/>
        <v>1</v>
      </c>
      <c r="P186" s="719"/>
      <c r="Q186" s="24">
        <f t="shared" si="40"/>
        <v>1</v>
      </c>
      <c r="R186" s="715">
        <f t="shared" si="41"/>
        <v>0</v>
      </c>
      <c r="S186" s="361">
        <f t="shared" si="32"/>
        <v>0</v>
      </c>
    </row>
    <row r="187" spans="1:19">
      <c r="A187" s="159"/>
      <c r="B187" s="59"/>
      <c r="C187" s="24">
        <f t="shared" si="33"/>
        <v>1</v>
      </c>
      <c r="D187" s="719"/>
      <c r="E187" s="24">
        <f t="shared" si="34"/>
        <v>4.4999999999999998E-2</v>
      </c>
      <c r="F187" s="719"/>
      <c r="G187" s="24">
        <f t="shared" si="35"/>
        <v>0</v>
      </c>
      <c r="H187" s="719"/>
      <c r="I187" s="24">
        <f t="shared" si="36"/>
        <v>0.02</v>
      </c>
      <c r="J187" s="719"/>
      <c r="K187" s="24">
        <f t="shared" si="37"/>
        <v>0</v>
      </c>
      <c r="L187" s="719"/>
      <c r="M187" s="24">
        <f t="shared" si="38"/>
        <v>0.02</v>
      </c>
      <c r="N187" s="719"/>
      <c r="O187" s="24">
        <f t="shared" si="39"/>
        <v>1</v>
      </c>
      <c r="P187" s="719"/>
      <c r="Q187" s="24">
        <f t="shared" si="40"/>
        <v>1</v>
      </c>
      <c r="R187" s="715">
        <f t="shared" si="41"/>
        <v>0</v>
      </c>
      <c r="S187" s="361">
        <f t="shared" ref="S187:S222" si="42">ROUND(R187*B187/10000,0)</f>
        <v>0</v>
      </c>
    </row>
    <row r="188" spans="1:19">
      <c r="A188" s="159"/>
      <c r="B188" s="59"/>
      <c r="C188" s="24">
        <f t="shared" si="33"/>
        <v>1</v>
      </c>
      <c r="D188" s="719"/>
      <c r="E188" s="24">
        <f t="shared" si="34"/>
        <v>4.4999999999999998E-2</v>
      </c>
      <c r="F188" s="719"/>
      <c r="G188" s="24">
        <f t="shared" si="35"/>
        <v>0</v>
      </c>
      <c r="H188" s="719"/>
      <c r="I188" s="24">
        <f t="shared" si="36"/>
        <v>0.02</v>
      </c>
      <c r="J188" s="719"/>
      <c r="K188" s="24">
        <f t="shared" si="37"/>
        <v>0</v>
      </c>
      <c r="L188" s="719"/>
      <c r="M188" s="24">
        <f t="shared" si="38"/>
        <v>0.02</v>
      </c>
      <c r="N188" s="719"/>
      <c r="O188" s="24">
        <f t="shared" si="39"/>
        <v>1</v>
      </c>
      <c r="P188" s="719"/>
      <c r="Q188" s="24">
        <f t="shared" si="40"/>
        <v>1</v>
      </c>
      <c r="R188" s="715">
        <f t="shared" si="41"/>
        <v>0</v>
      </c>
      <c r="S188" s="361">
        <f t="shared" si="42"/>
        <v>0</v>
      </c>
    </row>
    <row r="189" spans="1:19">
      <c r="A189" s="159"/>
      <c r="B189" s="59"/>
      <c r="C189" s="24">
        <f t="shared" si="33"/>
        <v>1</v>
      </c>
      <c r="D189" s="719"/>
      <c r="E189" s="24">
        <f t="shared" si="34"/>
        <v>4.4999999999999998E-2</v>
      </c>
      <c r="F189" s="719"/>
      <c r="G189" s="24">
        <f t="shared" si="35"/>
        <v>0</v>
      </c>
      <c r="H189" s="719"/>
      <c r="I189" s="24">
        <f t="shared" si="36"/>
        <v>0.02</v>
      </c>
      <c r="J189" s="719"/>
      <c r="K189" s="24">
        <f t="shared" si="37"/>
        <v>0</v>
      </c>
      <c r="L189" s="719"/>
      <c r="M189" s="24">
        <f t="shared" si="38"/>
        <v>0.02</v>
      </c>
      <c r="N189" s="719"/>
      <c r="O189" s="24">
        <f t="shared" si="39"/>
        <v>1</v>
      </c>
      <c r="P189" s="719"/>
      <c r="Q189" s="24">
        <f t="shared" si="40"/>
        <v>1</v>
      </c>
      <c r="R189" s="715">
        <f t="shared" si="41"/>
        <v>0</v>
      </c>
      <c r="S189" s="361">
        <f t="shared" si="42"/>
        <v>0</v>
      </c>
    </row>
    <row r="190" spans="1:19">
      <c r="A190" s="159"/>
      <c r="B190" s="59"/>
      <c r="C190" s="24">
        <f t="shared" si="33"/>
        <v>1</v>
      </c>
      <c r="D190" s="719"/>
      <c r="E190" s="24">
        <f t="shared" si="34"/>
        <v>4.4999999999999998E-2</v>
      </c>
      <c r="F190" s="719"/>
      <c r="G190" s="24">
        <f t="shared" si="35"/>
        <v>0</v>
      </c>
      <c r="H190" s="719"/>
      <c r="I190" s="24">
        <f t="shared" si="36"/>
        <v>0.02</v>
      </c>
      <c r="J190" s="719"/>
      <c r="K190" s="24">
        <f t="shared" si="37"/>
        <v>0</v>
      </c>
      <c r="L190" s="719"/>
      <c r="M190" s="24">
        <f t="shared" si="38"/>
        <v>0.02</v>
      </c>
      <c r="N190" s="719"/>
      <c r="O190" s="24">
        <f t="shared" si="39"/>
        <v>1</v>
      </c>
      <c r="P190" s="719"/>
      <c r="Q190" s="24">
        <f t="shared" si="40"/>
        <v>1</v>
      </c>
      <c r="R190" s="715">
        <f t="shared" si="41"/>
        <v>0</v>
      </c>
      <c r="S190" s="361">
        <f t="shared" si="42"/>
        <v>0</v>
      </c>
    </row>
    <row r="191" spans="1:19">
      <c r="A191" s="159"/>
      <c r="B191" s="59"/>
      <c r="C191" s="24">
        <f t="shared" si="33"/>
        <v>1</v>
      </c>
      <c r="D191" s="719"/>
      <c r="E191" s="24">
        <f t="shared" si="34"/>
        <v>4.4999999999999998E-2</v>
      </c>
      <c r="F191" s="719"/>
      <c r="G191" s="24">
        <f t="shared" si="35"/>
        <v>0</v>
      </c>
      <c r="H191" s="719"/>
      <c r="I191" s="24">
        <f t="shared" si="36"/>
        <v>0.02</v>
      </c>
      <c r="J191" s="719"/>
      <c r="K191" s="24">
        <f t="shared" si="37"/>
        <v>0</v>
      </c>
      <c r="L191" s="719"/>
      <c r="M191" s="24">
        <f t="shared" si="38"/>
        <v>0.02</v>
      </c>
      <c r="N191" s="719"/>
      <c r="O191" s="24">
        <f t="shared" si="39"/>
        <v>1</v>
      </c>
      <c r="P191" s="719"/>
      <c r="Q191" s="24">
        <f t="shared" si="40"/>
        <v>1</v>
      </c>
      <c r="R191" s="715">
        <f t="shared" si="41"/>
        <v>0</v>
      </c>
      <c r="S191" s="361">
        <f t="shared" si="42"/>
        <v>0</v>
      </c>
    </row>
    <row r="192" spans="1:19">
      <c r="A192" s="159"/>
      <c r="B192" s="59"/>
      <c r="C192" s="24">
        <f t="shared" si="33"/>
        <v>1</v>
      </c>
      <c r="D192" s="719"/>
      <c r="E192" s="24">
        <f t="shared" si="34"/>
        <v>4.4999999999999998E-2</v>
      </c>
      <c r="F192" s="719"/>
      <c r="G192" s="24">
        <f t="shared" si="35"/>
        <v>0</v>
      </c>
      <c r="H192" s="719"/>
      <c r="I192" s="24">
        <f t="shared" si="36"/>
        <v>0.02</v>
      </c>
      <c r="J192" s="719"/>
      <c r="K192" s="24">
        <f t="shared" si="37"/>
        <v>0</v>
      </c>
      <c r="L192" s="719"/>
      <c r="M192" s="24">
        <f t="shared" si="38"/>
        <v>0.02</v>
      </c>
      <c r="N192" s="719"/>
      <c r="O192" s="24">
        <f t="shared" si="39"/>
        <v>1</v>
      </c>
      <c r="P192" s="719"/>
      <c r="Q192" s="24">
        <f t="shared" si="40"/>
        <v>1</v>
      </c>
      <c r="R192" s="715">
        <f t="shared" si="41"/>
        <v>0</v>
      </c>
      <c r="S192" s="361">
        <f t="shared" si="42"/>
        <v>0</v>
      </c>
    </row>
    <row r="193" spans="1:19">
      <c r="A193" s="159"/>
      <c r="B193" s="59"/>
      <c r="C193" s="24">
        <f t="shared" si="33"/>
        <v>1</v>
      </c>
      <c r="D193" s="719"/>
      <c r="E193" s="24">
        <f t="shared" si="34"/>
        <v>4.4999999999999998E-2</v>
      </c>
      <c r="F193" s="719"/>
      <c r="G193" s="24">
        <f t="shared" si="35"/>
        <v>0</v>
      </c>
      <c r="H193" s="719"/>
      <c r="I193" s="24">
        <f t="shared" si="36"/>
        <v>0.02</v>
      </c>
      <c r="J193" s="719"/>
      <c r="K193" s="24">
        <f t="shared" si="37"/>
        <v>0</v>
      </c>
      <c r="L193" s="719"/>
      <c r="M193" s="24">
        <f t="shared" si="38"/>
        <v>0.02</v>
      </c>
      <c r="N193" s="719"/>
      <c r="O193" s="24">
        <f t="shared" si="39"/>
        <v>1</v>
      </c>
      <c r="P193" s="719"/>
      <c r="Q193" s="24">
        <f t="shared" si="40"/>
        <v>1</v>
      </c>
      <c r="R193" s="715">
        <f t="shared" si="41"/>
        <v>0</v>
      </c>
      <c r="S193" s="361">
        <f t="shared" si="42"/>
        <v>0</v>
      </c>
    </row>
    <row r="194" spans="1:19">
      <c r="A194" s="159"/>
      <c r="B194" s="59"/>
      <c r="C194" s="24">
        <f t="shared" si="33"/>
        <v>1</v>
      </c>
      <c r="D194" s="719"/>
      <c r="E194" s="24">
        <f t="shared" si="34"/>
        <v>4.4999999999999998E-2</v>
      </c>
      <c r="F194" s="719"/>
      <c r="G194" s="24">
        <f t="shared" si="35"/>
        <v>0</v>
      </c>
      <c r="H194" s="719"/>
      <c r="I194" s="24">
        <f t="shared" si="36"/>
        <v>0.02</v>
      </c>
      <c r="J194" s="719"/>
      <c r="K194" s="24">
        <f t="shared" si="37"/>
        <v>0</v>
      </c>
      <c r="L194" s="719"/>
      <c r="M194" s="24">
        <f t="shared" si="38"/>
        <v>0.02</v>
      </c>
      <c r="N194" s="719"/>
      <c r="O194" s="24">
        <f t="shared" si="39"/>
        <v>1</v>
      </c>
      <c r="P194" s="719"/>
      <c r="Q194" s="24">
        <f t="shared" si="40"/>
        <v>1</v>
      </c>
      <c r="R194" s="715">
        <f t="shared" si="41"/>
        <v>0</v>
      </c>
      <c r="S194" s="361">
        <f t="shared" si="42"/>
        <v>0</v>
      </c>
    </row>
    <row r="195" spans="1:19">
      <c r="A195" s="159"/>
      <c r="B195" s="59"/>
      <c r="C195" s="24">
        <f t="shared" si="33"/>
        <v>1</v>
      </c>
      <c r="D195" s="719"/>
      <c r="E195" s="24">
        <f t="shared" si="34"/>
        <v>4.4999999999999998E-2</v>
      </c>
      <c r="F195" s="719"/>
      <c r="G195" s="24">
        <f t="shared" si="35"/>
        <v>0</v>
      </c>
      <c r="H195" s="719"/>
      <c r="I195" s="24">
        <f t="shared" si="36"/>
        <v>0.02</v>
      </c>
      <c r="J195" s="719"/>
      <c r="K195" s="24">
        <f t="shared" si="37"/>
        <v>0</v>
      </c>
      <c r="L195" s="719"/>
      <c r="M195" s="24">
        <f t="shared" si="38"/>
        <v>0.02</v>
      </c>
      <c r="N195" s="719"/>
      <c r="O195" s="24">
        <f t="shared" si="39"/>
        <v>1</v>
      </c>
      <c r="P195" s="719"/>
      <c r="Q195" s="24">
        <f t="shared" si="40"/>
        <v>1</v>
      </c>
      <c r="R195" s="715">
        <f t="shared" si="41"/>
        <v>0</v>
      </c>
      <c r="S195" s="361">
        <f t="shared" si="42"/>
        <v>0</v>
      </c>
    </row>
    <row r="196" spans="1:19">
      <c r="A196" s="159"/>
      <c r="B196" s="59"/>
      <c r="C196" s="24">
        <f t="shared" si="33"/>
        <v>1</v>
      </c>
      <c r="D196" s="719"/>
      <c r="E196" s="24">
        <f t="shared" si="34"/>
        <v>4.4999999999999998E-2</v>
      </c>
      <c r="F196" s="719"/>
      <c r="G196" s="24">
        <f t="shared" si="35"/>
        <v>0</v>
      </c>
      <c r="H196" s="719"/>
      <c r="I196" s="24">
        <f t="shared" si="36"/>
        <v>0.02</v>
      </c>
      <c r="J196" s="719"/>
      <c r="K196" s="24">
        <f t="shared" si="37"/>
        <v>0</v>
      </c>
      <c r="L196" s="719"/>
      <c r="M196" s="24">
        <f t="shared" si="38"/>
        <v>0.02</v>
      </c>
      <c r="N196" s="719"/>
      <c r="O196" s="24">
        <f t="shared" si="39"/>
        <v>1</v>
      </c>
      <c r="P196" s="719"/>
      <c r="Q196" s="24">
        <f t="shared" si="40"/>
        <v>1</v>
      </c>
      <c r="R196" s="715">
        <f t="shared" si="41"/>
        <v>0</v>
      </c>
      <c r="S196" s="361">
        <f t="shared" si="42"/>
        <v>0</v>
      </c>
    </row>
    <row r="197" spans="1:19">
      <c r="A197" s="159"/>
      <c r="B197" s="59"/>
      <c r="C197" s="24">
        <f t="shared" si="33"/>
        <v>1</v>
      </c>
      <c r="D197" s="719"/>
      <c r="E197" s="24">
        <f t="shared" si="34"/>
        <v>4.4999999999999998E-2</v>
      </c>
      <c r="F197" s="719"/>
      <c r="G197" s="24">
        <f t="shared" si="35"/>
        <v>0</v>
      </c>
      <c r="H197" s="719"/>
      <c r="I197" s="24">
        <f t="shared" si="36"/>
        <v>0.02</v>
      </c>
      <c r="J197" s="719"/>
      <c r="K197" s="24">
        <f t="shared" si="37"/>
        <v>0</v>
      </c>
      <c r="L197" s="719"/>
      <c r="M197" s="24">
        <f t="shared" si="38"/>
        <v>0.02</v>
      </c>
      <c r="N197" s="719"/>
      <c r="O197" s="24">
        <f t="shared" si="39"/>
        <v>1</v>
      </c>
      <c r="P197" s="719"/>
      <c r="Q197" s="24">
        <f t="shared" si="40"/>
        <v>1</v>
      </c>
      <c r="R197" s="715">
        <f t="shared" si="41"/>
        <v>0</v>
      </c>
      <c r="S197" s="361">
        <f t="shared" si="42"/>
        <v>0</v>
      </c>
    </row>
    <row r="198" spans="1:19">
      <c r="A198" s="159"/>
      <c r="B198" s="59"/>
      <c r="C198" s="24">
        <f t="shared" si="33"/>
        <v>1</v>
      </c>
      <c r="D198" s="719"/>
      <c r="E198" s="24">
        <f t="shared" si="34"/>
        <v>4.4999999999999998E-2</v>
      </c>
      <c r="F198" s="719"/>
      <c r="G198" s="24">
        <f t="shared" si="35"/>
        <v>0</v>
      </c>
      <c r="H198" s="719"/>
      <c r="I198" s="24">
        <f t="shared" si="36"/>
        <v>0.02</v>
      </c>
      <c r="J198" s="719"/>
      <c r="K198" s="24">
        <f t="shared" si="37"/>
        <v>0</v>
      </c>
      <c r="L198" s="719"/>
      <c r="M198" s="24">
        <f t="shared" si="38"/>
        <v>0.02</v>
      </c>
      <c r="N198" s="719"/>
      <c r="O198" s="24">
        <f t="shared" si="39"/>
        <v>1</v>
      </c>
      <c r="P198" s="719"/>
      <c r="Q198" s="24">
        <f t="shared" si="40"/>
        <v>1</v>
      </c>
      <c r="R198" s="715">
        <f t="shared" si="41"/>
        <v>0</v>
      </c>
      <c r="S198" s="361">
        <f t="shared" si="42"/>
        <v>0</v>
      </c>
    </row>
    <row r="199" spans="1:19">
      <c r="A199" s="159"/>
      <c r="B199" s="59"/>
      <c r="C199" s="24">
        <f t="shared" si="33"/>
        <v>1</v>
      </c>
      <c r="D199" s="719"/>
      <c r="E199" s="24">
        <f t="shared" si="34"/>
        <v>4.4999999999999998E-2</v>
      </c>
      <c r="F199" s="719"/>
      <c r="G199" s="24">
        <f t="shared" si="35"/>
        <v>0</v>
      </c>
      <c r="H199" s="719"/>
      <c r="I199" s="24">
        <f t="shared" si="36"/>
        <v>0.02</v>
      </c>
      <c r="J199" s="719"/>
      <c r="K199" s="24">
        <f t="shared" si="37"/>
        <v>0</v>
      </c>
      <c r="L199" s="719"/>
      <c r="M199" s="24">
        <f t="shared" si="38"/>
        <v>0.02</v>
      </c>
      <c r="N199" s="719"/>
      <c r="O199" s="24">
        <f t="shared" si="39"/>
        <v>1</v>
      </c>
      <c r="P199" s="719"/>
      <c r="Q199" s="24">
        <f t="shared" si="40"/>
        <v>1</v>
      </c>
      <c r="R199" s="715">
        <f t="shared" si="41"/>
        <v>0</v>
      </c>
      <c r="S199" s="361">
        <f t="shared" si="42"/>
        <v>0</v>
      </c>
    </row>
    <row r="200" spans="1:19">
      <c r="A200" s="159"/>
      <c r="B200" s="59"/>
      <c r="C200" s="24">
        <f t="shared" si="33"/>
        <v>1</v>
      </c>
      <c r="D200" s="719"/>
      <c r="E200" s="24">
        <f t="shared" si="34"/>
        <v>4.4999999999999998E-2</v>
      </c>
      <c r="F200" s="719"/>
      <c r="G200" s="24">
        <f t="shared" si="35"/>
        <v>0</v>
      </c>
      <c r="H200" s="719"/>
      <c r="I200" s="24">
        <f t="shared" si="36"/>
        <v>0.02</v>
      </c>
      <c r="J200" s="719"/>
      <c r="K200" s="24">
        <f t="shared" si="37"/>
        <v>0</v>
      </c>
      <c r="L200" s="719"/>
      <c r="M200" s="24">
        <f t="shared" si="38"/>
        <v>0.02</v>
      </c>
      <c r="N200" s="719"/>
      <c r="O200" s="24">
        <f t="shared" si="39"/>
        <v>1</v>
      </c>
      <c r="P200" s="719"/>
      <c r="Q200" s="24">
        <f t="shared" si="40"/>
        <v>1</v>
      </c>
      <c r="R200" s="715">
        <f t="shared" si="41"/>
        <v>0</v>
      </c>
      <c r="S200" s="361">
        <f t="shared" si="42"/>
        <v>0</v>
      </c>
    </row>
    <row r="201" spans="1:19">
      <c r="A201" s="159"/>
      <c r="B201" s="59"/>
      <c r="C201" s="24">
        <f t="shared" si="33"/>
        <v>1</v>
      </c>
      <c r="D201" s="719"/>
      <c r="E201" s="24">
        <f t="shared" si="34"/>
        <v>4.4999999999999998E-2</v>
      </c>
      <c r="F201" s="719"/>
      <c r="G201" s="24">
        <f t="shared" si="35"/>
        <v>0</v>
      </c>
      <c r="H201" s="719"/>
      <c r="I201" s="24">
        <f t="shared" si="36"/>
        <v>0.02</v>
      </c>
      <c r="J201" s="719"/>
      <c r="K201" s="24">
        <f t="shared" si="37"/>
        <v>0</v>
      </c>
      <c r="L201" s="719"/>
      <c r="M201" s="24">
        <f t="shared" si="38"/>
        <v>0.02</v>
      </c>
      <c r="N201" s="719"/>
      <c r="O201" s="24">
        <f t="shared" si="39"/>
        <v>1</v>
      </c>
      <c r="P201" s="719"/>
      <c r="Q201" s="24">
        <f t="shared" si="40"/>
        <v>1</v>
      </c>
      <c r="R201" s="715">
        <f t="shared" si="41"/>
        <v>0</v>
      </c>
      <c r="S201" s="361">
        <f t="shared" si="42"/>
        <v>0</v>
      </c>
    </row>
    <row r="202" spans="1:19">
      <c r="A202" s="159"/>
      <c r="B202" s="59"/>
      <c r="C202" s="24">
        <f t="shared" si="33"/>
        <v>1</v>
      </c>
      <c r="D202" s="719"/>
      <c r="E202" s="24">
        <f t="shared" si="34"/>
        <v>4.4999999999999998E-2</v>
      </c>
      <c r="F202" s="719"/>
      <c r="G202" s="24">
        <f t="shared" si="35"/>
        <v>0</v>
      </c>
      <c r="H202" s="719"/>
      <c r="I202" s="24">
        <f t="shared" si="36"/>
        <v>0.02</v>
      </c>
      <c r="J202" s="719"/>
      <c r="K202" s="24">
        <f t="shared" si="37"/>
        <v>0</v>
      </c>
      <c r="L202" s="719"/>
      <c r="M202" s="24">
        <f t="shared" si="38"/>
        <v>0.02</v>
      </c>
      <c r="N202" s="719"/>
      <c r="O202" s="24">
        <f t="shared" si="39"/>
        <v>1</v>
      </c>
      <c r="P202" s="719"/>
      <c r="Q202" s="24">
        <f t="shared" si="40"/>
        <v>1</v>
      </c>
      <c r="R202" s="715">
        <f t="shared" si="41"/>
        <v>0</v>
      </c>
      <c r="S202" s="361">
        <f t="shared" si="42"/>
        <v>0</v>
      </c>
    </row>
    <row r="203" spans="1:19">
      <c r="A203" s="159"/>
      <c r="B203" s="59"/>
      <c r="C203" s="24">
        <f t="shared" si="33"/>
        <v>1</v>
      </c>
      <c r="D203" s="719"/>
      <c r="E203" s="24">
        <f t="shared" si="34"/>
        <v>4.4999999999999998E-2</v>
      </c>
      <c r="F203" s="719"/>
      <c r="G203" s="24">
        <f t="shared" si="35"/>
        <v>0</v>
      </c>
      <c r="H203" s="719"/>
      <c r="I203" s="24">
        <f t="shared" si="36"/>
        <v>0.02</v>
      </c>
      <c r="J203" s="719"/>
      <c r="K203" s="24">
        <f t="shared" si="37"/>
        <v>0</v>
      </c>
      <c r="L203" s="719"/>
      <c r="M203" s="24">
        <f t="shared" si="38"/>
        <v>0.02</v>
      </c>
      <c r="N203" s="719"/>
      <c r="O203" s="24">
        <f t="shared" si="39"/>
        <v>1</v>
      </c>
      <c r="P203" s="719"/>
      <c r="Q203" s="24">
        <f t="shared" si="40"/>
        <v>1</v>
      </c>
      <c r="R203" s="715">
        <f t="shared" si="41"/>
        <v>0</v>
      </c>
      <c r="S203" s="361">
        <f t="shared" si="42"/>
        <v>0</v>
      </c>
    </row>
    <row r="204" spans="1:19">
      <c r="A204" s="159"/>
      <c r="B204" s="59"/>
      <c r="C204" s="24">
        <f t="shared" si="33"/>
        <v>1</v>
      </c>
      <c r="D204" s="719"/>
      <c r="E204" s="24">
        <f t="shared" si="34"/>
        <v>4.4999999999999998E-2</v>
      </c>
      <c r="F204" s="719"/>
      <c r="G204" s="24">
        <f t="shared" si="35"/>
        <v>0</v>
      </c>
      <c r="H204" s="719"/>
      <c r="I204" s="24">
        <f t="shared" si="36"/>
        <v>0.02</v>
      </c>
      <c r="J204" s="719"/>
      <c r="K204" s="24">
        <f t="shared" si="37"/>
        <v>0</v>
      </c>
      <c r="L204" s="719"/>
      <c r="M204" s="24">
        <f t="shared" si="38"/>
        <v>0.02</v>
      </c>
      <c r="N204" s="719"/>
      <c r="O204" s="24">
        <f t="shared" si="39"/>
        <v>1</v>
      </c>
      <c r="P204" s="719"/>
      <c r="Q204" s="24">
        <f t="shared" si="40"/>
        <v>1</v>
      </c>
      <c r="R204" s="715">
        <f t="shared" si="41"/>
        <v>0</v>
      </c>
      <c r="S204" s="361">
        <f t="shared" si="42"/>
        <v>0</v>
      </c>
    </row>
    <row r="205" spans="1:19">
      <c r="A205" s="159"/>
      <c r="B205" s="59"/>
      <c r="C205" s="24">
        <f t="shared" si="33"/>
        <v>1</v>
      </c>
      <c r="D205" s="719"/>
      <c r="E205" s="24">
        <f t="shared" si="34"/>
        <v>4.4999999999999998E-2</v>
      </c>
      <c r="F205" s="719"/>
      <c r="G205" s="24">
        <f t="shared" si="35"/>
        <v>0</v>
      </c>
      <c r="H205" s="719"/>
      <c r="I205" s="24">
        <f t="shared" si="36"/>
        <v>0.02</v>
      </c>
      <c r="J205" s="719"/>
      <c r="K205" s="24">
        <f t="shared" si="37"/>
        <v>0</v>
      </c>
      <c r="L205" s="719"/>
      <c r="M205" s="24">
        <f t="shared" si="38"/>
        <v>0.02</v>
      </c>
      <c r="N205" s="719"/>
      <c r="O205" s="24">
        <f t="shared" si="39"/>
        <v>1</v>
      </c>
      <c r="P205" s="719"/>
      <c r="Q205" s="24">
        <f t="shared" si="40"/>
        <v>1</v>
      </c>
      <c r="R205" s="715">
        <f t="shared" si="41"/>
        <v>0</v>
      </c>
      <c r="S205" s="361">
        <f t="shared" si="42"/>
        <v>0</v>
      </c>
    </row>
    <row r="206" spans="1:19">
      <c r="A206" s="159"/>
      <c r="B206" s="59"/>
      <c r="C206" s="24">
        <f t="shared" si="33"/>
        <v>1</v>
      </c>
      <c r="D206" s="719"/>
      <c r="E206" s="24">
        <f t="shared" si="34"/>
        <v>4.4999999999999998E-2</v>
      </c>
      <c r="F206" s="719"/>
      <c r="G206" s="24">
        <f t="shared" si="35"/>
        <v>0</v>
      </c>
      <c r="H206" s="719"/>
      <c r="I206" s="24">
        <f t="shared" si="36"/>
        <v>0.02</v>
      </c>
      <c r="J206" s="719"/>
      <c r="K206" s="24">
        <f t="shared" si="37"/>
        <v>0</v>
      </c>
      <c r="L206" s="719"/>
      <c r="M206" s="24">
        <f t="shared" si="38"/>
        <v>0.02</v>
      </c>
      <c r="N206" s="719"/>
      <c r="O206" s="24">
        <f t="shared" si="39"/>
        <v>1</v>
      </c>
      <c r="P206" s="719"/>
      <c r="Q206" s="24">
        <f t="shared" si="40"/>
        <v>1</v>
      </c>
      <c r="R206" s="715">
        <f t="shared" si="41"/>
        <v>0</v>
      </c>
      <c r="S206" s="361">
        <f t="shared" si="42"/>
        <v>0</v>
      </c>
    </row>
    <row r="207" spans="1:19">
      <c r="A207" s="159"/>
      <c r="B207" s="59"/>
      <c r="C207" s="24">
        <f t="shared" si="33"/>
        <v>1</v>
      </c>
      <c r="D207" s="719"/>
      <c r="E207" s="24">
        <f t="shared" si="34"/>
        <v>4.4999999999999998E-2</v>
      </c>
      <c r="F207" s="719"/>
      <c r="G207" s="24">
        <f t="shared" si="35"/>
        <v>0</v>
      </c>
      <c r="H207" s="719"/>
      <c r="I207" s="24">
        <f t="shared" si="36"/>
        <v>0.02</v>
      </c>
      <c r="J207" s="719"/>
      <c r="K207" s="24">
        <f t="shared" si="37"/>
        <v>0</v>
      </c>
      <c r="L207" s="719"/>
      <c r="M207" s="24">
        <f t="shared" si="38"/>
        <v>0.02</v>
      </c>
      <c r="N207" s="719"/>
      <c r="O207" s="24">
        <f t="shared" si="39"/>
        <v>1</v>
      </c>
      <c r="P207" s="719"/>
      <c r="Q207" s="24">
        <f t="shared" si="40"/>
        <v>1</v>
      </c>
      <c r="R207" s="715">
        <f t="shared" si="41"/>
        <v>0</v>
      </c>
      <c r="S207" s="361">
        <f t="shared" si="42"/>
        <v>0</v>
      </c>
    </row>
    <row r="208" spans="1:19">
      <c r="A208" s="159"/>
      <c r="B208" s="59"/>
      <c r="C208" s="24">
        <f t="shared" si="33"/>
        <v>1</v>
      </c>
      <c r="D208" s="719"/>
      <c r="E208" s="24">
        <f t="shared" si="34"/>
        <v>4.4999999999999998E-2</v>
      </c>
      <c r="F208" s="719"/>
      <c r="G208" s="24">
        <f t="shared" si="35"/>
        <v>0</v>
      </c>
      <c r="H208" s="719"/>
      <c r="I208" s="24">
        <f t="shared" si="36"/>
        <v>0.02</v>
      </c>
      <c r="J208" s="719"/>
      <c r="K208" s="24">
        <f t="shared" si="37"/>
        <v>0</v>
      </c>
      <c r="L208" s="719"/>
      <c r="M208" s="24">
        <f t="shared" si="38"/>
        <v>0.02</v>
      </c>
      <c r="N208" s="719"/>
      <c r="O208" s="24">
        <f t="shared" si="39"/>
        <v>1</v>
      </c>
      <c r="P208" s="719"/>
      <c r="Q208" s="24">
        <f t="shared" si="40"/>
        <v>1</v>
      </c>
      <c r="R208" s="715">
        <f t="shared" si="41"/>
        <v>0</v>
      </c>
      <c r="S208" s="361">
        <f t="shared" si="42"/>
        <v>0</v>
      </c>
    </row>
    <row r="209" spans="1:19">
      <c r="A209" s="159"/>
      <c r="B209" s="59"/>
      <c r="C209" s="24">
        <f t="shared" si="33"/>
        <v>1</v>
      </c>
      <c r="D209" s="719"/>
      <c r="E209" s="24">
        <f t="shared" si="34"/>
        <v>4.4999999999999998E-2</v>
      </c>
      <c r="F209" s="719"/>
      <c r="G209" s="24">
        <f t="shared" si="35"/>
        <v>0</v>
      </c>
      <c r="H209" s="719"/>
      <c r="I209" s="24">
        <f t="shared" si="36"/>
        <v>0.02</v>
      </c>
      <c r="J209" s="719"/>
      <c r="K209" s="24">
        <f t="shared" si="37"/>
        <v>0</v>
      </c>
      <c r="L209" s="719"/>
      <c r="M209" s="24">
        <f t="shared" si="38"/>
        <v>0.02</v>
      </c>
      <c r="N209" s="719"/>
      <c r="O209" s="24">
        <f t="shared" si="39"/>
        <v>1</v>
      </c>
      <c r="P209" s="719"/>
      <c r="Q209" s="24">
        <f t="shared" si="40"/>
        <v>1</v>
      </c>
      <c r="R209" s="715">
        <f t="shared" si="41"/>
        <v>0</v>
      </c>
      <c r="S209" s="361">
        <f t="shared" si="42"/>
        <v>0</v>
      </c>
    </row>
    <row r="210" spans="1:19">
      <c r="A210" s="159"/>
      <c r="B210" s="59"/>
      <c r="C210" s="24">
        <f t="shared" si="33"/>
        <v>1</v>
      </c>
      <c r="D210" s="719"/>
      <c r="E210" s="24">
        <f t="shared" si="34"/>
        <v>4.4999999999999998E-2</v>
      </c>
      <c r="F210" s="719"/>
      <c r="G210" s="24">
        <f t="shared" si="35"/>
        <v>0</v>
      </c>
      <c r="H210" s="719"/>
      <c r="I210" s="24">
        <f t="shared" si="36"/>
        <v>0.02</v>
      </c>
      <c r="J210" s="719"/>
      <c r="K210" s="24">
        <f t="shared" si="37"/>
        <v>0</v>
      </c>
      <c r="L210" s="719"/>
      <c r="M210" s="24">
        <f t="shared" si="38"/>
        <v>0.02</v>
      </c>
      <c r="N210" s="719"/>
      <c r="O210" s="24">
        <f t="shared" si="39"/>
        <v>1</v>
      </c>
      <c r="P210" s="719"/>
      <c r="Q210" s="24">
        <f t="shared" si="40"/>
        <v>1</v>
      </c>
      <c r="R210" s="715">
        <f t="shared" si="41"/>
        <v>0</v>
      </c>
      <c r="S210" s="361">
        <f t="shared" si="42"/>
        <v>0</v>
      </c>
    </row>
    <row r="211" spans="1:19">
      <c r="A211" s="159"/>
      <c r="B211" s="59"/>
      <c r="C211" s="24">
        <f t="shared" si="33"/>
        <v>1</v>
      </c>
      <c r="D211" s="719"/>
      <c r="E211" s="24">
        <f t="shared" si="34"/>
        <v>4.4999999999999998E-2</v>
      </c>
      <c r="F211" s="719"/>
      <c r="G211" s="24">
        <f t="shared" si="35"/>
        <v>0</v>
      </c>
      <c r="H211" s="719"/>
      <c r="I211" s="24">
        <f t="shared" si="36"/>
        <v>0.02</v>
      </c>
      <c r="J211" s="719"/>
      <c r="K211" s="24">
        <f t="shared" si="37"/>
        <v>0</v>
      </c>
      <c r="L211" s="719"/>
      <c r="M211" s="24">
        <f t="shared" si="38"/>
        <v>0.02</v>
      </c>
      <c r="N211" s="719"/>
      <c r="O211" s="24">
        <f t="shared" si="39"/>
        <v>1</v>
      </c>
      <c r="P211" s="719"/>
      <c r="Q211" s="24">
        <f t="shared" si="40"/>
        <v>1</v>
      </c>
      <c r="R211" s="715">
        <f t="shared" si="41"/>
        <v>0</v>
      </c>
      <c r="S211" s="361">
        <f t="shared" si="42"/>
        <v>0</v>
      </c>
    </row>
    <row r="212" spans="1:19">
      <c r="A212" s="159"/>
      <c r="B212" s="59"/>
      <c r="C212" s="24">
        <f t="shared" si="33"/>
        <v>1</v>
      </c>
      <c r="D212" s="719"/>
      <c r="E212" s="24">
        <f t="shared" si="34"/>
        <v>4.4999999999999998E-2</v>
      </c>
      <c r="F212" s="719"/>
      <c r="G212" s="24">
        <f t="shared" si="35"/>
        <v>0</v>
      </c>
      <c r="H212" s="719"/>
      <c r="I212" s="24">
        <f t="shared" si="36"/>
        <v>0.02</v>
      </c>
      <c r="J212" s="719"/>
      <c r="K212" s="24">
        <f t="shared" si="37"/>
        <v>0</v>
      </c>
      <c r="L212" s="719"/>
      <c r="M212" s="24">
        <f t="shared" si="38"/>
        <v>0.02</v>
      </c>
      <c r="N212" s="719"/>
      <c r="O212" s="24">
        <f t="shared" si="39"/>
        <v>1</v>
      </c>
      <c r="P212" s="719"/>
      <c r="Q212" s="24">
        <f t="shared" si="40"/>
        <v>1</v>
      </c>
      <c r="R212" s="715">
        <f t="shared" si="41"/>
        <v>0</v>
      </c>
      <c r="S212" s="361">
        <f t="shared" si="42"/>
        <v>0</v>
      </c>
    </row>
    <row r="213" spans="1:19">
      <c r="A213" s="159"/>
      <c r="B213" s="59"/>
      <c r="C213" s="24">
        <f t="shared" si="33"/>
        <v>1</v>
      </c>
      <c r="D213" s="719"/>
      <c r="E213" s="24">
        <f t="shared" si="34"/>
        <v>4.4999999999999998E-2</v>
      </c>
      <c r="F213" s="719"/>
      <c r="G213" s="24">
        <f t="shared" si="35"/>
        <v>0</v>
      </c>
      <c r="H213" s="719"/>
      <c r="I213" s="24">
        <f t="shared" si="36"/>
        <v>0.02</v>
      </c>
      <c r="J213" s="719"/>
      <c r="K213" s="24">
        <f t="shared" si="37"/>
        <v>0</v>
      </c>
      <c r="L213" s="719"/>
      <c r="M213" s="24">
        <f t="shared" si="38"/>
        <v>0.02</v>
      </c>
      <c r="N213" s="719"/>
      <c r="O213" s="24">
        <f t="shared" si="39"/>
        <v>1</v>
      </c>
      <c r="P213" s="719"/>
      <c r="Q213" s="24">
        <f t="shared" si="40"/>
        <v>1</v>
      </c>
      <c r="R213" s="715">
        <f t="shared" si="41"/>
        <v>0</v>
      </c>
      <c r="S213" s="361">
        <f t="shared" si="42"/>
        <v>0</v>
      </c>
    </row>
    <row r="214" spans="1:19">
      <c r="A214" s="159"/>
      <c r="B214" s="59"/>
      <c r="C214" s="24">
        <f t="shared" si="33"/>
        <v>1</v>
      </c>
      <c r="D214" s="719"/>
      <c r="E214" s="24">
        <f t="shared" si="34"/>
        <v>4.4999999999999998E-2</v>
      </c>
      <c r="F214" s="719"/>
      <c r="G214" s="24">
        <f t="shared" si="35"/>
        <v>0</v>
      </c>
      <c r="H214" s="719"/>
      <c r="I214" s="24">
        <f t="shared" si="36"/>
        <v>0.02</v>
      </c>
      <c r="J214" s="719"/>
      <c r="K214" s="24">
        <f t="shared" si="37"/>
        <v>0</v>
      </c>
      <c r="L214" s="719"/>
      <c r="M214" s="24">
        <f t="shared" si="38"/>
        <v>0.02</v>
      </c>
      <c r="N214" s="719"/>
      <c r="O214" s="24">
        <f t="shared" si="39"/>
        <v>1</v>
      </c>
      <c r="P214" s="719"/>
      <c r="Q214" s="24">
        <f t="shared" si="40"/>
        <v>1</v>
      </c>
      <c r="R214" s="715">
        <f t="shared" si="41"/>
        <v>0</v>
      </c>
      <c r="S214" s="361">
        <f t="shared" si="42"/>
        <v>0</v>
      </c>
    </row>
    <row r="215" spans="1:19">
      <c r="A215" s="159"/>
      <c r="B215" s="59"/>
      <c r="C215" s="24">
        <f t="shared" si="33"/>
        <v>1</v>
      </c>
      <c r="D215" s="719"/>
      <c r="E215" s="24">
        <f t="shared" si="34"/>
        <v>4.4999999999999998E-2</v>
      </c>
      <c r="F215" s="719"/>
      <c r="G215" s="24">
        <f t="shared" si="35"/>
        <v>0</v>
      </c>
      <c r="H215" s="719"/>
      <c r="I215" s="24">
        <f t="shared" si="36"/>
        <v>0.02</v>
      </c>
      <c r="J215" s="719"/>
      <c r="K215" s="24">
        <f t="shared" si="37"/>
        <v>0</v>
      </c>
      <c r="L215" s="719"/>
      <c r="M215" s="24">
        <f t="shared" si="38"/>
        <v>0.02</v>
      </c>
      <c r="N215" s="719"/>
      <c r="O215" s="24">
        <f t="shared" si="39"/>
        <v>1</v>
      </c>
      <c r="P215" s="719"/>
      <c r="Q215" s="24">
        <f t="shared" si="40"/>
        <v>1</v>
      </c>
      <c r="R215" s="715">
        <f t="shared" si="41"/>
        <v>0</v>
      </c>
      <c r="S215" s="361">
        <f t="shared" si="42"/>
        <v>0</v>
      </c>
    </row>
    <row r="216" spans="1:19">
      <c r="A216" s="159"/>
      <c r="B216" s="59"/>
      <c r="C216" s="24">
        <f t="shared" si="33"/>
        <v>1</v>
      </c>
      <c r="D216" s="719"/>
      <c r="E216" s="24">
        <f t="shared" si="34"/>
        <v>4.4999999999999998E-2</v>
      </c>
      <c r="F216" s="719"/>
      <c r="G216" s="24">
        <f t="shared" si="35"/>
        <v>0</v>
      </c>
      <c r="H216" s="719"/>
      <c r="I216" s="24">
        <f t="shared" si="36"/>
        <v>0.02</v>
      </c>
      <c r="J216" s="719"/>
      <c r="K216" s="24">
        <f t="shared" si="37"/>
        <v>0</v>
      </c>
      <c r="L216" s="719"/>
      <c r="M216" s="24">
        <f t="shared" si="38"/>
        <v>0.02</v>
      </c>
      <c r="N216" s="719"/>
      <c r="O216" s="24">
        <f t="shared" si="39"/>
        <v>1</v>
      </c>
      <c r="P216" s="719"/>
      <c r="Q216" s="24">
        <f t="shared" si="40"/>
        <v>1</v>
      </c>
      <c r="R216" s="715">
        <f t="shared" si="41"/>
        <v>0</v>
      </c>
      <c r="S216" s="361">
        <f t="shared" si="42"/>
        <v>0</v>
      </c>
    </row>
    <row r="217" spans="1:19">
      <c r="A217" s="159"/>
      <c r="B217" s="59"/>
      <c r="C217" s="24">
        <f t="shared" si="33"/>
        <v>1</v>
      </c>
      <c r="D217" s="719"/>
      <c r="E217" s="24">
        <f t="shared" si="34"/>
        <v>4.4999999999999998E-2</v>
      </c>
      <c r="F217" s="719"/>
      <c r="G217" s="24">
        <f t="shared" si="35"/>
        <v>0</v>
      </c>
      <c r="H217" s="719"/>
      <c r="I217" s="24">
        <f t="shared" si="36"/>
        <v>0.02</v>
      </c>
      <c r="J217" s="719"/>
      <c r="K217" s="24">
        <f t="shared" si="37"/>
        <v>0</v>
      </c>
      <c r="L217" s="719"/>
      <c r="M217" s="24">
        <f t="shared" si="38"/>
        <v>0.02</v>
      </c>
      <c r="N217" s="719"/>
      <c r="O217" s="24">
        <f t="shared" si="39"/>
        <v>1</v>
      </c>
      <c r="P217" s="719"/>
      <c r="Q217" s="24">
        <f t="shared" si="40"/>
        <v>1</v>
      </c>
      <c r="R217" s="715">
        <f t="shared" si="41"/>
        <v>0</v>
      </c>
      <c r="S217" s="361">
        <f t="shared" si="42"/>
        <v>0</v>
      </c>
    </row>
    <row r="218" spans="1:19">
      <c r="A218" s="159"/>
      <c r="B218" s="59"/>
      <c r="C218" s="24">
        <f t="shared" ref="C218:C281" si="43">IF(B218="",1,(LOOKUP(B218,$3:$3,$4:$4)-LOOKUP($B$24,$3:$3,$4:$4)+100)/100)</f>
        <v>1</v>
      </c>
      <c r="D218" s="719"/>
      <c r="E218" s="24">
        <f t="shared" ref="E218:E281" si="44">(SUMIF($5:$5,D218,$6:$6)-SUMIF($5:$5,$D$24,$6:$6)+100)/100</f>
        <v>4.4999999999999998E-2</v>
      </c>
      <c r="F218" s="719"/>
      <c r="G218" s="24">
        <f t="shared" ref="G218:G281" si="45">(SUMIF($7:$7,F218,$8:$8)-SUMIF($7:$7,$F$24,$8:$8)+100)/100</f>
        <v>0</v>
      </c>
      <c r="H218" s="719"/>
      <c r="I218" s="24">
        <f t="shared" ref="I218:I281" si="46">(SUMIF($9:$9,H218,$10:$10)-SUMIF($9:$9,$H$24,$10:$10)+100)/100</f>
        <v>0.02</v>
      </c>
      <c r="J218" s="719"/>
      <c r="K218" s="24">
        <f t="shared" ref="K218:K281" si="47">(SUMIF($11:$11,J218,$12:$12)-SUMIF($11:$11,$J$24,$12:$12)+100)/100</f>
        <v>0</v>
      </c>
      <c r="L218" s="719"/>
      <c r="M218" s="24">
        <f t="shared" ref="M218:M281" si="48">(SUMIF($13:$13,L218,$14:$14)-SUMIF($13:$13,$L$24,$14:$14)+100)/100</f>
        <v>0.02</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1">
        <f t="shared" si="42"/>
        <v>0</v>
      </c>
    </row>
    <row r="219" spans="1:19">
      <c r="A219" s="159"/>
      <c r="B219" s="59"/>
      <c r="C219" s="24">
        <f t="shared" si="43"/>
        <v>1</v>
      </c>
      <c r="D219" s="719"/>
      <c r="E219" s="24">
        <f t="shared" si="44"/>
        <v>4.4999999999999998E-2</v>
      </c>
      <c r="F219" s="719"/>
      <c r="G219" s="24">
        <f t="shared" si="45"/>
        <v>0</v>
      </c>
      <c r="H219" s="719"/>
      <c r="I219" s="24">
        <f t="shared" si="46"/>
        <v>0.02</v>
      </c>
      <c r="J219" s="719"/>
      <c r="K219" s="24">
        <f t="shared" si="47"/>
        <v>0</v>
      </c>
      <c r="L219" s="719"/>
      <c r="M219" s="24">
        <f t="shared" si="48"/>
        <v>0.02</v>
      </c>
      <c r="N219" s="719"/>
      <c r="O219" s="24">
        <f t="shared" si="49"/>
        <v>1</v>
      </c>
      <c r="P219" s="719"/>
      <c r="Q219" s="24">
        <f t="shared" si="50"/>
        <v>1</v>
      </c>
      <c r="R219" s="715">
        <f t="shared" si="51"/>
        <v>0</v>
      </c>
      <c r="S219" s="361">
        <f t="shared" si="42"/>
        <v>0</v>
      </c>
    </row>
    <row r="220" spans="1:19">
      <c r="A220" s="159"/>
      <c r="B220" s="59"/>
      <c r="C220" s="24">
        <f t="shared" si="43"/>
        <v>1</v>
      </c>
      <c r="D220" s="719"/>
      <c r="E220" s="24">
        <f t="shared" si="44"/>
        <v>4.4999999999999998E-2</v>
      </c>
      <c r="F220" s="719"/>
      <c r="G220" s="24">
        <f t="shared" si="45"/>
        <v>0</v>
      </c>
      <c r="H220" s="719"/>
      <c r="I220" s="24">
        <f t="shared" si="46"/>
        <v>0.02</v>
      </c>
      <c r="J220" s="719"/>
      <c r="K220" s="24">
        <f t="shared" si="47"/>
        <v>0</v>
      </c>
      <c r="L220" s="719"/>
      <c r="M220" s="24">
        <f t="shared" si="48"/>
        <v>0.02</v>
      </c>
      <c r="N220" s="719"/>
      <c r="O220" s="24">
        <f t="shared" si="49"/>
        <v>1</v>
      </c>
      <c r="P220" s="719"/>
      <c r="Q220" s="24">
        <f t="shared" si="50"/>
        <v>1</v>
      </c>
      <c r="R220" s="715">
        <f t="shared" si="51"/>
        <v>0</v>
      </c>
      <c r="S220" s="361">
        <f t="shared" si="42"/>
        <v>0</v>
      </c>
    </row>
    <row r="221" spans="1:19">
      <c r="A221" s="159"/>
      <c r="B221" s="59"/>
      <c r="C221" s="24">
        <f t="shared" si="43"/>
        <v>1</v>
      </c>
      <c r="D221" s="719"/>
      <c r="E221" s="24">
        <f t="shared" si="44"/>
        <v>4.4999999999999998E-2</v>
      </c>
      <c r="F221" s="719"/>
      <c r="G221" s="24">
        <f t="shared" si="45"/>
        <v>0</v>
      </c>
      <c r="H221" s="719"/>
      <c r="I221" s="24">
        <f t="shared" si="46"/>
        <v>0.02</v>
      </c>
      <c r="J221" s="719"/>
      <c r="K221" s="24">
        <f t="shared" si="47"/>
        <v>0</v>
      </c>
      <c r="L221" s="719"/>
      <c r="M221" s="24">
        <f t="shared" si="48"/>
        <v>0.02</v>
      </c>
      <c r="N221" s="719"/>
      <c r="O221" s="24">
        <f t="shared" si="49"/>
        <v>1</v>
      </c>
      <c r="P221" s="719"/>
      <c r="Q221" s="24">
        <f t="shared" si="50"/>
        <v>1</v>
      </c>
      <c r="R221" s="715">
        <f t="shared" si="51"/>
        <v>0</v>
      </c>
      <c r="S221" s="361">
        <f t="shared" si="42"/>
        <v>0</v>
      </c>
    </row>
    <row r="222" spans="1:19">
      <c r="A222" s="159"/>
      <c r="B222" s="59"/>
      <c r="C222" s="24">
        <f t="shared" si="43"/>
        <v>1</v>
      </c>
      <c r="D222" s="719"/>
      <c r="E222" s="24">
        <f t="shared" si="44"/>
        <v>4.4999999999999998E-2</v>
      </c>
      <c r="F222" s="719"/>
      <c r="G222" s="24">
        <f t="shared" si="45"/>
        <v>0</v>
      </c>
      <c r="H222" s="719"/>
      <c r="I222" s="24">
        <f t="shared" si="46"/>
        <v>0.02</v>
      </c>
      <c r="J222" s="719"/>
      <c r="K222" s="24">
        <f t="shared" si="47"/>
        <v>0</v>
      </c>
      <c r="L222" s="719"/>
      <c r="M222" s="24">
        <f t="shared" si="48"/>
        <v>0.02</v>
      </c>
      <c r="N222" s="719"/>
      <c r="O222" s="24">
        <f t="shared" si="49"/>
        <v>1</v>
      </c>
      <c r="P222" s="719"/>
      <c r="Q222" s="24">
        <f t="shared" si="50"/>
        <v>1</v>
      </c>
      <c r="R222" s="715">
        <f t="shared" si="51"/>
        <v>0</v>
      </c>
      <c r="S222" s="361">
        <f t="shared" si="42"/>
        <v>0</v>
      </c>
    </row>
    <row r="223" spans="1:19">
      <c r="A223" s="159"/>
      <c r="B223" s="59"/>
      <c r="C223" s="24">
        <f t="shared" si="43"/>
        <v>1</v>
      </c>
      <c r="D223" s="719"/>
      <c r="E223" s="24">
        <f t="shared" si="44"/>
        <v>4.4999999999999998E-2</v>
      </c>
      <c r="F223" s="719"/>
      <c r="G223" s="24">
        <f t="shared" si="45"/>
        <v>0</v>
      </c>
      <c r="H223" s="719"/>
      <c r="I223" s="24">
        <f t="shared" si="46"/>
        <v>0.02</v>
      </c>
      <c r="J223" s="719"/>
      <c r="K223" s="24">
        <f t="shared" si="47"/>
        <v>0</v>
      </c>
      <c r="L223" s="719"/>
      <c r="M223" s="24">
        <f t="shared" si="48"/>
        <v>0.02</v>
      </c>
      <c r="N223" s="719"/>
      <c r="O223" s="24">
        <f t="shared" si="49"/>
        <v>1</v>
      </c>
      <c r="P223" s="719"/>
      <c r="Q223" s="24">
        <f t="shared" si="50"/>
        <v>1</v>
      </c>
      <c r="R223" s="715">
        <f t="shared" si="51"/>
        <v>0</v>
      </c>
      <c r="S223" s="361">
        <f t="shared" ref="S223:S286" si="52">ROUND(R223*B223/10000,0)</f>
        <v>0</v>
      </c>
    </row>
    <row r="224" spans="1:19">
      <c r="A224" s="159"/>
      <c r="B224" s="59"/>
      <c r="C224" s="24">
        <f t="shared" si="43"/>
        <v>1</v>
      </c>
      <c r="D224" s="719"/>
      <c r="E224" s="24">
        <f t="shared" si="44"/>
        <v>4.4999999999999998E-2</v>
      </c>
      <c r="F224" s="719"/>
      <c r="G224" s="24">
        <f t="shared" si="45"/>
        <v>0</v>
      </c>
      <c r="H224" s="719"/>
      <c r="I224" s="24">
        <f t="shared" si="46"/>
        <v>0.02</v>
      </c>
      <c r="J224" s="719"/>
      <c r="K224" s="24">
        <f t="shared" si="47"/>
        <v>0</v>
      </c>
      <c r="L224" s="719"/>
      <c r="M224" s="24">
        <f t="shared" si="48"/>
        <v>0.02</v>
      </c>
      <c r="N224" s="719"/>
      <c r="O224" s="24">
        <f t="shared" si="49"/>
        <v>1</v>
      </c>
      <c r="P224" s="719"/>
      <c r="Q224" s="24">
        <f t="shared" si="50"/>
        <v>1</v>
      </c>
      <c r="R224" s="715">
        <f t="shared" si="51"/>
        <v>0</v>
      </c>
      <c r="S224" s="361">
        <f t="shared" si="52"/>
        <v>0</v>
      </c>
    </row>
    <row r="225" spans="1:19">
      <c r="A225" s="159"/>
      <c r="B225" s="59"/>
      <c r="C225" s="24">
        <f t="shared" si="43"/>
        <v>1</v>
      </c>
      <c r="D225" s="719"/>
      <c r="E225" s="24">
        <f t="shared" si="44"/>
        <v>4.4999999999999998E-2</v>
      </c>
      <c r="F225" s="719"/>
      <c r="G225" s="24">
        <f t="shared" si="45"/>
        <v>0</v>
      </c>
      <c r="H225" s="719"/>
      <c r="I225" s="24">
        <f t="shared" si="46"/>
        <v>0.02</v>
      </c>
      <c r="J225" s="719"/>
      <c r="K225" s="24">
        <f t="shared" si="47"/>
        <v>0</v>
      </c>
      <c r="L225" s="719"/>
      <c r="M225" s="24">
        <f t="shared" si="48"/>
        <v>0.02</v>
      </c>
      <c r="N225" s="719"/>
      <c r="O225" s="24">
        <f t="shared" si="49"/>
        <v>1</v>
      </c>
      <c r="P225" s="719"/>
      <c r="Q225" s="24">
        <f t="shared" si="50"/>
        <v>1</v>
      </c>
      <c r="R225" s="715">
        <f t="shared" si="51"/>
        <v>0</v>
      </c>
      <c r="S225" s="361">
        <f t="shared" si="52"/>
        <v>0</v>
      </c>
    </row>
    <row r="226" spans="1:19">
      <c r="A226" s="159"/>
      <c r="B226" s="59"/>
      <c r="C226" s="24">
        <f t="shared" si="43"/>
        <v>1</v>
      </c>
      <c r="D226" s="719"/>
      <c r="E226" s="24">
        <f t="shared" si="44"/>
        <v>4.4999999999999998E-2</v>
      </c>
      <c r="F226" s="719"/>
      <c r="G226" s="24">
        <f t="shared" si="45"/>
        <v>0</v>
      </c>
      <c r="H226" s="719"/>
      <c r="I226" s="24">
        <f t="shared" si="46"/>
        <v>0.02</v>
      </c>
      <c r="J226" s="719"/>
      <c r="K226" s="24">
        <f t="shared" si="47"/>
        <v>0</v>
      </c>
      <c r="L226" s="719"/>
      <c r="M226" s="24">
        <f t="shared" si="48"/>
        <v>0.02</v>
      </c>
      <c r="N226" s="719"/>
      <c r="O226" s="24">
        <f t="shared" si="49"/>
        <v>1</v>
      </c>
      <c r="P226" s="719"/>
      <c r="Q226" s="24">
        <f t="shared" si="50"/>
        <v>1</v>
      </c>
      <c r="R226" s="715">
        <f t="shared" si="51"/>
        <v>0</v>
      </c>
      <c r="S226" s="361">
        <f t="shared" si="52"/>
        <v>0</v>
      </c>
    </row>
    <row r="227" spans="1:19">
      <c r="A227" s="159"/>
      <c r="B227" s="59"/>
      <c r="C227" s="24">
        <f t="shared" si="43"/>
        <v>1</v>
      </c>
      <c r="D227" s="719"/>
      <c r="E227" s="24">
        <f t="shared" si="44"/>
        <v>4.4999999999999998E-2</v>
      </c>
      <c r="F227" s="719"/>
      <c r="G227" s="24">
        <f t="shared" si="45"/>
        <v>0</v>
      </c>
      <c r="H227" s="719"/>
      <c r="I227" s="24">
        <f t="shared" si="46"/>
        <v>0.02</v>
      </c>
      <c r="J227" s="719"/>
      <c r="K227" s="24">
        <f t="shared" si="47"/>
        <v>0</v>
      </c>
      <c r="L227" s="719"/>
      <c r="M227" s="24">
        <f t="shared" si="48"/>
        <v>0.02</v>
      </c>
      <c r="N227" s="719"/>
      <c r="O227" s="24">
        <f t="shared" si="49"/>
        <v>1</v>
      </c>
      <c r="P227" s="719"/>
      <c r="Q227" s="24">
        <f t="shared" si="50"/>
        <v>1</v>
      </c>
      <c r="R227" s="715">
        <f t="shared" si="51"/>
        <v>0</v>
      </c>
      <c r="S227" s="361">
        <f t="shared" si="52"/>
        <v>0</v>
      </c>
    </row>
    <row r="228" spans="1:19">
      <c r="A228" s="159"/>
      <c r="B228" s="59"/>
      <c r="C228" s="24">
        <f t="shared" si="43"/>
        <v>1</v>
      </c>
      <c r="D228" s="719"/>
      <c r="E228" s="24">
        <f t="shared" si="44"/>
        <v>4.4999999999999998E-2</v>
      </c>
      <c r="F228" s="719"/>
      <c r="G228" s="24">
        <f t="shared" si="45"/>
        <v>0</v>
      </c>
      <c r="H228" s="719"/>
      <c r="I228" s="24">
        <f t="shared" si="46"/>
        <v>0.02</v>
      </c>
      <c r="J228" s="719"/>
      <c r="K228" s="24">
        <f t="shared" si="47"/>
        <v>0</v>
      </c>
      <c r="L228" s="719"/>
      <c r="M228" s="24">
        <f t="shared" si="48"/>
        <v>0.02</v>
      </c>
      <c r="N228" s="719"/>
      <c r="O228" s="24">
        <f t="shared" si="49"/>
        <v>1</v>
      </c>
      <c r="P228" s="719"/>
      <c r="Q228" s="24">
        <f t="shared" si="50"/>
        <v>1</v>
      </c>
      <c r="R228" s="715">
        <f t="shared" si="51"/>
        <v>0</v>
      </c>
      <c r="S228" s="361">
        <f t="shared" si="52"/>
        <v>0</v>
      </c>
    </row>
    <row r="229" spans="1:19">
      <c r="A229" s="159"/>
      <c r="B229" s="59"/>
      <c r="C229" s="24">
        <f t="shared" si="43"/>
        <v>1</v>
      </c>
      <c r="D229" s="719"/>
      <c r="E229" s="24">
        <f t="shared" si="44"/>
        <v>4.4999999999999998E-2</v>
      </c>
      <c r="F229" s="719"/>
      <c r="G229" s="24">
        <f t="shared" si="45"/>
        <v>0</v>
      </c>
      <c r="H229" s="719"/>
      <c r="I229" s="24">
        <f t="shared" si="46"/>
        <v>0.02</v>
      </c>
      <c r="J229" s="719"/>
      <c r="K229" s="24">
        <f t="shared" si="47"/>
        <v>0</v>
      </c>
      <c r="L229" s="719"/>
      <c r="M229" s="24">
        <f t="shared" si="48"/>
        <v>0.02</v>
      </c>
      <c r="N229" s="719"/>
      <c r="O229" s="24">
        <f t="shared" si="49"/>
        <v>1</v>
      </c>
      <c r="P229" s="719"/>
      <c r="Q229" s="24">
        <f t="shared" si="50"/>
        <v>1</v>
      </c>
      <c r="R229" s="715">
        <f t="shared" si="51"/>
        <v>0</v>
      </c>
      <c r="S229" s="361">
        <f t="shared" si="52"/>
        <v>0</v>
      </c>
    </row>
    <row r="230" spans="1:19">
      <c r="A230" s="159"/>
      <c r="B230" s="59"/>
      <c r="C230" s="24">
        <f t="shared" si="43"/>
        <v>1</v>
      </c>
      <c r="D230" s="719"/>
      <c r="E230" s="24">
        <f t="shared" si="44"/>
        <v>4.4999999999999998E-2</v>
      </c>
      <c r="F230" s="719"/>
      <c r="G230" s="24">
        <f t="shared" si="45"/>
        <v>0</v>
      </c>
      <c r="H230" s="719"/>
      <c r="I230" s="24">
        <f t="shared" si="46"/>
        <v>0.02</v>
      </c>
      <c r="J230" s="719"/>
      <c r="K230" s="24">
        <f t="shared" si="47"/>
        <v>0</v>
      </c>
      <c r="L230" s="719"/>
      <c r="M230" s="24">
        <f t="shared" si="48"/>
        <v>0.02</v>
      </c>
      <c r="N230" s="719"/>
      <c r="O230" s="24">
        <f t="shared" si="49"/>
        <v>1</v>
      </c>
      <c r="P230" s="719"/>
      <c r="Q230" s="24">
        <f t="shared" si="50"/>
        <v>1</v>
      </c>
      <c r="R230" s="715">
        <f t="shared" si="51"/>
        <v>0</v>
      </c>
      <c r="S230" s="361">
        <f t="shared" si="52"/>
        <v>0</v>
      </c>
    </row>
    <row r="231" spans="1:19">
      <c r="A231" s="159"/>
      <c r="B231" s="59"/>
      <c r="C231" s="24">
        <f t="shared" si="43"/>
        <v>1</v>
      </c>
      <c r="D231" s="719"/>
      <c r="E231" s="24">
        <f t="shared" si="44"/>
        <v>4.4999999999999998E-2</v>
      </c>
      <c r="F231" s="719"/>
      <c r="G231" s="24">
        <f t="shared" si="45"/>
        <v>0</v>
      </c>
      <c r="H231" s="719"/>
      <c r="I231" s="24">
        <f t="shared" si="46"/>
        <v>0.02</v>
      </c>
      <c r="J231" s="719"/>
      <c r="K231" s="24">
        <f t="shared" si="47"/>
        <v>0</v>
      </c>
      <c r="L231" s="719"/>
      <c r="M231" s="24">
        <f t="shared" si="48"/>
        <v>0.02</v>
      </c>
      <c r="N231" s="719"/>
      <c r="O231" s="24">
        <f t="shared" si="49"/>
        <v>1</v>
      </c>
      <c r="P231" s="719"/>
      <c r="Q231" s="24">
        <f t="shared" si="50"/>
        <v>1</v>
      </c>
      <c r="R231" s="715">
        <f t="shared" si="51"/>
        <v>0</v>
      </c>
      <c r="S231" s="361">
        <f t="shared" si="52"/>
        <v>0</v>
      </c>
    </row>
    <row r="232" spans="1:19">
      <c r="A232" s="159"/>
      <c r="B232" s="59"/>
      <c r="C232" s="24">
        <f t="shared" si="43"/>
        <v>1</v>
      </c>
      <c r="D232" s="719"/>
      <c r="E232" s="24">
        <f t="shared" si="44"/>
        <v>4.4999999999999998E-2</v>
      </c>
      <c r="F232" s="719"/>
      <c r="G232" s="24">
        <f t="shared" si="45"/>
        <v>0</v>
      </c>
      <c r="H232" s="719"/>
      <c r="I232" s="24">
        <f t="shared" si="46"/>
        <v>0.02</v>
      </c>
      <c r="J232" s="719"/>
      <c r="K232" s="24">
        <f t="shared" si="47"/>
        <v>0</v>
      </c>
      <c r="L232" s="719"/>
      <c r="M232" s="24">
        <f t="shared" si="48"/>
        <v>0.02</v>
      </c>
      <c r="N232" s="719"/>
      <c r="O232" s="24">
        <f t="shared" si="49"/>
        <v>1</v>
      </c>
      <c r="P232" s="719"/>
      <c r="Q232" s="24">
        <f t="shared" si="50"/>
        <v>1</v>
      </c>
      <c r="R232" s="715">
        <f t="shared" si="51"/>
        <v>0</v>
      </c>
      <c r="S232" s="361">
        <f t="shared" si="52"/>
        <v>0</v>
      </c>
    </row>
    <row r="233" spans="1:19">
      <c r="A233" s="159"/>
      <c r="B233" s="59"/>
      <c r="C233" s="24">
        <f t="shared" si="43"/>
        <v>1</v>
      </c>
      <c r="D233" s="719"/>
      <c r="E233" s="24">
        <f t="shared" si="44"/>
        <v>4.4999999999999998E-2</v>
      </c>
      <c r="F233" s="719"/>
      <c r="G233" s="24">
        <f t="shared" si="45"/>
        <v>0</v>
      </c>
      <c r="H233" s="719"/>
      <c r="I233" s="24">
        <f t="shared" si="46"/>
        <v>0.02</v>
      </c>
      <c r="J233" s="719"/>
      <c r="K233" s="24">
        <f t="shared" si="47"/>
        <v>0</v>
      </c>
      <c r="L233" s="719"/>
      <c r="M233" s="24">
        <f t="shared" si="48"/>
        <v>0.02</v>
      </c>
      <c r="N233" s="719"/>
      <c r="O233" s="24">
        <f t="shared" si="49"/>
        <v>1</v>
      </c>
      <c r="P233" s="719"/>
      <c r="Q233" s="24">
        <f t="shared" si="50"/>
        <v>1</v>
      </c>
      <c r="R233" s="715">
        <f t="shared" si="51"/>
        <v>0</v>
      </c>
      <c r="S233" s="361">
        <f t="shared" si="52"/>
        <v>0</v>
      </c>
    </row>
    <row r="234" spans="1:19">
      <c r="A234" s="159"/>
      <c r="B234" s="59"/>
      <c r="C234" s="24">
        <f t="shared" si="43"/>
        <v>1</v>
      </c>
      <c r="D234" s="719"/>
      <c r="E234" s="24">
        <f t="shared" si="44"/>
        <v>4.4999999999999998E-2</v>
      </c>
      <c r="F234" s="719"/>
      <c r="G234" s="24">
        <f t="shared" si="45"/>
        <v>0</v>
      </c>
      <c r="H234" s="719"/>
      <c r="I234" s="24">
        <f t="shared" si="46"/>
        <v>0.02</v>
      </c>
      <c r="J234" s="719"/>
      <c r="K234" s="24">
        <f t="shared" si="47"/>
        <v>0</v>
      </c>
      <c r="L234" s="719"/>
      <c r="M234" s="24">
        <f t="shared" si="48"/>
        <v>0.02</v>
      </c>
      <c r="N234" s="719"/>
      <c r="O234" s="24">
        <f t="shared" si="49"/>
        <v>1</v>
      </c>
      <c r="P234" s="719"/>
      <c r="Q234" s="24">
        <f t="shared" si="50"/>
        <v>1</v>
      </c>
      <c r="R234" s="715">
        <f t="shared" si="51"/>
        <v>0</v>
      </c>
      <c r="S234" s="361">
        <f t="shared" si="52"/>
        <v>0</v>
      </c>
    </row>
    <row r="235" spans="1:19">
      <c r="A235" s="159"/>
      <c r="B235" s="59"/>
      <c r="C235" s="24">
        <f t="shared" si="43"/>
        <v>1</v>
      </c>
      <c r="D235" s="719"/>
      <c r="E235" s="24">
        <f t="shared" si="44"/>
        <v>4.4999999999999998E-2</v>
      </c>
      <c r="F235" s="719"/>
      <c r="G235" s="24">
        <f t="shared" si="45"/>
        <v>0</v>
      </c>
      <c r="H235" s="719"/>
      <c r="I235" s="24">
        <f t="shared" si="46"/>
        <v>0.02</v>
      </c>
      <c r="J235" s="719"/>
      <c r="K235" s="24">
        <f t="shared" si="47"/>
        <v>0</v>
      </c>
      <c r="L235" s="719"/>
      <c r="M235" s="24">
        <f t="shared" si="48"/>
        <v>0.02</v>
      </c>
      <c r="N235" s="719"/>
      <c r="O235" s="24">
        <f t="shared" si="49"/>
        <v>1</v>
      </c>
      <c r="P235" s="719"/>
      <c r="Q235" s="24">
        <f t="shared" si="50"/>
        <v>1</v>
      </c>
      <c r="R235" s="715">
        <f t="shared" si="51"/>
        <v>0</v>
      </c>
      <c r="S235" s="361">
        <f t="shared" si="52"/>
        <v>0</v>
      </c>
    </row>
    <row r="236" spans="1:19">
      <c r="A236" s="159"/>
      <c r="B236" s="59"/>
      <c r="C236" s="24">
        <f t="shared" si="43"/>
        <v>1</v>
      </c>
      <c r="D236" s="719"/>
      <c r="E236" s="24">
        <f t="shared" si="44"/>
        <v>4.4999999999999998E-2</v>
      </c>
      <c r="F236" s="719"/>
      <c r="G236" s="24">
        <f t="shared" si="45"/>
        <v>0</v>
      </c>
      <c r="H236" s="719"/>
      <c r="I236" s="24">
        <f t="shared" si="46"/>
        <v>0.02</v>
      </c>
      <c r="J236" s="719"/>
      <c r="K236" s="24">
        <f t="shared" si="47"/>
        <v>0</v>
      </c>
      <c r="L236" s="719"/>
      <c r="M236" s="24">
        <f t="shared" si="48"/>
        <v>0.02</v>
      </c>
      <c r="N236" s="719"/>
      <c r="O236" s="24">
        <f t="shared" si="49"/>
        <v>1</v>
      </c>
      <c r="P236" s="719"/>
      <c r="Q236" s="24">
        <f t="shared" si="50"/>
        <v>1</v>
      </c>
      <c r="R236" s="715">
        <f t="shared" si="51"/>
        <v>0</v>
      </c>
      <c r="S236" s="361">
        <f t="shared" si="52"/>
        <v>0</v>
      </c>
    </row>
    <row r="237" spans="1:19">
      <c r="A237" s="159"/>
      <c r="B237" s="59"/>
      <c r="C237" s="24">
        <f t="shared" si="43"/>
        <v>1</v>
      </c>
      <c r="D237" s="719"/>
      <c r="E237" s="24">
        <f t="shared" si="44"/>
        <v>4.4999999999999998E-2</v>
      </c>
      <c r="F237" s="719"/>
      <c r="G237" s="24">
        <f t="shared" si="45"/>
        <v>0</v>
      </c>
      <c r="H237" s="719"/>
      <c r="I237" s="24">
        <f t="shared" si="46"/>
        <v>0.02</v>
      </c>
      <c r="J237" s="719"/>
      <c r="K237" s="24">
        <f t="shared" si="47"/>
        <v>0</v>
      </c>
      <c r="L237" s="719"/>
      <c r="M237" s="24">
        <f t="shared" si="48"/>
        <v>0.02</v>
      </c>
      <c r="N237" s="719"/>
      <c r="O237" s="24">
        <f t="shared" si="49"/>
        <v>1</v>
      </c>
      <c r="P237" s="719"/>
      <c r="Q237" s="24">
        <f t="shared" si="50"/>
        <v>1</v>
      </c>
      <c r="R237" s="715">
        <f t="shared" si="51"/>
        <v>0</v>
      </c>
      <c r="S237" s="361">
        <f t="shared" si="52"/>
        <v>0</v>
      </c>
    </row>
    <row r="238" spans="1:19">
      <c r="A238" s="159"/>
      <c r="B238" s="59"/>
      <c r="C238" s="24">
        <f t="shared" si="43"/>
        <v>1</v>
      </c>
      <c r="D238" s="719"/>
      <c r="E238" s="24">
        <f t="shared" si="44"/>
        <v>4.4999999999999998E-2</v>
      </c>
      <c r="F238" s="719"/>
      <c r="G238" s="24">
        <f t="shared" si="45"/>
        <v>0</v>
      </c>
      <c r="H238" s="719"/>
      <c r="I238" s="24">
        <f t="shared" si="46"/>
        <v>0.02</v>
      </c>
      <c r="J238" s="719"/>
      <c r="K238" s="24">
        <f t="shared" si="47"/>
        <v>0</v>
      </c>
      <c r="L238" s="719"/>
      <c r="M238" s="24">
        <f t="shared" si="48"/>
        <v>0.02</v>
      </c>
      <c r="N238" s="719"/>
      <c r="O238" s="24">
        <f t="shared" si="49"/>
        <v>1</v>
      </c>
      <c r="P238" s="719"/>
      <c r="Q238" s="24">
        <f t="shared" si="50"/>
        <v>1</v>
      </c>
      <c r="R238" s="715">
        <f t="shared" si="51"/>
        <v>0</v>
      </c>
      <c r="S238" s="361">
        <f t="shared" si="52"/>
        <v>0</v>
      </c>
    </row>
    <row r="239" spans="1:19">
      <c r="A239" s="159"/>
      <c r="B239" s="59"/>
      <c r="C239" s="24">
        <f t="shared" si="43"/>
        <v>1</v>
      </c>
      <c r="D239" s="719"/>
      <c r="E239" s="24">
        <f t="shared" si="44"/>
        <v>4.4999999999999998E-2</v>
      </c>
      <c r="F239" s="719"/>
      <c r="G239" s="24">
        <f t="shared" si="45"/>
        <v>0</v>
      </c>
      <c r="H239" s="719"/>
      <c r="I239" s="24">
        <f t="shared" si="46"/>
        <v>0.02</v>
      </c>
      <c r="J239" s="719"/>
      <c r="K239" s="24">
        <f t="shared" si="47"/>
        <v>0</v>
      </c>
      <c r="L239" s="719"/>
      <c r="M239" s="24">
        <f t="shared" si="48"/>
        <v>0.02</v>
      </c>
      <c r="N239" s="719"/>
      <c r="O239" s="24">
        <f t="shared" si="49"/>
        <v>1</v>
      </c>
      <c r="P239" s="719"/>
      <c r="Q239" s="24">
        <f t="shared" si="50"/>
        <v>1</v>
      </c>
      <c r="R239" s="715">
        <f t="shared" si="51"/>
        <v>0</v>
      </c>
      <c r="S239" s="361">
        <f t="shared" si="52"/>
        <v>0</v>
      </c>
    </row>
    <row r="240" spans="1:19">
      <c r="A240" s="159"/>
      <c r="B240" s="59"/>
      <c r="C240" s="24">
        <f t="shared" si="43"/>
        <v>1</v>
      </c>
      <c r="D240" s="719"/>
      <c r="E240" s="24">
        <f t="shared" si="44"/>
        <v>4.4999999999999998E-2</v>
      </c>
      <c r="F240" s="719"/>
      <c r="G240" s="24">
        <f t="shared" si="45"/>
        <v>0</v>
      </c>
      <c r="H240" s="719"/>
      <c r="I240" s="24">
        <f t="shared" si="46"/>
        <v>0.02</v>
      </c>
      <c r="J240" s="719"/>
      <c r="K240" s="24">
        <f t="shared" si="47"/>
        <v>0</v>
      </c>
      <c r="L240" s="719"/>
      <c r="M240" s="24">
        <f t="shared" si="48"/>
        <v>0.02</v>
      </c>
      <c r="N240" s="719"/>
      <c r="O240" s="24">
        <f t="shared" si="49"/>
        <v>1</v>
      </c>
      <c r="P240" s="719"/>
      <c r="Q240" s="24">
        <f t="shared" si="50"/>
        <v>1</v>
      </c>
      <c r="R240" s="715">
        <f t="shared" si="51"/>
        <v>0</v>
      </c>
      <c r="S240" s="361">
        <f t="shared" si="52"/>
        <v>0</v>
      </c>
    </row>
    <row r="241" spans="1:19">
      <c r="A241" s="159"/>
      <c r="B241" s="59"/>
      <c r="C241" s="24">
        <f t="shared" si="43"/>
        <v>1</v>
      </c>
      <c r="D241" s="719"/>
      <c r="E241" s="24">
        <f t="shared" si="44"/>
        <v>4.4999999999999998E-2</v>
      </c>
      <c r="F241" s="719"/>
      <c r="G241" s="24">
        <f t="shared" si="45"/>
        <v>0</v>
      </c>
      <c r="H241" s="719"/>
      <c r="I241" s="24">
        <f t="shared" si="46"/>
        <v>0.02</v>
      </c>
      <c r="J241" s="719"/>
      <c r="K241" s="24">
        <f t="shared" si="47"/>
        <v>0</v>
      </c>
      <c r="L241" s="719"/>
      <c r="M241" s="24">
        <f t="shared" si="48"/>
        <v>0.02</v>
      </c>
      <c r="N241" s="719"/>
      <c r="O241" s="24">
        <f t="shared" si="49"/>
        <v>1</v>
      </c>
      <c r="P241" s="719"/>
      <c r="Q241" s="24">
        <f t="shared" si="50"/>
        <v>1</v>
      </c>
      <c r="R241" s="715">
        <f t="shared" si="51"/>
        <v>0</v>
      </c>
      <c r="S241" s="361">
        <f t="shared" si="52"/>
        <v>0</v>
      </c>
    </row>
    <row r="242" spans="1:19">
      <c r="A242" s="159"/>
      <c r="B242" s="59"/>
      <c r="C242" s="24">
        <f t="shared" si="43"/>
        <v>1</v>
      </c>
      <c r="D242" s="719"/>
      <c r="E242" s="24">
        <f t="shared" si="44"/>
        <v>4.4999999999999998E-2</v>
      </c>
      <c r="F242" s="719"/>
      <c r="G242" s="24">
        <f t="shared" si="45"/>
        <v>0</v>
      </c>
      <c r="H242" s="719"/>
      <c r="I242" s="24">
        <f t="shared" si="46"/>
        <v>0.02</v>
      </c>
      <c r="J242" s="719"/>
      <c r="K242" s="24">
        <f t="shared" si="47"/>
        <v>0</v>
      </c>
      <c r="L242" s="719"/>
      <c r="M242" s="24">
        <f t="shared" si="48"/>
        <v>0.02</v>
      </c>
      <c r="N242" s="719"/>
      <c r="O242" s="24">
        <f t="shared" si="49"/>
        <v>1</v>
      </c>
      <c r="P242" s="719"/>
      <c r="Q242" s="24">
        <f t="shared" si="50"/>
        <v>1</v>
      </c>
      <c r="R242" s="715">
        <f t="shared" si="51"/>
        <v>0</v>
      </c>
      <c r="S242" s="361">
        <f t="shared" si="52"/>
        <v>0</v>
      </c>
    </row>
    <row r="243" spans="1:19">
      <c r="A243" s="159"/>
      <c r="B243" s="59"/>
      <c r="C243" s="24">
        <f t="shared" si="43"/>
        <v>1</v>
      </c>
      <c r="D243" s="719"/>
      <c r="E243" s="24">
        <f t="shared" si="44"/>
        <v>4.4999999999999998E-2</v>
      </c>
      <c r="F243" s="719"/>
      <c r="G243" s="24">
        <f t="shared" si="45"/>
        <v>0</v>
      </c>
      <c r="H243" s="719"/>
      <c r="I243" s="24">
        <f t="shared" si="46"/>
        <v>0.02</v>
      </c>
      <c r="J243" s="719"/>
      <c r="K243" s="24">
        <f t="shared" si="47"/>
        <v>0</v>
      </c>
      <c r="L243" s="719"/>
      <c r="M243" s="24">
        <f t="shared" si="48"/>
        <v>0.02</v>
      </c>
      <c r="N243" s="719"/>
      <c r="O243" s="24">
        <f t="shared" si="49"/>
        <v>1</v>
      </c>
      <c r="P243" s="719"/>
      <c r="Q243" s="24">
        <f t="shared" si="50"/>
        <v>1</v>
      </c>
      <c r="R243" s="715">
        <f t="shared" si="51"/>
        <v>0</v>
      </c>
      <c r="S243" s="361">
        <f t="shared" si="52"/>
        <v>0</v>
      </c>
    </row>
    <row r="244" spans="1:19">
      <c r="A244" s="159"/>
      <c r="B244" s="59"/>
      <c r="C244" s="24">
        <f t="shared" si="43"/>
        <v>1</v>
      </c>
      <c r="D244" s="719"/>
      <c r="E244" s="24">
        <f t="shared" si="44"/>
        <v>4.4999999999999998E-2</v>
      </c>
      <c r="F244" s="719"/>
      <c r="G244" s="24">
        <f t="shared" si="45"/>
        <v>0</v>
      </c>
      <c r="H244" s="719"/>
      <c r="I244" s="24">
        <f t="shared" si="46"/>
        <v>0.02</v>
      </c>
      <c r="J244" s="719"/>
      <c r="K244" s="24">
        <f t="shared" si="47"/>
        <v>0</v>
      </c>
      <c r="L244" s="719"/>
      <c r="M244" s="24">
        <f t="shared" si="48"/>
        <v>0.02</v>
      </c>
      <c r="N244" s="719"/>
      <c r="O244" s="24">
        <f t="shared" si="49"/>
        <v>1</v>
      </c>
      <c r="P244" s="719"/>
      <c r="Q244" s="24">
        <f t="shared" si="50"/>
        <v>1</v>
      </c>
      <c r="R244" s="715">
        <f t="shared" si="51"/>
        <v>0</v>
      </c>
      <c r="S244" s="361">
        <f t="shared" si="52"/>
        <v>0</v>
      </c>
    </row>
    <row r="245" spans="1:19">
      <c r="A245" s="159"/>
      <c r="B245" s="59"/>
      <c r="C245" s="24">
        <f t="shared" si="43"/>
        <v>1</v>
      </c>
      <c r="D245" s="719"/>
      <c r="E245" s="24">
        <f t="shared" si="44"/>
        <v>4.4999999999999998E-2</v>
      </c>
      <c r="F245" s="719"/>
      <c r="G245" s="24">
        <f t="shared" si="45"/>
        <v>0</v>
      </c>
      <c r="H245" s="719"/>
      <c r="I245" s="24">
        <f t="shared" si="46"/>
        <v>0.02</v>
      </c>
      <c r="J245" s="719"/>
      <c r="K245" s="24">
        <f t="shared" si="47"/>
        <v>0</v>
      </c>
      <c r="L245" s="719"/>
      <c r="M245" s="24">
        <f t="shared" si="48"/>
        <v>0.02</v>
      </c>
      <c r="N245" s="719"/>
      <c r="O245" s="24">
        <f t="shared" si="49"/>
        <v>1</v>
      </c>
      <c r="P245" s="719"/>
      <c r="Q245" s="24">
        <f t="shared" si="50"/>
        <v>1</v>
      </c>
      <c r="R245" s="715">
        <f t="shared" si="51"/>
        <v>0</v>
      </c>
      <c r="S245" s="361">
        <f t="shared" si="52"/>
        <v>0</v>
      </c>
    </row>
    <row r="246" spans="1:19">
      <c r="A246" s="159"/>
      <c r="B246" s="59"/>
      <c r="C246" s="24">
        <f t="shared" si="43"/>
        <v>1</v>
      </c>
      <c r="D246" s="719"/>
      <c r="E246" s="24">
        <f t="shared" si="44"/>
        <v>4.4999999999999998E-2</v>
      </c>
      <c r="F246" s="719"/>
      <c r="G246" s="24">
        <f t="shared" si="45"/>
        <v>0</v>
      </c>
      <c r="H246" s="719"/>
      <c r="I246" s="24">
        <f t="shared" si="46"/>
        <v>0.02</v>
      </c>
      <c r="J246" s="719"/>
      <c r="K246" s="24">
        <f t="shared" si="47"/>
        <v>0</v>
      </c>
      <c r="L246" s="719"/>
      <c r="M246" s="24">
        <f t="shared" si="48"/>
        <v>0.02</v>
      </c>
      <c r="N246" s="719"/>
      <c r="O246" s="24">
        <f t="shared" si="49"/>
        <v>1</v>
      </c>
      <c r="P246" s="719"/>
      <c r="Q246" s="24">
        <f t="shared" si="50"/>
        <v>1</v>
      </c>
      <c r="R246" s="715">
        <f t="shared" si="51"/>
        <v>0</v>
      </c>
      <c r="S246" s="361">
        <f t="shared" si="52"/>
        <v>0</v>
      </c>
    </row>
    <row r="247" spans="1:19">
      <c r="A247" s="159"/>
      <c r="B247" s="59"/>
      <c r="C247" s="24">
        <f t="shared" si="43"/>
        <v>1</v>
      </c>
      <c r="D247" s="719"/>
      <c r="E247" s="24">
        <f t="shared" si="44"/>
        <v>4.4999999999999998E-2</v>
      </c>
      <c r="F247" s="719"/>
      <c r="G247" s="24">
        <f t="shared" si="45"/>
        <v>0</v>
      </c>
      <c r="H247" s="719"/>
      <c r="I247" s="24">
        <f t="shared" si="46"/>
        <v>0.02</v>
      </c>
      <c r="J247" s="719"/>
      <c r="K247" s="24">
        <f t="shared" si="47"/>
        <v>0</v>
      </c>
      <c r="L247" s="719"/>
      <c r="M247" s="24">
        <f t="shared" si="48"/>
        <v>0.02</v>
      </c>
      <c r="N247" s="719"/>
      <c r="O247" s="24">
        <f t="shared" si="49"/>
        <v>1</v>
      </c>
      <c r="P247" s="719"/>
      <c r="Q247" s="24">
        <f t="shared" si="50"/>
        <v>1</v>
      </c>
      <c r="R247" s="715">
        <f t="shared" si="51"/>
        <v>0</v>
      </c>
      <c r="S247" s="361">
        <f t="shared" si="52"/>
        <v>0</v>
      </c>
    </row>
    <row r="248" spans="1:19">
      <c r="A248" s="159"/>
      <c r="B248" s="59"/>
      <c r="C248" s="24">
        <f t="shared" si="43"/>
        <v>1</v>
      </c>
      <c r="D248" s="719"/>
      <c r="E248" s="24">
        <f t="shared" si="44"/>
        <v>4.4999999999999998E-2</v>
      </c>
      <c r="F248" s="719"/>
      <c r="G248" s="24">
        <f t="shared" si="45"/>
        <v>0</v>
      </c>
      <c r="H248" s="719"/>
      <c r="I248" s="24">
        <f t="shared" si="46"/>
        <v>0.02</v>
      </c>
      <c r="J248" s="719"/>
      <c r="K248" s="24">
        <f t="shared" si="47"/>
        <v>0</v>
      </c>
      <c r="L248" s="719"/>
      <c r="M248" s="24">
        <f t="shared" si="48"/>
        <v>0.02</v>
      </c>
      <c r="N248" s="719"/>
      <c r="O248" s="24">
        <f t="shared" si="49"/>
        <v>1</v>
      </c>
      <c r="P248" s="719"/>
      <c r="Q248" s="24">
        <f t="shared" si="50"/>
        <v>1</v>
      </c>
      <c r="R248" s="715">
        <f t="shared" si="51"/>
        <v>0</v>
      </c>
      <c r="S248" s="361">
        <f t="shared" si="52"/>
        <v>0</v>
      </c>
    </row>
    <row r="249" spans="1:19">
      <c r="A249" s="159"/>
      <c r="B249" s="59"/>
      <c r="C249" s="24">
        <f t="shared" si="43"/>
        <v>1</v>
      </c>
      <c r="D249" s="719"/>
      <c r="E249" s="24">
        <f t="shared" si="44"/>
        <v>4.4999999999999998E-2</v>
      </c>
      <c r="F249" s="719"/>
      <c r="G249" s="24">
        <f t="shared" si="45"/>
        <v>0</v>
      </c>
      <c r="H249" s="719"/>
      <c r="I249" s="24">
        <f t="shared" si="46"/>
        <v>0.02</v>
      </c>
      <c r="J249" s="719"/>
      <c r="K249" s="24">
        <f t="shared" si="47"/>
        <v>0</v>
      </c>
      <c r="L249" s="719"/>
      <c r="M249" s="24">
        <f t="shared" si="48"/>
        <v>0.02</v>
      </c>
      <c r="N249" s="719"/>
      <c r="O249" s="24">
        <f t="shared" si="49"/>
        <v>1</v>
      </c>
      <c r="P249" s="719"/>
      <c r="Q249" s="24">
        <f t="shared" si="50"/>
        <v>1</v>
      </c>
      <c r="R249" s="715">
        <f t="shared" si="51"/>
        <v>0</v>
      </c>
      <c r="S249" s="361">
        <f t="shared" si="52"/>
        <v>0</v>
      </c>
    </row>
    <row r="250" spans="1:19">
      <c r="A250" s="159"/>
      <c r="B250" s="59"/>
      <c r="C250" s="24">
        <f t="shared" si="43"/>
        <v>1</v>
      </c>
      <c r="D250" s="719"/>
      <c r="E250" s="24">
        <f t="shared" si="44"/>
        <v>4.4999999999999998E-2</v>
      </c>
      <c r="F250" s="719"/>
      <c r="G250" s="24">
        <f t="shared" si="45"/>
        <v>0</v>
      </c>
      <c r="H250" s="719"/>
      <c r="I250" s="24">
        <f t="shared" si="46"/>
        <v>0.02</v>
      </c>
      <c r="J250" s="719"/>
      <c r="K250" s="24">
        <f t="shared" si="47"/>
        <v>0</v>
      </c>
      <c r="L250" s="719"/>
      <c r="M250" s="24">
        <f t="shared" si="48"/>
        <v>0.02</v>
      </c>
      <c r="N250" s="719"/>
      <c r="O250" s="24">
        <f t="shared" si="49"/>
        <v>1</v>
      </c>
      <c r="P250" s="719"/>
      <c r="Q250" s="24">
        <f t="shared" si="50"/>
        <v>1</v>
      </c>
      <c r="R250" s="715">
        <f t="shared" si="51"/>
        <v>0</v>
      </c>
      <c r="S250" s="361">
        <f t="shared" si="52"/>
        <v>0</v>
      </c>
    </row>
    <row r="251" spans="1:19">
      <c r="A251" s="159"/>
      <c r="B251" s="59"/>
      <c r="C251" s="24">
        <f t="shared" si="43"/>
        <v>1</v>
      </c>
      <c r="D251" s="719"/>
      <c r="E251" s="24">
        <f t="shared" si="44"/>
        <v>4.4999999999999998E-2</v>
      </c>
      <c r="F251" s="719"/>
      <c r="G251" s="24">
        <f t="shared" si="45"/>
        <v>0</v>
      </c>
      <c r="H251" s="719"/>
      <c r="I251" s="24">
        <f t="shared" si="46"/>
        <v>0.02</v>
      </c>
      <c r="J251" s="719"/>
      <c r="K251" s="24">
        <f t="shared" si="47"/>
        <v>0</v>
      </c>
      <c r="L251" s="719"/>
      <c r="M251" s="24">
        <f t="shared" si="48"/>
        <v>0.02</v>
      </c>
      <c r="N251" s="719"/>
      <c r="O251" s="24">
        <f t="shared" si="49"/>
        <v>1</v>
      </c>
      <c r="P251" s="719"/>
      <c r="Q251" s="24">
        <f t="shared" si="50"/>
        <v>1</v>
      </c>
      <c r="R251" s="715">
        <f t="shared" si="51"/>
        <v>0</v>
      </c>
      <c r="S251" s="361">
        <f t="shared" si="52"/>
        <v>0</v>
      </c>
    </row>
    <row r="252" spans="1:19">
      <c r="A252" s="159"/>
      <c r="B252" s="59"/>
      <c r="C252" s="24">
        <f t="shared" si="43"/>
        <v>1</v>
      </c>
      <c r="D252" s="719"/>
      <c r="E252" s="24">
        <f t="shared" si="44"/>
        <v>4.4999999999999998E-2</v>
      </c>
      <c r="F252" s="719"/>
      <c r="G252" s="24">
        <f t="shared" si="45"/>
        <v>0</v>
      </c>
      <c r="H252" s="719"/>
      <c r="I252" s="24">
        <f t="shared" si="46"/>
        <v>0.02</v>
      </c>
      <c r="J252" s="719"/>
      <c r="K252" s="24">
        <f t="shared" si="47"/>
        <v>0</v>
      </c>
      <c r="L252" s="719"/>
      <c r="M252" s="24">
        <f t="shared" si="48"/>
        <v>0.02</v>
      </c>
      <c r="N252" s="719"/>
      <c r="O252" s="24">
        <f t="shared" si="49"/>
        <v>1</v>
      </c>
      <c r="P252" s="719"/>
      <c r="Q252" s="24">
        <f t="shared" si="50"/>
        <v>1</v>
      </c>
      <c r="R252" s="715">
        <f t="shared" si="51"/>
        <v>0</v>
      </c>
      <c r="S252" s="361">
        <f t="shared" si="52"/>
        <v>0</v>
      </c>
    </row>
    <row r="253" spans="1:19">
      <c r="A253" s="159"/>
      <c r="B253" s="59"/>
      <c r="C253" s="24">
        <f t="shared" si="43"/>
        <v>1</v>
      </c>
      <c r="D253" s="719"/>
      <c r="E253" s="24">
        <f t="shared" si="44"/>
        <v>4.4999999999999998E-2</v>
      </c>
      <c r="F253" s="719"/>
      <c r="G253" s="24">
        <f t="shared" si="45"/>
        <v>0</v>
      </c>
      <c r="H253" s="719"/>
      <c r="I253" s="24">
        <f t="shared" si="46"/>
        <v>0.02</v>
      </c>
      <c r="J253" s="719"/>
      <c r="K253" s="24">
        <f t="shared" si="47"/>
        <v>0</v>
      </c>
      <c r="L253" s="719"/>
      <c r="M253" s="24">
        <f t="shared" si="48"/>
        <v>0.02</v>
      </c>
      <c r="N253" s="719"/>
      <c r="O253" s="24">
        <f t="shared" si="49"/>
        <v>1</v>
      </c>
      <c r="P253" s="719"/>
      <c r="Q253" s="24">
        <f t="shared" si="50"/>
        <v>1</v>
      </c>
      <c r="R253" s="715">
        <f t="shared" si="51"/>
        <v>0</v>
      </c>
      <c r="S253" s="361">
        <f t="shared" si="52"/>
        <v>0</v>
      </c>
    </row>
    <row r="254" spans="1:19">
      <c r="A254" s="159"/>
      <c r="B254" s="59"/>
      <c r="C254" s="24">
        <f t="shared" si="43"/>
        <v>1</v>
      </c>
      <c r="D254" s="719"/>
      <c r="E254" s="24">
        <f t="shared" si="44"/>
        <v>4.4999999999999998E-2</v>
      </c>
      <c r="F254" s="719"/>
      <c r="G254" s="24">
        <f t="shared" si="45"/>
        <v>0</v>
      </c>
      <c r="H254" s="719"/>
      <c r="I254" s="24">
        <f t="shared" si="46"/>
        <v>0.02</v>
      </c>
      <c r="J254" s="719"/>
      <c r="K254" s="24">
        <f t="shared" si="47"/>
        <v>0</v>
      </c>
      <c r="L254" s="719"/>
      <c r="M254" s="24">
        <f t="shared" si="48"/>
        <v>0.02</v>
      </c>
      <c r="N254" s="719"/>
      <c r="O254" s="24">
        <f t="shared" si="49"/>
        <v>1</v>
      </c>
      <c r="P254" s="719"/>
      <c r="Q254" s="24">
        <f t="shared" si="50"/>
        <v>1</v>
      </c>
      <c r="R254" s="715">
        <f t="shared" si="51"/>
        <v>0</v>
      </c>
      <c r="S254" s="361">
        <f t="shared" si="52"/>
        <v>0</v>
      </c>
    </row>
    <row r="255" spans="1:19">
      <c r="A255" s="159"/>
      <c r="B255" s="59"/>
      <c r="C255" s="24">
        <f t="shared" si="43"/>
        <v>1</v>
      </c>
      <c r="D255" s="719"/>
      <c r="E255" s="24">
        <f t="shared" si="44"/>
        <v>4.4999999999999998E-2</v>
      </c>
      <c r="F255" s="719"/>
      <c r="G255" s="24">
        <f t="shared" si="45"/>
        <v>0</v>
      </c>
      <c r="H255" s="719"/>
      <c r="I255" s="24">
        <f t="shared" si="46"/>
        <v>0.02</v>
      </c>
      <c r="J255" s="719"/>
      <c r="K255" s="24">
        <f t="shared" si="47"/>
        <v>0</v>
      </c>
      <c r="L255" s="719"/>
      <c r="M255" s="24">
        <f t="shared" si="48"/>
        <v>0.02</v>
      </c>
      <c r="N255" s="719"/>
      <c r="O255" s="24">
        <f t="shared" si="49"/>
        <v>1</v>
      </c>
      <c r="P255" s="719"/>
      <c r="Q255" s="24">
        <f t="shared" si="50"/>
        <v>1</v>
      </c>
      <c r="R255" s="715">
        <f t="shared" si="51"/>
        <v>0</v>
      </c>
      <c r="S255" s="361">
        <f t="shared" si="52"/>
        <v>0</v>
      </c>
    </row>
    <row r="256" spans="1:19">
      <c r="A256" s="159"/>
      <c r="B256" s="59"/>
      <c r="C256" s="24">
        <f t="shared" si="43"/>
        <v>1</v>
      </c>
      <c r="D256" s="719"/>
      <c r="E256" s="24">
        <f t="shared" si="44"/>
        <v>4.4999999999999998E-2</v>
      </c>
      <c r="F256" s="719"/>
      <c r="G256" s="24">
        <f t="shared" si="45"/>
        <v>0</v>
      </c>
      <c r="H256" s="719"/>
      <c r="I256" s="24">
        <f t="shared" si="46"/>
        <v>0.02</v>
      </c>
      <c r="J256" s="719"/>
      <c r="K256" s="24">
        <f t="shared" si="47"/>
        <v>0</v>
      </c>
      <c r="L256" s="719"/>
      <c r="M256" s="24">
        <f t="shared" si="48"/>
        <v>0.02</v>
      </c>
      <c r="N256" s="719"/>
      <c r="O256" s="24">
        <f t="shared" si="49"/>
        <v>1</v>
      </c>
      <c r="P256" s="719"/>
      <c r="Q256" s="24">
        <f t="shared" si="50"/>
        <v>1</v>
      </c>
      <c r="R256" s="715">
        <f t="shared" si="51"/>
        <v>0</v>
      </c>
      <c r="S256" s="361">
        <f t="shared" si="52"/>
        <v>0</v>
      </c>
    </row>
    <row r="257" spans="1:19">
      <c r="A257" s="159"/>
      <c r="B257" s="59"/>
      <c r="C257" s="24">
        <f t="shared" si="43"/>
        <v>1</v>
      </c>
      <c r="D257" s="719"/>
      <c r="E257" s="24">
        <f t="shared" si="44"/>
        <v>4.4999999999999998E-2</v>
      </c>
      <c r="F257" s="719"/>
      <c r="G257" s="24">
        <f t="shared" si="45"/>
        <v>0</v>
      </c>
      <c r="H257" s="719"/>
      <c r="I257" s="24">
        <f t="shared" si="46"/>
        <v>0.02</v>
      </c>
      <c r="J257" s="719"/>
      <c r="K257" s="24">
        <f t="shared" si="47"/>
        <v>0</v>
      </c>
      <c r="L257" s="719"/>
      <c r="M257" s="24">
        <f t="shared" si="48"/>
        <v>0.02</v>
      </c>
      <c r="N257" s="719"/>
      <c r="O257" s="24">
        <f t="shared" si="49"/>
        <v>1</v>
      </c>
      <c r="P257" s="719"/>
      <c r="Q257" s="24">
        <f t="shared" si="50"/>
        <v>1</v>
      </c>
      <c r="R257" s="715">
        <f t="shared" si="51"/>
        <v>0</v>
      </c>
      <c r="S257" s="361">
        <f t="shared" si="52"/>
        <v>0</v>
      </c>
    </row>
    <row r="258" spans="1:19">
      <c r="A258" s="159"/>
      <c r="B258" s="59"/>
      <c r="C258" s="24">
        <f t="shared" si="43"/>
        <v>1</v>
      </c>
      <c r="D258" s="719"/>
      <c r="E258" s="24">
        <f t="shared" si="44"/>
        <v>4.4999999999999998E-2</v>
      </c>
      <c r="F258" s="719"/>
      <c r="G258" s="24">
        <f t="shared" si="45"/>
        <v>0</v>
      </c>
      <c r="H258" s="719"/>
      <c r="I258" s="24">
        <f t="shared" si="46"/>
        <v>0.02</v>
      </c>
      <c r="J258" s="719"/>
      <c r="K258" s="24">
        <f t="shared" si="47"/>
        <v>0</v>
      </c>
      <c r="L258" s="719"/>
      <c r="M258" s="24">
        <f t="shared" si="48"/>
        <v>0.02</v>
      </c>
      <c r="N258" s="719"/>
      <c r="O258" s="24">
        <f t="shared" si="49"/>
        <v>1</v>
      </c>
      <c r="P258" s="719"/>
      <c r="Q258" s="24">
        <f t="shared" si="50"/>
        <v>1</v>
      </c>
      <c r="R258" s="715">
        <f t="shared" si="51"/>
        <v>0</v>
      </c>
      <c r="S258" s="361">
        <f t="shared" si="52"/>
        <v>0</v>
      </c>
    </row>
    <row r="259" spans="1:19">
      <c r="A259" s="159"/>
      <c r="B259" s="59"/>
      <c r="C259" s="24">
        <f t="shared" si="43"/>
        <v>1</v>
      </c>
      <c r="D259" s="719"/>
      <c r="E259" s="24">
        <f t="shared" si="44"/>
        <v>4.4999999999999998E-2</v>
      </c>
      <c r="F259" s="719"/>
      <c r="G259" s="24">
        <f t="shared" si="45"/>
        <v>0</v>
      </c>
      <c r="H259" s="719"/>
      <c r="I259" s="24">
        <f t="shared" si="46"/>
        <v>0.02</v>
      </c>
      <c r="J259" s="719"/>
      <c r="K259" s="24">
        <f t="shared" si="47"/>
        <v>0</v>
      </c>
      <c r="L259" s="719"/>
      <c r="M259" s="24">
        <f t="shared" si="48"/>
        <v>0.02</v>
      </c>
      <c r="N259" s="719"/>
      <c r="O259" s="24">
        <f t="shared" si="49"/>
        <v>1</v>
      </c>
      <c r="P259" s="719"/>
      <c r="Q259" s="24">
        <f t="shared" si="50"/>
        <v>1</v>
      </c>
      <c r="R259" s="715">
        <f t="shared" si="51"/>
        <v>0</v>
      </c>
      <c r="S259" s="361">
        <f t="shared" si="52"/>
        <v>0</v>
      </c>
    </row>
    <row r="260" spans="1:19">
      <c r="A260" s="159"/>
      <c r="B260" s="59"/>
      <c r="C260" s="24">
        <f t="shared" si="43"/>
        <v>1</v>
      </c>
      <c r="D260" s="719"/>
      <c r="E260" s="24">
        <f t="shared" si="44"/>
        <v>4.4999999999999998E-2</v>
      </c>
      <c r="F260" s="719"/>
      <c r="G260" s="24">
        <f t="shared" si="45"/>
        <v>0</v>
      </c>
      <c r="H260" s="719"/>
      <c r="I260" s="24">
        <f t="shared" si="46"/>
        <v>0.02</v>
      </c>
      <c r="J260" s="719"/>
      <c r="K260" s="24">
        <f t="shared" si="47"/>
        <v>0</v>
      </c>
      <c r="L260" s="719"/>
      <c r="M260" s="24">
        <f t="shared" si="48"/>
        <v>0.02</v>
      </c>
      <c r="N260" s="719"/>
      <c r="O260" s="24">
        <f t="shared" si="49"/>
        <v>1</v>
      </c>
      <c r="P260" s="719"/>
      <c r="Q260" s="24">
        <f t="shared" si="50"/>
        <v>1</v>
      </c>
      <c r="R260" s="715">
        <f t="shared" si="51"/>
        <v>0</v>
      </c>
      <c r="S260" s="361">
        <f t="shared" si="52"/>
        <v>0</v>
      </c>
    </row>
    <row r="261" spans="1:19">
      <c r="A261" s="159"/>
      <c r="B261" s="59"/>
      <c r="C261" s="24">
        <f t="shared" si="43"/>
        <v>1</v>
      </c>
      <c r="D261" s="719"/>
      <c r="E261" s="24">
        <f t="shared" si="44"/>
        <v>4.4999999999999998E-2</v>
      </c>
      <c r="F261" s="719"/>
      <c r="G261" s="24">
        <f t="shared" si="45"/>
        <v>0</v>
      </c>
      <c r="H261" s="719"/>
      <c r="I261" s="24">
        <f t="shared" si="46"/>
        <v>0.02</v>
      </c>
      <c r="J261" s="719"/>
      <c r="K261" s="24">
        <f t="shared" si="47"/>
        <v>0</v>
      </c>
      <c r="L261" s="719"/>
      <c r="M261" s="24">
        <f t="shared" si="48"/>
        <v>0.02</v>
      </c>
      <c r="N261" s="719"/>
      <c r="O261" s="24">
        <f t="shared" si="49"/>
        <v>1</v>
      </c>
      <c r="P261" s="719"/>
      <c r="Q261" s="24">
        <f t="shared" si="50"/>
        <v>1</v>
      </c>
      <c r="R261" s="715">
        <f t="shared" si="51"/>
        <v>0</v>
      </c>
      <c r="S261" s="361">
        <f t="shared" si="52"/>
        <v>0</v>
      </c>
    </row>
    <row r="262" spans="1:19">
      <c r="A262" s="159"/>
      <c r="B262" s="59"/>
      <c r="C262" s="24">
        <f t="shared" si="43"/>
        <v>1</v>
      </c>
      <c r="D262" s="719"/>
      <c r="E262" s="24">
        <f t="shared" si="44"/>
        <v>4.4999999999999998E-2</v>
      </c>
      <c r="F262" s="719"/>
      <c r="G262" s="24">
        <f t="shared" si="45"/>
        <v>0</v>
      </c>
      <c r="H262" s="719"/>
      <c r="I262" s="24">
        <f t="shared" si="46"/>
        <v>0.02</v>
      </c>
      <c r="J262" s="719"/>
      <c r="K262" s="24">
        <f t="shared" si="47"/>
        <v>0</v>
      </c>
      <c r="L262" s="719"/>
      <c r="M262" s="24">
        <f t="shared" si="48"/>
        <v>0.02</v>
      </c>
      <c r="N262" s="719"/>
      <c r="O262" s="24">
        <f t="shared" si="49"/>
        <v>1</v>
      </c>
      <c r="P262" s="719"/>
      <c r="Q262" s="24">
        <f t="shared" si="50"/>
        <v>1</v>
      </c>
      <c r="R262" s="715">
        <f t="shared" si="51"/>
        <v>0</v>
      </c>
      <c r="S262" s="361">
        <f t="shared" si="52"/>
        <v>0</v>
      </c>
    </row>
    <row r="263" spans="1:19">
      <c r="A263" s="159"/>
      <c r="B263" s="59"/>
      <c r="C263" s="24">
        <f t="shared" si="43"/>
        <v>1</v>
      </c>
      <c r="D263" s="719"/>
      <c r="E263" s="24">
        <f t="shared" si="44"/>
        <v>4.4999999999999998E-2</v>
      </c>
      <c r="F263" s="719"/>
      <c r="G263" s="24">
        <f t="shared" si="45"/>
        <v>0</v>
      </c>
      <c r="H263" s="719"/>
      <c r="I263" s="24">
        <f t="shared" si="46"/>
        <v>0.02</v>
      </c>
      <c r="J263" s="719"/>
      <c r="K263" s="24">
        <f t="shared" si="47"/>
        <v>0</v>
      </c>
      <c r="L263" s="719"/>
      <c r="M263" s="24">
        <f t="shared" si="48"/>
        <v>0.02</v>
      </c>
      <c r="N263" s="719"/>
      <c r="O263" s="24">
        <f t="shared" si="49"/>
        <v>1</v>
      </c>
      <c r="P263" s="719"/>
      <c r="Q263" s="24">
        <f t="shared" si="50"/>
        <v>1</v>
      </c>
      <c r="R263" s="715">
        <f t="shared" si="51"/>
        <v>0</v>
      </c>
      <c r="S263" s="361">
        <f t="shared" si="52"/>
        <v>0</v>
      </c>
    </row>
    <row r="264" spans="1:19">
      <c r="A264" s="159"/>
      <c r="B264" s="59"/>
      <c r="C264" s="24">
        <f t="shared" si="43"/>
        <v>1</v>
      </c>
      <c r="D264" s="719"/>
      <c r="E264" s="24">
        <f t="shared" si="44"/>
        <v>4.4999999999999998E-2</v>
      </c>
      <c r="F264" s="719"/>
      <c r="G264" s="24">
        <f t="shared" si="45"/>
        <v>0</v>
      </c>
      <c r="H264" s="719"/>
      <c r="I264" s="24">
        <f t="shared" si="46"/>
        <v>0.02</v>
      </c>
      <c r="J264" s="719"/>
      <c r="K264" s="24">
        <f t="shared" si="47"/>
        <v>0</v>
      </c>
      <c r="L264" s="719"/>
      <c r="M264" s="24">
        <f t="shared" si="48"/>
        <v>0.02</v>
      </c>
      <c r="N264" s="719"/>
      <c r="O264" s="24">
        <f t="shared" si="49"/>
        <v>1</v>
      </c>
      <c r="P264" s="719"/>
      <c r="Q264" s="24">
        <f t="shared" si="50"/>
        <v>1</v>
      </c>
      <c r="R264" s="715">
        <f t="shared" si="51"/>
        <v>0</v>
      </c>
      <c r="S264" s="361">
        <f t="shared" si="52"/>
        <v>0</v>
      </c>
    </row>
    <row r="265" spans="1:19">
      <c r="A265" s="159"/>
      <c r="B265" s="59"/>
      <c r="C265" s="24">
        <f t="shared" si="43"/>
        <v>1</v>
      </c>
      <c r="D265" s="719"/>
      <c r="E265" s="24">
        <f t="shared" si="44"/>
        <v>4.4999999999999998E-2</v>
      </c>
      <c r="F265" s="719"/>
      <c r="G265" s="24">
        <f t="shared" si="45"/>
        <v>0</v>
      </c>
      <c r="H265" s="719"/>
      <c r="I265" s="24">
        <f t="shared" si="46"/>
        <v>0.02</v>
      </c>
      <c r="J265" s="719"/>
      <c r="K265" s="24">
        <f t="shared" si="47"/>
        <v>0</v>
      </c>
      <c r="L265" s="719"/>
      <c r="M265" s="24">
        <f t="shared" si="48"/>
        <v>0.02</v>
      </c>
      <c r="N265" s="719"/>
      <c r="O265" s="24">
        <f t="shared" si="49"/>
        <v>1</v>
      </c>
      <c r="P265" s="719"/>
      <c r="Q265" s="24">
        <f t="shared" si="50"/>
        <v>1</v>
      </c>
      <c r="R265" s="715">
        <f t="shared" si="51"/>
        <v>0</v>
      </c>
      <c r="S265" s="361">
        <f t="shared" si="52"/>
        <v>0</v>
      </c>
    </row>
    <row r="266" spans="1:19">
      <c r="A266" s="159"/>
      <c r="B266" s="59"/>
      <c r="C266" s="24">
        <f t="shared" si="43"/>
        <v>1</v>
      </c>
      <c r="D266" s="719"/>
      <c r="E266" s="24">
        <f t="shared" si="44"/>
        <v>4.4999999999999998E-2</v>
      </c>
      <c r="F266" s="719"/>
      <c r="G266" s="24">
        <f t="shared" si="45"/>
        <v>0</v>
      </c>
      <c r="H266" s="719"/>
      <c r="I266" s="24">
        <f t="shared" si="46"/>
        <v>0.02</v>
      </c>
      <c r="J266" s="719"/>
      <c r="K266" s="24">
        <f t="shared" si="47"/>
        <v>0</v>
      </c>
      <c r="L266" s="719"/>
      <c r="M266" s="24">
        <f t="shared" si="48"/>
        <v>0.02</v>
      </c>
      <c r="N266" s="719"/>
      <c r="O266" s="24">
        <f t="shared" si="49"/>
        <v>1</v>
      </c>
      <c r="P266" s="719"/>
      <c r="Q266" s="24">
        <f t="shared" si="50"/>
        <v>1</v>
      </c>
      <c r="R266" s="715">
        <f t="shared" si="51"/>
        <v>0</v>
      </c>
      <c r="S266" s="361">
        <f t="shared" si="52"/>
        <v>0</v>
      </c>
    </row>
    <row r="267" spans="1:19">
      <c r="A267" s="159"/>
      <c r="B267" s="59"/>
      <c r="C267" s="24">
        <f t="shared" si="43"/>
        <v>1</v>
      </c>
      <c r="D267" s="719"/>
      <c r="E267" s="24">
        <f t="shared" si="44"/>
        <v>4.4999999999999998E-2</v>
      </c>
      <c r="F267" s="719"/>
      <c r="G267" s="24">
        <f t="shared" si="45"/>
        <v>0</v>
      </c>
      <c r="H267" s="719"/>
      <c r="I267" s="24">
        <f t="shared" si="46"/>
        <v>0.02</v>
      </c>
      <c r="J267" s="719"/>
      <c r="K267" s="24">
        <f t="shared" si="47"/>
        <v>0</v>
      </c>
      <c r="L267" s="719"/>
      <c r="M267" s="24">
        <f t="shared" si="48"/>
        <v>0.02</v>
      </c>
      <c r="N267" s="719"/>
      <c r="O267" s="24">
        <f t="shared" si="49"/>
        <v>1</v>
      </c>
      <c r="P267" s="719"/>
      <c r="Q267" s="24">
        <f t="shared" si="50"/>
        <v>1</v>
      </c>
      <c r="R267" s="715">
        <f t="shared" si="51"/>
        <v>0</v>
      </c>
      <c r="S267" s="361">
        <f t="shared" si="52"/>
        <v>0</v>
      </c>
    </row>
    <row r="268" spans="1:19">
      <c r="A268" s="159"/>
      <c r="B268" s="59"/>
      <c r="C268" s="24">
        <f t="shared" si="43"/>
        <v>1</v>
      </c>
      <c r="D268" s="719"/>
      <c r="E268" s="24">
        <f t="shared" si="44"/>
        <v>4.4999999999999998E-2</v>
      </c>
      <c r="F268" s="719"/>
      <c r="G268" s="24">
        <f t="shared" si="45"/>
        <v>0</v>
      </c>
      <c r="H268" s="719"/>
      <c r="I268" s="24">
        <f t="shared" si="46"/>
        <v>0.02</v>
      </c>
      <c r="J268" s="719"/>
      <c r="K268" s="24">
        <f t="shared" si="47"/>
        <v>0</v>
      </c>
      <c r="L268" s="719"/>
      <c r="M268" s="24">
        <f t="shared" si="48"/>
        <v>0.02</v>
      </c>
      <c r="N268" s="719"/>
      <c r="O268" s="24">
        <f t="shared" si="49"/>
        <v>1</v>
      </c>
      <c r="P268" s="719"/>
      <c r="Q268" s="24">
        <f t="shared" si="50"/>
        <v>1</v>
      </c>
      <c r="R268" s="715">
        <f t="shared" si="51"/>
        <v>0</v>
      </c>
      <c r="S268" s="361">
        <f t="shared" si="52"/>
        <v>0</v>
      </c>
    </row>
    <row r="269" spans="1:19">
      <c r="A269" s="159"/>
      <c r="B269" s="59"/>
      <c r="C269" s="24">
        <f t="shared" si="43"/>
        <v>1</v>
      </c>
      <c r="D269" s="719"/>
      <c r="E269" s="24">
        <f t="shared" si="44"/>
        <v>4.4999999999999998E-2</v>
      </c>
      <c r="F269" s="719"/>
      <c r="G269" s="24">
        <f t="shared" si="45"/>
        <v>0</v>
      </c>
      <c r="H269" s="719"/>
      <c r="I269" s="24">
        <f t="shared" si="46"/>
        <v>0.02</v>
      </c>
      <c r="J269" s="719"/>
      <c r="K269" s="24">
        <f t="shared" si="47"/>
        <v>0</v>
      </c>
      <c r="L269" s="719"/>
      <c r="M269" s="24">
        <f t="shared" si="48"/>
        <v>0.02</v>
      </c>
      <c r="N269" s="719"/>
      <c r="O269" s="24">
        <f t="shared" si="49"/>
        <v>1</v>
      </c>
      <c r="P269" s="719"/>
      <c r="Q269" s="24">
        <f t="shared" si="50"/>
        <v>1</v>
      </c>
      <c r="R269" s="715">
        <f t="shared" si="51"/>
        <v>0</v>
      </c>
      <c r="S269" s="361">
        <f t="shared" si="52"/>
        <v>0</v>
      </c>
    </row>
    <row r="270" spans="1:19">
      <c r="A270" s="159"/>
      <c r="B270" s="59"/>
      <c r="C270" s="24">
        <f t="shared" si="43"/>
        <v>1</v>
      </c>
      <c r="D270" s="719"/>
      <c r="E270" s="24">
        <f t="shared" si="44"/>
        <v>4.4999999999999998E-2</v>
      </c>
      <c r="F270" s="719"/>
      <c r="G270" s="24">
        <f t="shared" si="45"/>
        <v>0</v>
      </c>
      <c r="H270" s="719"/>
      <c r="I270" s="24">
        <f t="shared" si="46"/>
        <v>0.02</v>
      </c>
      <c r="J270" s="719"/>
      <c r="K270" s="24">
        <f t="shared" si="47"/>
        <v>0</v>
      </c>
      <c r="L270" s="719"/>
      <c r="M270" s="24">
        <f t="shared" si="48"/>
        <v>0.02</v>
      </c>
      <c r="N270" s="719"/>
      <c r="O270" s="24">
        <f t="shared" si="49"/>
        <v>1</v>
      </c>
      <c r="P270" s="719"/>
      <c r="Q270" s="24">
        <f t="shared" si="50"/>
        <v>1</v>
      </c>
      <c r="R270" s="715">
        <f t="shared" si="51"/>
        <v>0</v>
      </c>
      <c r="S270" s="361">
        <f t="shared" si="52"/>
        <v>0</v>
      </c>
    </row>
    <row r="271" spans="1:19">
      <c r="A271" s="159"/>
      <c r="B271" s="59"/>
      <c r="C271" s="24">
        <f t="shared" si="43"/>
        <v>1</v>
      </c>
      <c r="D271" s="719"/>
      <c r="E271" s="24">
        <f t="shared" si="44"/>
        <v>4.4999999999999998E-2</v>
      </c>
      <c r="F271" s="719"/>
      <c r="G271" s="24">
        <f t="shared" si="45"/>
        <v>0</v>
      </c>
      <c r="H271" s="719"/>
      <c r="I271" s="24">
        <f t="shared" si="46"/>
        <v>0.02</v>
      </c>
      <c r="J271" s="719"/>
      <c r="K271" s="24">
        <f t="shared" si="47"/>
        <v>0</v>
      </c>
      <c r="L271" s="719"/>
      <c r="M271" s="24">
        <f t="shared" si="48"/>
        <v>0.02</v>
      </c>
      <c r="N271" s="719"/>
      <c r="O271" s="24">
        <f t="shared" si="49"/>
        <v>1</v>
      </c>
      <c r="P271" s="719"/>
      <c r="Q271" s="24">
        <f t="shared" si="50"/>
        <v>1</v>
      </c>
      <c r="R271" s="715">
        <f t="shared" si="51"/>
        <v>0</v>
      </c>
      <c r="S271" s="361">
        <f t="shared" si="52"/>
        <v>0</v>
      </c>
    </row>
    <row r="272" spans="1:19">
      <c r="A272" s="159"/>
      <c r="B272" s="59"/>
      <c r="C272" s="24">
        <f t="shared" si="43"/>
        <v>1</v>
      </c>
      <c r="D272" s="719"/>
      <c r="E272" s="24">
        <f t="shared" si="44"/>
        <v>4.4999999999999998E-2</v>
      </c>
      <c r="F272" s="719"/>
      <c r="G272" s="24">
        <f t="shared" si="45"/>
        <v>0</v>
      </c>
      <c r="H272" s="719"/>
      <c r="I272" s="24">
        <f t="shared" si="46"/>
        <v>0.02</v>
      </c>
      <c r="J272" s="719"/>
      <c r="K272" s="24">
        <f t="shared" si="47"/>
        <v>0</v>
      </c>
      <c r="L272" s="719"/>
      <c r="M272" s="24">
        <f t="shared" si="48"/>
        <v>0.02</v>
      </c>
      <c r="N272" s="719"/>
      <c r="O272" s="24">
        <f t="shared" si="49"/>
        <v>1</v>
      </c>
      <c r="P272" s="719"/>
      <c r="Q272" s="24">
        <f t="shared" si="50"/>
        <v>1</v>
      </c>
      <c r="R272" s="715">
        <f t="shared" si="51"/>
        <v>0</v>
      </c>
      <c r="S272" s="361">
        <f t="shared" si="52"/>
        <v>0</v>
      </c>
    </row>
    <row r="273" spans="1:19">
      <c r="A273" s="159"/>
      <c r="B273" s="59"/>
      <c r="C273" s="24">
        <f t="shared" si="43"/>
        <v>1</v>
      </c>
      <c r="D273" s="719"/>
      <c r="E273" s="24">
        <f t="shared" si="44"/>
        <v>4.4999999999999998E-2</v>
      </c>
      <c r="F273" s="719"/>
      <c r="G273" s="24">
        <f t="shared" si="45"/>
        <v>0</v>
      </c>
      <c r="H273" s="719"/>
      <c r="I273" s="24">
        <f t="shared" si="46"/>
        <v>0.02</v>
      </c>
      <c r="J273" s="719"/>
      <c r="K273" s="24">
        <f t="shared" si="47"/>
        <v>0</v>
      </c>
      <c r="L273" s="719"/>
      <c r="M273" s="24">
        <f t="shared" si="48"/>
        <v>0.02</v>
      </c>
      <c r="N273" s="719"/>
      <c r="O273" s="24">
        <f t="shared" si="49"/>
        <v>1</v>
      </c>
      <c r="P273" s="719"/>
      <c r="Q273" s="24">
        <f t="shared" si="50"/>
        <v>1</v>
      </c>
      <c r="R273" s="715">
        <f t="shared" si="51"/>
        <v>0</v>
      </c>
      <c r="S273" s="361">
        <f t="shared" si="52"/>
        <v>0</v>
      </c>
    </row>
    <row r="274" spans="1:19">
      <c r="A274" s="159"/>
      <c r="B274" s="59"/>
      <c r="C274" s="24">
        <f t="shared" si="43"/>
        <v>1</v>
      </c>
      <c r="D274" s="719"/>
      <c r="E274" s="24">
        <f t="shared" si="44"/>
        <v>4.4999999999999998E-2</v>
      </c>
      <c r="F274" s="719"/>
      <c r="G274" s="24">
        <f t="shared" si="45"/>
        <v>0</v>
      </c>
      <c r="H274" s="719"/>
      <c r="I274" s="24">
        <f t="shared" si="46"/>
        <v>0.02</v>
      </c>
      <c r="J274" s="719"/>
      <c r="K274" s="24">
        <f t="shared" si="47"/>
        <v>0</v>
      </c>
      <c r="L274" s="719"/>
      <c r="M274" s="24">
        <f t="shared" si="48"/>
        <v>0.02</v>
      </c>
      <c r="N274" s="719"/>
      <c r="O274" s="24">
        <f t="shared" si="49"/>
        <v>1</v>
      </c>
      <c r="P274" s="719"/>
      <c r="Q274" s="24">
        <f t="shared" si="50"/>
        <v>1</v>
      </c>
      <c r="R274" s="715">
        <f t="shared" si="51"/>
        <v>0</v>
      </c>
      <c r="S274" s="361">
        <f t="shared" si="52"/>
        <v>0</v>
      </c>
    </row>
    <row r="275" spans="1:19">
      <c r="A275" s="159"/>
      <c r="B275" s="59"/>
      <c r="C275" s="24">
        <f t="shared" si="43"/>
        <v>1</v>
      </c>
      <c r="D275" s="719"/>
      <c r="E275" s="24">
        <f t="shared" si="44"/>
        <v>4.4999999999999998E-2</v>
      </c>
      <c r="F275" s="719"/>
      <c r="G275" s="24">
        <f t="shared" si="45"/>
        <v>0</v>
      </c>
      <c r="H275" s="719"/>
      <c r="I275" s="24">
        <f t="shared" si="46"/>
        <v>0.02</v>
      </c>
      <c r="J275" s="719"/>
      <c r="K275" s="24">
        <f t="shared" si="47"/>
        <v>0</v>
      </c>
      <c r="L275" s="719"/>
      <c r="M275" s="24">
        <f t="shared" si="48"/>
        <v>0.02</v>
      </c>
      <c r="N275" s="719"/>
      <c r="O275" s="24">
        <f t="shared" si="49"/>
        <v>1</v>
      </c>
      <c r="P275" s="719"/>
      <c r="Q275" s="24">
        <f t="shared" si="50"/>
        <v>1</v>
      </c>
      <c r="R275" s="715">
        <f t="shared" si="51"/>
        <v>0</v>
      </c>
      <c r="S275" s="361">
        <f t="shared" si="52"/>
        <v>0</v>
      </c>
    </row>
    <row r="276" spans="1:19">
      <c r="A276" s="159"/>
      <c r="B276" s="59"/>
      <c r="C276" s="24">
        <f t="shared" si="43"/>
        <v>1</v>
      </c>
      <c r="D276" s="719"/>
      <c r="E276" s="24">
        <f t="shared" si="44"/>
        <v>4.4999999999999998E-2</v>
      </c>
      <c r="F276" s="719"/>
      <c r="G276" s="24">
        <f t="shared" si="45"/>
        <v>0</v>
      </c>
      <c r="H276" s="719"/>
      <c r="I276" s="24">
        <f t="shared" si="46"/>
        <v>0.02</v>
      </c>
      <c r="J276" s="719"/>
      <c r="K276" s="24">
        <f t="shared" si="47"/>
        <v>0</v>
      </c>
      <c r="L276" s="719"/>
      <c r="M276" s="24">
        <f t="shared" si="48"/>
        <v>0.02</v>
      </c>
      <c r="N276" s="719"/>
      <c r="O276" s="24">
        <f t="shared" si="49"/>
        <v>1</v>
      </c>
      <c r="P276" s="719"/>
      <c r="Q276" s="24">
        <f t="shared" si="50"/>
        <v>1</v>
      </c>
      <c r="R276" s="715">
        <f t="shared" si="51"/>
        <v>0</v>
      </c>
      <c r="S276" s="361">
        <f t="shared" si="52"/>
        <v>0</v>
      </c>
    </row>
    <row r="277" spans="1:19">
      <c r="A277" s="159"/>
      <c r="B277" s="59"/>
      <c r="C277" s="24">
        <f t="shared" si="43"/>
        <v>1</v>
      </c>
      <c r="D277" s="719"/>
      <c r="E277" s="24">
        <f t="shared" si="44"/>
        <v>4.4999999999999998E-2</v>
      </c>
      <c r="F277" s="719"/>
      <c r="G277" s="24">
        <f t="shared" si="45"/>
        <v>0</v>
      </c>
      <c r="H277" s="719"/>
      <c r="I277" s="24">
        <f t="shared" si="46"/>
        <v>0.02</v>
      </c>
      <c r="J277" s="719"/>
      <c r="K277" s="24">
        <f t="shared" si="47"/>
        <v>0</v>
      </c>
      <c r="L277" s="719"/>
      <c r="M277" s="24">
        <f t="shared" si="48"/>
        <v>0.02</v>
      </c>
      <c r="N277" s="719"/>
      <c r="O277" s="24">
        <f t="shared" si="49"/>
        <v>1</v>
      </c>
      <c r="P277" s="719"/>
      <c r="Q277" s="24">
        <f t="shared" si="50"/>
        <v>1</v>
      </c>
      <c r="R277" s="715">
        <f t="shared" si="51"/>
        <v>0</v>
      </c>
      <c r="S277" s="361">
        <f t="shared" si="52"/>
        <v>0</v>
      </c>
    </row>
    <row r="278" spans="1:19">
      <c r="A278" s="159"/>
      <c r="B278" s="59"/>
      <c r="C278" s="24">
        <f t="shared" si="43"/>
        <v>1</v>
      </c>
      <c r="D278" s="719"/>
      <c r="E278" s="24">
        <f t="shared" si="44"/>
        <v>4.4999999999999998E-2</v>
      </c>
      <c r="F278" s="719"/>
      <c r="G278" s="24">
        <f t="shared" si="45"/>
        <v>0</v>
      </c>
      <c r="H278" s="719"/>
      <c r="I278" s="24">
        <f t="shared" si="46"/>
        <v>0.02</v>
      </c>
      <c r="J278" s="719"/>
      <c r="K278" s="24">
        <f t="shared" si="47"/>
        <v>0</v>
      </c>
      <c r="L278" s="719"/>
      <c r="M278" s="24">
        <f t="shared" si="48"/>
        <v>0.02</v>
      </c>
      <c r="N278" s="719"/>
      <c r="O278" s="24">
        <f t="shared" si="49"/>
        <v>1</v>
      </c>
      <c r="P278" s="719"/>
      <c r="Q278" s="24">
        <f t="shared" si="50"/>
        <v>1</v>
      </c>
      <c r="R278" s="715">
        <f t="shared" si="51"/>
        <v>0</v>
      </c>
      <c r="S278" s="361">
        <f t="shared" si="52"/>
        <v>0</v>
      </c>
    </row>
    <row r="279" spans="1:19">
      <c r="A279" s="159"/>
      <c r="B279" s="59"/>
      <c r="C279" s="24">
        <f t="shared" si="43"/>
        <v>1</v>
      </c>
      <c r="D279" s="719"/>
      <c r="E279" s="24">
        <f t="shared" si="44"/>
        <v>4.4999999999999998E-2</v>
      </c>
      <c r="F279" s="719"/>
      <c r="G279" s="24">
        <f t="shared" si="45"/>
        <v>0</v>
      </c>
      <c r="H279" s="719"/>
      <c r="I279" s="24">
        <f t="shared" si="46"/>
        <v>0.02</v>
      </c>
      <c r="J279" s="719"/>
      <c r="K279" s="24">
        <f t="shared" si="47"/>
        <v>0</v>
      </c>
      <c r="L279" s="719"/>
      <c r="M279" s="24">
        <f t="shared" si="48"/>
        <v>0.02</v>
      </c>
      <c r="N279" s="719"/>
      <c r="O279" s="24">
        <f t="shared" si="49"/>
        <v>1</v>
      </c>
      <c r="P279" s="719"/>
      <c r="Q279" s="24">
        <f t="shared" si="50"/>
        <v>1</v>
      </c>
      <c r="R279" s="715">
        <f t="shared" si="51"/>
        <v>0</v>
      </c>
      <c r="S279" s="361">
        <f t="shared" si="52"/>
        <v>0</v>
      </c>
    </row>
    <row r="280" spans="1:19">
      <c r="A280" s="159"/>
      <c r="B280" s="59"/>
      <c r="C280" s="24">
        <f t="shared" si="43"/>
        <v>1</v>
      </c>
      <c r="D280" s="719"/>
      <c r="E280" s="24">
        <f t="shared" si="44"/>
        <v>4.4999999999999998E-2</v>
      </c>
      <c r="F280" s="719"/>
      <c r="G280" s="24">
        <f t="shared" si="45"/>
        <v>0</v>
      </c>
      <c r="H280" s="719"/>
      <c r="I280" s="24">
        <f t="shared" si="46"/>
        <v>0.02</v>
      </c>
      <c r="J280" s="719"/>
      <c r="K280" s="24">
        <f t="shared" si="47"/>
        <v>0</v>
      </c>
      <c r="L280" s="719"/>
      <c r="M280" s="24">
        <f t="shared" si="48"/>
        <v>0.02</v>
      </c>
      <c r="N280" s="719"/>
      <c r="O280" s="24">
        <f t="shared" si="49"/>
        <v>1</v>
      </c>
      <c r="P280" s="719"/>
      <c r="Q280" s="24">
        <f t="shared" si="50"/>
        <v>1</v>
      </c>
      <c r="R280" s="715">
        <f t="shared" si="51"/>
        <v>0</v>
      </c>
      <c r="S280" s="361">
        <f t="shared" si="52"/>
        <v>0</v>
      </c>
    </row>
    <row r="281" spans="1:19">
      <c r="A281" s="159"/>
      <c r="B281" s="59"/>
      <c r="C281" s="24">
        <f t="shared" si="43"/>
        <v>1</v>
      </c>
      <c r="D281" s="719"/>
      <c r="E281" s="24">
        <f t="shared" si="44"/>
        <v>4.4999999999999998E-2</v>
      </c>
      <c r="F281" s="719"/>
      <c r="G281" s="24">
        <f t="shared" si="45"/>
        <v>0</v>
      </c>
      <c r="H281" s="719"/>
      <c r="I281" s="24">
        <f t="shared" si="46"/>
        <v>0.02</v>
      </c>
      <c r="J281" s="719"/>
      <c r="K281" s="24">
        <f t="shared" si="47"/>
        <v>0</v>
      </c>
      <c r="L281" s="719"/>
      <c r="M281" s="24">
        <f t="shared" si="48"/>
        <v>0.02</v>
      </c>
      <c r="N281" s="719"/>
      <c r="O281" s="24">
        <f t="shared" si="49"/>
        <v>1</v>
      </c>
      <c r="P281" s="719"/>
      <c r="Q281" s="24">
        <f t="shared" si="50"/>
        <v>1</v>
      </c>
      <c r="R281" s="715">
        <f t="shared" si="51"/>
        <v>0</v>
      </c>
      <c r="S281" s="361">
        <f t="shared" si="52"/>
        <v>0</v>
      </c>
    </row>
    <row r="282" spans="1:19">
      <c r="A282" s="159"/>
      <c r="B282" s="59"/>
      <c r="C282" s="24">
        <f t="shared" ref="C282:C345" si="53">IF(B282="",1,(LOOKUP(B282,$3:$3,$4:$4)-LOOKUP($B$24,$3:$3,$4:$4)+100)/100)</f>
        <v>1</v>
      </c>
      <c r="D282" s="719"/>
      <c r="E282" s="24">
        <f t="shared" ref="E282:E345" si="54">(SUMIF($5:$5,D282,$6:$6)-SUMIF($5:$5,$D$24,$6:$6)+100)/100</f>
        <v>4.4999999999999998E-2</v>
      </c>
      <c r="F282" s="719"/>
      <c r="G282" s="24">
        <f t="shared" ref="G282:G345" si="55">(SUMIF($7:$7,F282,$8:$8)-SUMIF($7:$7,$F$24,$8:$8)+100)/100</f>
        <v>0</v>
      </c>
      <c r="H282" s="719"/>
      <c r="I282" s="24">
        <f t="shared" ref="I282:I345" si="56">(SUMIF($9:$9,H282,$10:$10)-SUMIF($9:$9,$H$24,$10:$10)+100)/100</f>
        <v>0.02</v>
      </c>
      <c r="J282" s="719"/>
      <c r="K282" s="24">
        <f t="shared" ref="K282:K345" si="57">(SUMIF($11:$11,J282,$12:$12)-SUMIF($11:$11,$J$24,$12:$12)+100)/100</f>
        <v>0</v>
      </c>
      <c r="L282" s="719"/>
      <c r="M282" s="24">
        <f t="shared" ref="M282:M345" si="58">(SUMIF($13:$13,L282,$14:$14)-SUMIF($13:$13,$L$24,$14:$14)+100)/100</f>
        <v>0.02</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1">
        <f t="shared" si="52"/>
        <v>0</v>
      </c>
    </row>
    <row r="283" spans="1:19">
      <c r="A283" s="159"/>
      <c r="B283" s="59"/>
      <c r="C283" s="24">
        <f t="shared" si="53"/>
        <v>1</v>
      </c>
      <c r="D283" s="719"/>
      <c r="E283" s="24">
        <f t="shared" si="54"/>
        <v>4.4999999999999998E-2</v>
      </c>
      <c r="F283" s="719"/>
      <c r="G283" s="24">
        <f t="shared" si="55"/>
        <v>0</v>
      </c>
      <c r="H283" s="719"/>
      <c r="I283" s="24">
        <f t="shared" si="56"/>
        <v>0.02</v>
      </c>
      <c r="J283" s="719"/>
      <c r="K283" s="24">
        <f t="shared" si="57"/>
        <v>0</v>
      </c>
      <c r="L283" s="719"/>
      <c r="M283" s="24">
        <f t="shared" si="58"/>
        <v>0.02</v>
      </c>
      <c r="N283" s="719"/>
      <c r="O283" s="24">
        <f t="shared" si="59"/>
        <v>1</v>
      </c>
      <c r="P283" s="719"/>
      <c r="Q283" s="24">
        <f t="shared" si="60"/>
        <v>1</v>
      </c>
      <c r="R283" s="715">
        <f t="shared" si="61"/>
        <v>0</v>
      </c>
      <c r="S283" s="361">
        <f t="shared" si="52"/>
        <v>0</v>
      </c>
    </row>
    <row r="284" spans="1:19">
      <c r="A284" s="159"/>
      <c r="B284" s="59"/>
      <c r="C284" s="24">
        <f t="shared" si="53"/>
        <v>1</v>
      </c>
      <c r="D284" s="719"/>
      <c r="E284" s="24">
        <f t="shared" si="54"/>
        <v>4.4999999999999998E-2</v>
      </c>
      <c r="F284" s="719"/>
      <c r="G284" s="24">
        <f t="shared" si="55"/>
        <v>0</v>
      </c>
      <c r="H284" s="719"/>
      <c r="I284" s="24">
        <f t="shared" si="56"/>
        <v>0.02</v>
      </c>
      <c r="J284" s="719"/>
      <c r="K284" s="24">
        <f t="shared" si="57"/>
        <v>0</v>
      </c>
      <c r="L284" s="719"/>
      <c r="M284" s="24">
        <f t="shared" si="58"/>
        <v>0.02</v>
      </c>
      <c r="N284" s="719"/>
      <c r="O284" s="24">
        <f t="shared" si="59"/>
        <v>1</v>
      </c>
      <c r="P284" s="719"/>
      <c r="Q284" s="24">
        <f t="shared" si="60"/>
        <v>1</v>
      </c>
      <c r="R284" s="715">
        <f t="shared" si="61"/>
        <v>0</v>
      </c>
      <c r="S284" s="361">
        <f t="shared" si="52"/>
        <v>0</v>
      </c>
    </row>
    <row r="285" spans="1:19">
      <c r="A285" s="159"/>
      <c r="B285" s="59"/>
      <c r="C285" s="24">
        <f t="shared" si="53"/>
        <v>1</v>
      </c>
      <c r="D285" s="719"/>
      <c r="E285" s="24">
        <f t="shared" si="54"/>
        <v>4.4999999999999998E-2</v>
      </c>
      <c r="F285" s="719"/>
      <c r="G285" s="24">
        <f t="shared" si="55"/>
        <v>0</v>
      </c>
      <c r="H285" s="719"/>
      <c r="I285" s="24">
        <f t="shared" si="56"/>
        <v>0.02</v>
      </c>
      <c r="J285" s="719"/>
      <c r="K285" s="24">
        <f t="shared" si="57"/>
        <v>0</v>
      </c>
      <c r="L285" s="719"/>
      <c r="M285" s="24">
        <f t="shared" si="58"/>
        <v>0.02</v>
      </c>
      <c r="N285" s="719"/>
      <c r="O285" s="24">
        <f t="shared" si="59"/>
        <v>1</v>
      </c>
      <c r="P285" s="719"/>
      <c r="Q285" s="24">
        <f t="shared" si="60"/>
        <v>1</v>
      </c>
      <c r="R285" s="715">
        <f t="shared" si="61"/>
        <v>0</v>
      </c>
      <c r="S285" s="361">
        <f t="shared" si="52"/>
        <v>0</v>
      </c>
    </row>
    <row r="286" spans="1:19">
      <c r="A286" s="159"/>
      <c r="B286" s="59"/>
      <c r="C286" s="24">
        <f t="shared" si="53"/>
        <v>1</v>
      </c>
      <c r="D286" s="719"/>
      <c r="E286" s="24">
        <f t="shared" si="54"/>
        <v>4.4999999999999998E-2</v>
      </c>
      <c r="F286" s="719"/>
      <c r="G286" s="24">
        <f t="shared" si="55"/>
        <v>0</v>
      </c>
      <c r="H286" s="719"/>
      <c r="I286" s="24">
        <f t="shared" si="56"/>
        <v>0.02</v>
      </c>
      <c r="J286" s="719"/>
      <c r="K286" s="24">
        <f t="shared" si="57"/>
        <v>0</v>
      </c>
      <c r="L286" s="719"/>
      <c r="M286" s="24">
        <f t="shared" si="58"/>
        <v>0.02</v>
      </c>
      <c r="N286" s="719"/>
      <c r="O286" s="24">
        <f t="shared" si="59"/>
        <v>1</v>
      </c>
      <c r="P286" s="719"/>
      <c r="Q286" s="24">
        <f t="shared" si="60"/>
        <v>1</v>
      </c>
      <c r="R286" s="715">
        <f t="shared" si="61"/>
        <v>0</v>
      </c>
      <c r="S286" s="361">
        <f t="shared" si="52"/>
        <v>0</v>
      </c>
    </row>
    <row r="287" spans="1:19">
      <c r="A287" s="159"/>
      <c r="B287" s="59"/>
      <c r="C287" s="24">
        <f t="shared" si="53"/>
        <v>1</v>
      </c>
      <c r="D287" s="719"/>
      <c r="E287" s="24">
        <f t="shared" si="54"/>
        <v>4.4999999999999998E-2</v>
      </c>
      <c r="F287" s="719"/>
      <c r="G287" s="24">
        <f t="shared" si="55"/>
        <v>0</v>
      </c>
      <c r="H287" s="719"/>
      <c r="I287" s="24">
        <f t="shared" si="56"/>
        <v>0.02</v>
      </c>
      <c r="J287" s="719"/>
      <c r="K287" s="24">
        <f t="shared" si="57"/>
        <v>0</v>
      </c>
      <c r="L287" s="719"/>
      <c r="M287" s="24">
        <f t="shared" si="58"/>
        <v>0.02</v>
      </c>
      <c r="N287" s="719"/>
      <c r="O287" s="24">
        <f t="shared" si="59"/>
        <v>1</v>
      </c>
      <c r="P287" s="719"/>
      <c r="Q287" s="24">
        <f t="shared" si="60"/>
        <v>1</v>
      </c>
      <c r="R287" s="715">
        <f t="shared" si="61"/>
        <v>0</v>
      </c>
      <c r="S287" s="361">
        <f t="shared" ref="S287:S320" si="62">ROUND(R287*B287/10000,0)</f>
        <v>0</v>
      </c>
    </row>
    <row r="288" spans="1:19">
      <c r="A288" s="159"/>
      <c r="B288" s="59"/>
      <c r="C288" s="24">
        <f t="shared" si="53"/>
        <v>1</v>
      </c>
      <c r="D288" s="719"/>
      <c r="E288" s="24">
        <f t="shared" si="54"/>
        <v>4.4999999999999998E-2</v>
      </c>
      <c r="F288" s="719"/>
      <c r="G288" s="24">
        <f t="shared" si="55"/>
        <v>0</v>
      </c>
      <c r="H288" s="719"/>
      <c r="I288" s="24">
        <f t="shared" si="56"/>
        <v>0.02</v>
      </c>
      <c r="J288" s="719"/>
      <c r="K288" s="24">
        <f t="shared" si="57"/>
        <v>0</v>
      </c>
      <c r="L288" s="719"/>
      <c r="M288" s="24">
        <f t="shared" si="58"/>
        <v>0.02</v>
      </c>
      <c r="N288" s="719"/>
      <c r="O288" s="24">
        <f t="shared" si="59"/>
        <v>1</v>
      </c>
      <c r="P288" s="719"/>
      <c r="Q288" s="24">
        <f t="shared" si="60"/>
        <v>1</v>
      </c>
      <c r="R288" s="715">
        <f t="shared" si="61"/>
        <v>0</v>
      </c>
      <c r="S288" s="361">
        <f t="shared" si="62"/>
        <v>0</v>
      </c>
    </row>
    <row r="289" spans="1:19">
      <c r="A289" s="159"/>
      <c r="B289" s="59"/>
      <c r="C289" s="24">
        <f t="shared" si="53"/>
        <v>1</v>
      </c>
      <c r="D289" s="719"/>
      <c r="E289" s="24">
        <f t="shared" si="54"/>
        <v>4.4999999999999998E-2</v>
      </c>
      <c r="F289" s="719"/>
      <c r="G289" s="24">
        <f t="shared" si="55"/>
        <v>0</v>
      </c>
      <c r="H289" s="719"/>
      <c r="I289" s="24">
        <f t="shared" si="56"/>
        <v>0.02</v>
      </c>
      <c r="J289" s="719"/>
      <c r="K289" s="24">
        <f t="shared" si="57"/>
        <v>0</v>
      </c>
      <c r="L289" s="719"/>
      <c r="M289" s="24">
        <f t="shared" si="58"/>
        <v>0.02</v>
      </c>
      <c r="N289" s="719"/>
      <c r="O289" s="24">
        <f t="shared" si="59"/>
        <v>1</v>
      </c>
      <c r="P289" s="719"/>
      <c r="Q289" s="24">
        <f t="shared" si="60"/>
        <v>1</v>
      </c>
      <c r="R289" s="715">
        <f t="shared" si="61"/>
        <v>0</v>
      </c>
      <c r="S289" s="361">
        <f t="shared" si="62"/>
        <v>0</v>
      </c>
    </row>
    <row r="290" spans="1:19">
      <c r="A290" s="159"/>
      <c r="B290" s="59"/>
      <c r="C290" s="24">
        <f t="shared" si="53"/>
        <v>1</v>
      </c>
      <c r="D290" s="719"/>
      <c r="E290" s="24">
        <f t="shared" si="54"/>
        <v>4.4999999999999998E-2</v>
      </c>
      <c r="F290" s="719"/>
      <c r="G290" s="24">
        <f t="shared" si="55"/>
        <v>0</v>
      </c>
      <c r="H290" s="719"/>
      <c r="I290" s="24">
        <f t="shared" si="56"/>
        <v>0.02</v>
      </c>
      <c r="J290" s="719"/>
      <c r="K290" s="24">
        <f t="shared" si="57"/>
        <v>0</v>
      </c>
      <c r="L290" s="719"/>
      <c r="M290" s="24">
        <f t="shared" si="58"/>
        <v>0.02</v>
      </c>
      <c r="N290" s="719"/>
      <c r="O290" s="24">
        <f t="shared" si="59"/>
        <v>1</v>
      </c>
      <c r="P290" s="719"/>
      <c r="Q290" s="24">
        <f t="shared" si="60"/>
        <v>1</v>
      </c>
      <c r="R290" s="715">
        <f t="shared" si="61"/>
        <v>0</v>
      </c>
      <c r="S290" s="361">
        <f t="shared" si="62"/>
        <v>0</v>
      </c>
    </row>
    <row r="291" spans="1:19">
      <c r="A291" s="159"/>
      <c r="B291" s="59"/>
      <c r="C291" s="24">
        <f t="shared" si="53"/>
        <v>1</v>
      </c>
      <c r="D291" s="719"/>
      <c r="E291" s="24">
        <f t="shared" si="54"/>
        <v>4.4999999999999998E-2</v>
      </c>
      <c r="F291" s="719"/>
      <c r="G291" s="24">
        <f t="shared" si="55"/>
        <v>0</v>
      </c>
      <c r="H291" s="719"/>
      <c r="I291" s="24">
        <f t="shared" si="56"/>
        <v>0.02</v>
      </c>
      <c r="J291" s="719"/>
      <c r="K291" s="24">
        <f t="shared" si="57"/>
        <v>0</v>
      </c>
      <c r="L291" s="719"/>
      <c r="M291" s="24">
        <f t="shared" si="58"/>
        <v>0.02</v>
      </c>
      <c r="N291" s="719"/>
      <c r="O291" s="24">
        <f t="shared" si="59"/>
        <v>1</v>
      </c>
      <c r="P291" s="719"/>
      <c r="Q291" s="24">
        <f t="shared" si="60"/>
        <v>1</v>
      </c>
      <c r="R291" s="715">
        <f t="shared" si="61"/>
        <v>0</v>
      </c>
      <c r="S291" s="361">
        <f t="shared" si="62"/>
        <v>0</v>
      </c>
    </row>
    <row r="292" spans="1:19">
      <c r="A292" s="159"/>
      <c r="B292" s="59"/>
      <c r="C292" s="24">
        <f t="shared" si="53"/>
        <v>1</v>
      </c>
      <c r="D292" s="719"/>
      <c r="E292" s="24">
        <f t="shared" si="54"/>
        <v>4.4999999999999998E-2</v>
      </c>
      <c r="F292" s="719"/>
      <c r="G292" s="24">
        <f t="shared" si="55"/>
        <v>0</v>
      </c>
      <c r="H292" s="719"/>
      <c r="I292" s="24">
        <f t="shared" si="56"/>
        <v>0.02</v>
      </c>
      <c r="J292" s="719"/>
      <c r="K292" s="24">
        <f t="shared" si="57"/>
        <v>0</v>
      </c>
      <c r="L292" s="719"/>
      <c r="M292" s="24">
        <f t="shared" si="58"/>
        <v>0.02</v>
      </c>
      <c r="N292" s="719"/>
      <c r="O292" s="24">
        <f t="shared" si="59"/>
        <v>1</v>
      </c>
      <c r="P292" s="719"/>
      <c r="Q292" s="24">
        <f t="shared" si="60"/>
        <v>1</v>
      </c>
      <c r="R292" s="715">
        <f t="shared" si="61"/>
        <v>0</v>
      </c>
      <c r="S292" s="361">
        <f t="shared" si="62"/>
        <v>0</v>
      </c>
    </row>
    <row r="293" spans="1:19">
      <c r="A293" s="159"/>
      <c r="B293" s="59"/>
      <c r="C293" s="24">
        <f t="shared" si="53"/>
        <v>1</v>
      </c>
      <c r="D293" s="719"/>
      <c r="E293" s="24">
        <f t="shared" si="54"/>
        <v>4.4999999999999998E-2</v>
      </c>
      <c r="F293" s="719"/>
      <c r="G293" s="24">
        <f t="shared" si="55"/>
        <v>0</v>
      </c>
      <c r="H293" s="719"/>
      <c r="I293" s="24">
        <f t="shared" si="56"/>
        <v>0.02</v>
      </c>
      <c r="J293" s="719"/>
      <c r="K293" s="24">
        <f t="shared" si="57"/>
        <v>0</v>
      </c>
      <c r="L293" s="719"/>
      <c r="M293" s="24">
        <f t="shared" si="58"/>
        <v>0.02</v>
      </c>
      <c r="N293" s="719"/>
      <c r="O293" s="24">
        <f t="shared" si="59"/>
        <v>1</v>
      </c>
      <c r="P293" s="719"/>
      <c r="Q293" s="24">
        <f t="shared" si="60"/>
        <v>1</v>
      </c>
      <c r="R293" s="715">
        <f t="shared" si="61"/>
        <v>0</v>
      </c>
      <c r="S293" s="361">
        <f t="shared" si="62"/>
        <v>0</v>
      </c>
    </row>
    <row r="294" spans="1:19">
      <c r="A294" s="159"/>
      <c r="B294" s="59"/>
      <c r="C294" s="24">
        <f t="shared" si="53"/>
        <v>1</v>
      </c>
      <c r="D294" s="719"/>
      <c r="E294" s="24">
        <f t="shared" si="54"/>
        <v>4.4999999999999998E-2</v>
      </c>
      <c r="F294" s="719"/>
      <c r="G294" s="24">
        <f t="shared" si="55"/>
        <v>0</v>
      </c>
      <c r="H294" s="719"/>
      <c r="I294" s="24">
        <f t="shared" si="56"/>
        <v>0.02</v>
      </c>
      <c r="J294" s="719"/>
      <c r="K294" s="24">
        <f t="shared" si="57"/>
        <v>0</v>
      </c>
      <c r="L294" s="719"/>
      <c r="M294" s="24">
        <f t="shared" si="58"/>
        <v>0.02</v>
      </c>
      <c r="N294" s="719"/>
      <c r="O294" s="24">
        <f t="shared" si="59"/>
        <v>1</v>
      </c>
      <c r="P294" s="719"/>
      <c r="Q294" s="24">
        <f t="shared" si="60"/>
        <v>1</v>
      </c>
      <c r="R294" s="715">
        <f t="shared" si="61"/>
        <v>0</v>
      </c>
      <c r="S294" s="361">
        <f t="shared" si="62"/>
        <v>0</v>
      </c>
    </row>
    <row r="295" spans="1:19">
      <c r="A295" s="159"/>
      <c r="B295" s="59"/>
      <c r="C295" s="24">
        <f t="shared" si="53"/>
        <v>1</v>
      </c>
      <c r="D295" s="719"/>
      <c r="E295" s="24">
        <f t="shared" si="54"/>
        <v>4.4999999999999998E-2</v>
      </c>
      <c r="F295" s="719"/>
      <c r="G295" s="24">
        <f t="shared" si="55"/>
        <v>0</v>
      </c>
      <c r="H295" s="719"/>
      <c r="I295" s="24">
        <f t="shared" si="56"/>
        <v>0.02</v>
      </c>
      <c r="J295" s="719"/>
      <c r="K295" s="24">
        <f t="shared" si="57"/>
        <v>0</v>
      </c>
      <c r="L295" s="719"/>
      <c r="M295" s="24">
        <f t="shared" si="58"/>
        <v>0.02</v>
      </c>
      <c r="N295" s="719"/>
      <c r="O295" s="24">
        <f t="shared" si="59"/>
        <v>1</v>
      </c>
      <c r="P295" s="719"/>
      <c r="Q295" s="24">
        <f t="shared" si="60"/>
        <v>1</v>
      </c>
      <c r="R295" s="715">
        <f t="shared" si="61"/>
        <v>0</v>
      </c>
      <c r="S295" s="361">
        <f t="shared" si="62"/>
        <v>0</v>
      </c>
    </row>
    <row r="296" spans="1:19">
      <c r="A296" s="159"/>
      <c r="B296" s="59"/>
      <c r="C296" s="24">
        <f t="shared" si="53"/>
        <v>1</v>
      </c>
      <c r="D296" s="719"/>
      <c r="E296" s="24">
        <f t="shared" si="54"/>
        <v>4.4999999999999998E-2</v>
      </c>
      <c r="F296" s="719"/>
      <c r="G296" s="24">
        <f t="shared" si="55"/>
        <v>0</v>
      </c>
      <c r="H296" s="719"/>
      <c r="I296" s="24">
        <f t="shared" si="56"/>
        <v>0.02</v>
      </c>
      <c r="J296" s="719"/>
      <c r="K296" s="24">
        <f t="shared" si="57"/>
        <v>0</v>
      </c>
      <c r="L296" s="719"/>
      <c r="M296" s="24">
        <f t="shared" si="58"/>
        <v>0.02</v>
      </c>
      <c r="N296" s="719"/>
      <c r="O296" s="24">
        <f t="shared" si="59"/>
        <v>1</v>
      </c>
      <c r="P296" s="719"/>
      <c r="Q296" s="24">
        <f t="shared" si="60"/>
        <v>1</v>
      </c>
      <c r="R296" s="715">
        <f t="shared" si="61"/>
        <v>0</v>
      </c>
      <c r="S296" s="361">
        <f t="shared" si="62"/>
        <v>0</v>
      </c>
    </row>
    <row r="297" spans="1:19">
      <c r="A297" s="159"/>
      <c r="B297" s="59"/>
      <c r="C297" s="24">
        <f t="shared" si="53"/>
        <v>1</v>
      </c>
      <c r="D297" s="719"/>
      <c r="E297" s="24">
        <f t="shared" si="54"/>
        <v>4.4999999999999998E-2</v>
      </c>
      <c r="F297" s="719"/>
      <c r="G297" s="24">
        <f t="shared" si="55"/>
        <v>0</v>
      </c>
      <c r="H297" s="719"/>
      <c r="I297" s="24">
        <f t="shared" si="56"/>
        <v>0.02</v>
      </c>
      <c r="J297" s="719"/>
      <c r="K297" s="24">
        <f t="shared" si="57"/>
        <v>0</v>
      </c>
      <c r="L297" s="719"/>
      <c r="M297" s="24">
        <f t="shared" si="58"/>
        <v>0.02</v>
      </c>
      <c r="N297" s="719"/>
      <c r="O297" s="24">
        <f t="shared" si="59"/>
        <v>1</v>
      </c>
      <c r="P297" s="719"/>
      <c r="Q297" s="24">
        <f t="shared" si="60"/>
        <v>1</v>
      </c>
      <c r="R297" s="715">
        <f t="shared" si="61"/>
        <v>0</v>
      </c>
      <c r="S297" s="361">
        <f t="shared" si="62"/>
        <v>0</v>
      </c>
    </row>
    <row r="298" spans="1:19">
      <c r="A298" s="159"/>
      <c r="B298" s="59"/>
      <c r="C298" s="24">
        <f t="shared" si="53"/>
        <v>1</v>
      </c>
      <c r="D298" s="719"/>
      <c r="E298" s="24">
        <f t="shared" si="54"/>
        <v>4.4999999999999998E-2</v>
      </c>
      <c r="F298" s="719"/>
      <c r="G298" s="24">
        <f t="shared" si="55"/>
        <v>0</v>
      </c>
      <c r="H298" s="719"/>
      <c r="I298" s="24">
        <f t="shared" si="56"/>
        <v>0.02</v>
      </c>
      <c r="J298" s="719"/>
      <c r="K298" s="24">
        <f t="shared" si="57"/>
        <v>0</v>
      </c>
      <c r="L298" s="719"/>
      <c r="M298" s="24">
        <f t="shared" si="58"/>
        <v>0.02</v>
      </c>
      <c r="N298" s="719"/>
      <c r="O298" s="24">
        <f t="shared" si="59"/>
        <v>1</v>
      </c>
      <c r="P298" s="719"/>
      <c r="Q298" s="24">
        <f t="shared" si="60"/>
        <v>1</v>
      </c>
      <c r="R298" s="715">
        <f t="shared" si="61"/>
        <v>0</v>
      </c>
      <c r="S298" s="361">
        <f t="shared" si="62"/>
        <v>0</v>
      </c>
    </row>
    <row r="299" spans="1:19">
      <c r="A299" s="159"/>
      <c r="B299" s="59"/>
      <c r="C299" s="24">
        <f t="shared" si="53"/>
        <v>1</v>
      </c>
      <c r="D299" s="719"/>
      <c r="E299" s="24">
        <f t="shared" si="54"/>
        <v>4.4999999999999998E-2</v>
      </c>
      <c r="F299" s="719"/>
      <c r="G299" s="24">
        <f t="shared" si="55"/>
        <v>0</v>
      </c>
      <c r="H299" s="719"/>
      <c r="I299" s="24">
        <f t="shared" si="56"/>
        <v>0.02</v>
      </c>
      <c r="J299" s="719"/>
      <c r="K299" s="24">
        <f t="shared" si="57"/>
        <v>0</v>
      </c>
      <c r="L299" s="719"/>
      <c r="M299" s="24">
        <f t="shared" si="58"/>
        <v>0.02</v>
      </c>
      <c r="N299" s="719"/>
      <c r="O299" s="24">
        <f t="shared" si="59"/>
        <v>1</v>
      </c>
      <c r="P299" s="719"/>
      <c r="Q299" s="24">
        <f t="shared" si="60"/>
        <v>1</v>
      </c>
      <c r="R299" s="715">
        <f t="shared" si="61"/>
        <v>0</v>
      </c>
      <c r="S299" s="361">
        <f t="shared" si="62"/>
        <v>0</v>
      </c>
    </row>
    <row r="300" spans="1:19">
      <c r="A300" s="159"/>
      <c r="B300" s="59"/>
      <c r="C300" s="24">
        <f t="shared" si="53"/>
        <v>1</v>
      </c>
      <c r="D300" s="719"/>
      <c r="E300" s="24">
        <f t="shared" si="54"/>
        <v>4.4999999999999998E-2</v>
      </c>
      <c r="F300" s="719"/>
      <c r="G300" s="24">
        <f t="shared" si="55"/>
        <v>0</v>
      </c>
      <c r="H300" s="719"/>
      <c r="I300" s="24">
        <f t="shared" si="56"/>
        <v>0.02</v>
      </c>
      <c r="J300" s="719"/>
      <c r="K300" s="24">
        <f t="shared" si="57"/>
        <v>0</v>
      </c>
      <c r="L300" s="719"/>
      <c r="M300" s="24">
        <f t="shared" si="58"/>
        <v>0.02</v>
      </c>
      <c r="N300" s="719"/>
      <c r="O300" s="24">
        <f t="shared" si="59"/>
        <v>1</v>
      </c>
      <c r="P300" s="719"/>
      <c r="Q300" s="24">
        <f t="shared" si="60"/>
        <v>1</v>
      </c>
      <c r="R300" s="715">
        <f t="shared" si="61"/>
        <v>0</v>
      </c>
      <c r="S300" s="361">
        <f t="shared" si="62"/>
        <v>0</v>
      </c>
    </row>
    <row r="301" spans="1:19">
      <c r="A301" s="159"/>
      <c r="B301" s="59"/>
      <c r="C301" s="24">
        <f t="shared" si="53"/>
        <v>1</v>
      </c>
      <c r="D301" s="719"/>
      <c r="E301" s="24">
        <f t="shared" si="54"/>
        <v>4.4999999999999998E-2</v>
      </c>
      <c r="F301" s="719"/>
      <c r="G301" s="24">
        <f t="shared" si="55"/>
        <v>0</v>
      </c>
      <c r="H301" s="719"/>
      <c r="I301" s="24">
        <f t="shared" si="56"/>
        <v>0.02</v>
      </c>
      <c r="J301" s="719"/>
      <c r="K301" s="24">
        <f t="shared" si="57"/>
        <v>0</v>
      </c>
      <c r="L301" s="719"/>
      <c r="M301" s="24">
        <f t="shared" si="58"/>
        <v>0.02</v>
      </c>
      <c r="N301" s="719"/>
      <c r="O301" s="24">
        <f t="shared" si="59"/>
        <v>1</v>
      </c>
      <c r="P301" s="719"/>
      <c r="Q301" s="24">
        <f t="shared" si="60"/>
        <v>1</v>
      </c>
      <c r="R301" s="715">
        <f t="shared" si="61"/>
        <v>0</v>
      </c>
      <c r="S301" s="361">
        <f t="shared" si="62"/>
        <v>0</v>
      </c>
    </row>
    <row r="302" spans="1:19">
      <c r="A302" s="159"/>
      <c r="B302" s="59"/>
      <c r="C302" s="24">
        <f t="shared" si="53"/>
        <v>1</v>
      </c>
      <c r="D302" s="719"/>
      <c r="E302" s="24">
        <f t="shared" si="54"/>
        <v>4.4999999999999998E-2</v>
      </c>
      <c r="F302" s="719"/>
      <c r="G302" s="24">
        <f t="shared" si="55"/>
        <v>0</v>
      </c>
      <c r="H302" s="719"/>
      <c r="I302" s="24">
        <f t="shared" si="56"/>
        <v>0.02</v>
      </c>
      <c r="J302" s="719"/>
      <c r="K302" s="24">
        <f t="shared" si="57"/>
        <v>0</v>
      </c>
      <c r="L302" s="719"/>
      <c r="M302" s="24">
        <f t="shared" si="58"/>
        <v>0.02</v>
      </c>
      <c r="N302" s="719"/>
      <c r="O302" s="24">
        <f t="shared" si="59"/>
        <v>1</v>
      </c>
      <c r="P302" s="719"/>
      <c r="Q302" s="24">
        <f t="shared" si="60"/>
        <v>1</v>
      </c>
      <c r="R302" s="715">
        <f t="shared" si="61"/>
        <v>0</v>
      </c>
      <c r="S302" s="361">
        <f t="shared" si="62"/>
        <v>0</v>
      </c>
    </row>
    <row r="303" spans="1:19">
      <c r="A303" s="159"/>
      <c r="B303" s="59"/>
      <c r="C303" s="24">
        <f t="shared" si="53"/>
        <v>1</v>
      </c>
      <c r="D303" s="719"/>
      <c r="E303" s="24">
        <f t="shared" si="54"/>
        <v>4.4999999999999998E-2</v>
      </c>
      <c r="F303" s="719"/>
      <c r="G303" s="24">
        <f t="shared" si="55"/>
        <v>0</v>
      </c>
      <c r="H303" s="719"/>
      <c r="I303" s="24">
        <f t="shared" si="56"/>
        <v>0.02</v>
      </c>
      <c r="J303" s="719"/>
      <c r="K303" s="24">
        <f t="shared" si="57"/>
        <v>0</v>
      </c>
      <c r="L303" s="719"/>
      <c r="M303" s="24">
        <f t="shared" si="58"/>
        <v>0.02</v>
      </c>
      <c r="N303" s="719"/>
      <c r="O303" s="24">
        <f t="shared" si="59"/>
        <v>1</v>
      </c>
      <c r="P303" s="719"/>
      <c r="Q303" s="24">
        <f t="shared" si="60"/>
        <v>1</v>
      </c>
      <c r="R303" s="715">
        <f t="shared" si="61"/>
        <v>0</v>
      </c>
      <c r="S303" s="361">
        <f t="shared" si="62"/>
        <v>0</v>
      </c>
    </row>
    <row r="304" spans="1:19">
      <c r="A304" s="159"/>
      <c r="B304" s="59"/>
      <c r="C304" s="24">
        <f t="shared" si="53"/>
        <v>1</v>
      </c>
      <c r="D304" s="719"/>
      <c r="E304" s="24">
        <f t="shared" si="54"/>
        <v>4.4999999999999998E-2</v>
      </c>
      <c r="F304" s="719"/>
      <c r="G304" s="24">
        <f t="shared" si="55"/>
        <v>0</v>
      </c>
      <c r="H304" s="719"/>
      <c r="I304" s="24">
        <f t="shared" si="56"/>
        <v>0.02</v>
      </c>
      <c r="J304" s="719"/>
      <c r="K304" s="24">
        <f t="shared" si="57"/>
        <v>0</v>
      </c>
      <c r="L304" s="719"/>
      <c r="M304" s="24">
        <f t="shared" si="58"/>
        <v>0.02</v>
      </c>
      <c r="N304" s="719"/>
      <c r="O304" s="24">
        <f t="shared" si="59"/>
        <v>1</v>
      </c>
      <c r="P304" s="719"/>
      <c r="Q304" s="24">
        <f t="shared" si="60"/>
        <v>1</v>
      </c>
      <c r="R304" s="715">
        <f t="shared" si="61"/>
        <v>0</v>
      </c>
      <c r="S304" s="361">
        <f t="shared" si="62"/>
        <v>0</v>
      </c>
    </row>
    <row r="305" spans="1:19">
      <c r="A305" s="159"/>
      <c r="B305" s="59"/>
      <c r="C305" s="24">
        <f t="shared" si="53"/>
        <v>1</v>
      </c>
      <c r="D305" s="719"/>
      <c r="E305" s="24">
        <f t="shared" si="54"/>
        <v>4.4999999999999998E-2</v>
      </c>
      <c r="F305" s="719"/>
      <c r="G305" s="24">
        <f t="shared" si="55"/>
        <v>0</v>
      </c>
      <c r="H305" s="719"/>
      <c r="I305" s="24">
        <f t="shared" si="56"/>
        <v>0.02</v>
      </c>
      <c r="J305" s="719"/>
      <c r="K305" s="24">
        <f t="shared" si="57"/>
        <v>0</v>
      </c>
      <c r="L305" s="719"/>
      <c r="M305" s="24">
        <f t="shared" si="58"/>
        <v>0.02</v>
      </c>
      <c r="N305" s="719"/>
      <c r="O305" s="24">
        <f t="shared" si="59"/>
        <v>1</v>
      </c>
      <c r="P305" s="719"/>
      <c r="Q305" s="24">
        <f t="shared" si="60"/>
        <v>1</v>
      </c>
      <c r="R305" s="715">
        <f t="shared" si="61"/>
        <v>0</v>
      </c>
      <c r="S305" s="361">
        <f t="shared" si="62"/>
        <v>0</v>
      </c>
    </row>
    <row r="306" spans="1:19">
      <c r="A306" s="159"/>
      <c r="B306" s="59"/>
      <c r="C306" s="24">
        <f t="shared" si="53"/>
        <v>1</v>
      </c>
      <c r="D306" s="719"/>
      <c r="E306" s="24">
        <f t="shared" si="54"/>
        <v>4.4999999999999998E-2</v>
      </c>
      <c r="F306" s="719"/>
      <c r="G306" s="24">
        <f t="shared" si="55"/>
        <v>0</v>
      </c>
      <c r="H306" s="719"/>
      <c r="I306" s="24">
        <f t="shared" si="56"/>
        <v>0.02</v>
      </c>
      <c r="J306" s="719"/>
      <c r="K306" s="24">
        <f t="shared" si="57"/>
        <v>0</v>
      </c>
      <c r="L306" s="719"/>
      <c r="M306" s="24">
        <f t="shared" si="58"/>
        <v>0.02</v>
      </c>
      <c r="N306" s="719"/>
      <c r="O306" s="24">
        <f t="shared" si="59"/>
        <v>1</v>
      </c>
      <c r="P306" s="719"/>
      <c r="Q306" s="24">
        <f t="shared" si="60"/>
        <v>1</v>
      </c>
      <c r="R306" s="715">
        <f t="shared" si="61"/>
        <v>0</v>
      </c>
      <c r="S306" s="361">
        <f t="shared" si="62"/>
        <v>0</v>
      </c>
    </row>
    <row r="307" spans="1:19">
      <c r="A307" s="159"/>
      <c r="B307" s="59"/>
      <c r="C307" s="24">
        <f t="shared" si="53"/>
        <v>1</v>
      </c>
      <c r="D307" s="719"/>
      <c r="E307" s="24">
        <f t="shared" si="54"/>
        <v>4.4999999999999998E-2</v>
      </c>
      <c r="F307" s="719"/>
      <c r="G307" s="24">
        <f t="shared" si="55"/>
        <v>0</v>
      </c>
      <c r="H307" s="719"/>
      <c r="I307" s="24">
        <f t="shared" si="56"/>
        <v>0.02</v>
      </c>
      <c r="J307" s="719"/>
      <c r="K307" s="24">
        <f t="shared" si="57"/>
        <v>0</v>
      </c>
      <c r="L307" s="719"/>
      <c r="M307" s="24">
        <f t="shared" si="58"/>
        <v>0.02</v>
      </c>
      <c r="N307" s="719"/>
      <c r="O307" s="24">
        <f t="shared" si="59"/>
        <v>1</v>
      </c>
      <c r="P307" s="719"/>
      <c r="Q307" s="24">
        <f t="shared" si="60"/>
        <v>1</v>
      </c>
      <c r="R307" s="715">
        <f t="shared" si="61"/>
        <v>0</v>
      </c>
      <c r="S307" s="361">
        <f t="shared" si="62"/>
        <v>0</v>
      </c>
    </row>
    <row r="308" spans="1:19">
      <c r="A308" s="159"/>
      <c r="B308" s="59"/>
      <c r="C308" s="24">
        <f t="shared" si="53"/>
        <v>1</v>
      </c>
      <c r="D308" s="719"/>
      <c r="E308" s="24">
        <f t="shared" si="54"/>
        <v>4.4999999999999998E-2</v>
      </c>
      <c r="F308" s="719"/>
      <c r="G308" s="24">
        <f t="shared" si="55"/>
        <v>0</v>
      </c>
      <c r="H308" s="719"/>
      <c r="I308" s="24">
        <f t="shared" si="56"/>
        <v>0.02</v>
      </c>
      <c r="J308" s="719"/>
      <c r="K308" s="24">
        <f t="shared" si="57"/>
        <v>0</v>
      </c>
      <c r="L308" s="719"/>
      <c r="M308" s="24">
        <f t="shared" si="58"/>
        <v>0.02</v>
      </c>
      <c r="N308" s="719"/>
      <c r="O308" s="24">
        <f t="shared" si="59"/>
        <v>1</v>
      </c>
      <c r="P308" s="719"/>
      <c r="Q308" s="24">
        <f t="shared" si="60"/>
        <v>1</v>
      </c>
      <c r="R308" s="715">
        <f t="shared" si="61"/>
        <v>0</v>
      </c>
      <c r="S308" s="361">
        <f t="shared" si="62"/>
        <v>0</v>
      </c>
    </row>
    <row r="309" spans="1:19">
      <c r="A309" s="159"/>
      <c r="B309" s="59"/>
      <c r="C309" s="24">
        <f t="shared" si="53"/>
        <v>1</v>
      </c>
      <c r="D309" s="719"/>
      <c r="E309" s="24">
        <f t="shared" si="54"/>
        <v>4.4999999999999998E-2</v>
      </c>
      <c r="F309" s="719"/>
      <c r="G309" s="24">
        <f t="shared" si="55"/>
        <v>0</v>
      </c>
      <c r="H309" s="719"/>
      <c r="I309" s="24">
        <f t="shared" si="56"/>
        <v>0.02</v>
      </c>
      <c r="J309" s="719"/>
      <c r="K309" s="24">
        <f t="shared" si="57"/>
        <v>0</v>
      </c>
      <c r="L309" s="719"/>
      <c r="M309" s="24">
        <f t="shared" si="58"/>
        <v>0.02</v>
      </c>
      <c r="N309" s="719"/>
      <c r="O309" s="24">
        <f t="shared" si="59"/>
        <v>1</v>
      </c>
      <c r="P309" s="719"/>
      <c r="Q309" s="24">
        <f t="shared" si="60"/>
        <v>1</v>
      </c>
      <c r="R309" s="715">
        <f t="shared" si="61"/>
        <v>0</v>
      </c>
      <c r="S309" s="361">
        <f t="shared" si="62"/>
        <v>0</v>
      </c>
    </row>
    <row r="310" spans="1:19">
      <c r="A310" s="159"/>
      <c r="B310" s="59"/>
      <c r="C310" s="24">
        <f t="shared" si="53"/>
        <v>1</v>
      </c>
      <c r="D310" s="719"/>
      <c r="E310" s="24">
        <f t="shared" si="54"/>
        <v>4.4999999999999998E-2</v>
      </c>
      <c r="F310" s="719"/>
      <c r="G310" s="24">
        <f t="shared" si="55"/>
        <v>0</v>
      </c>
      <c r="H310" s="719"/>
      <c r="I310" s="24">
        <f t="shared" si="56"/>
        <v>0.02</v>
      </c>
      <c r="J310" s="719"/>
      <c r="K310" s="24">
        <f t="shared" si="57"/>
        <v>0</v>
      </c>
      <c r="L310" s="719"/>
      <c r="M310" s="24">
        <f t="shared" si="58"/>
        <v>0.02</v>
      </c>
      <c r="N310" s="719"/>
      <c r="O310" s="24">
        <f t="shared" si="59"/>
        <v>1</v>
      </c>
      <c r="P310" s="719"/>
      <c r="Q310" s="24">
        <f t="shared" si="60"/>
        <v>1</v>
      </c>
      <c r="R310" s="715">
        <f t="shared" si="61"/>
        <v>0</v>
      </c>
      <c r="S310" s="361">
        <f t="shared" si="62"/>
        <v>0</v>
      </c>
    </row>
    <row r="311" spans="1:19">
      <c r="A311" s="159"/>
      <c r="B311" s="59"/>
      <c r="C311" s="24">
        <f t="shared" si="53"/>
        <v>1</v>
      </c>
      <c r="D311" s="719"/>
      <c r="E311" s="24">
        <f t="shared" si="54"/>
        <v>4.4999999999999998E-2</v>
      </c>
      <c r="F311" s="719"/>
      <c r="G311" s="24">
        <f t="shared" si="55"/>
        <v>0</v>
      </c>
      <c r="H311" s="719"/>
      <c r="I311" s="24">
        <f t="shared" si="56"/>
        <v>0.02</v>
      </c>
      <c r="J311" s="719"/>
      <c r="K311" s="24">
        <f t="shared" si="57"/>
        <v>0</v>
      </c>
      <c r="L311" s="719"/>
      <c r="M311" s="24">
        <f t="shared" si="58"/>
        <v>0.02</v>
      </c>
      <c r="N311" s="719"/>
      <c r="O311" s="24">
        <f t="shared" si="59"/>
        <v>1</v>
      </c>
      <c r="P311" s="719"/>
      <c r="Q311" s="24">
        <f t="shared" si="60"/>
        <v>1</v>
      </c>
      <c r="R311" s="715">
        <f t="shared" si="61"/>
        <v>0</v>
      </c>
      <c r="S311" s="361">
        <f t="shared" si="62"/>
        <v>0</v>
      </c>
    </row>
    <row r="312" spans="1:19">
      <c r="A312" s="159"/>
      <c r="B312" s="59"/>
      <c r="C312" s="24">
        <f t="shared" si="53"/>
        <v>1</v>
      </c>
      <c r="D312" s="719"/>
      <c r="E312" s="24">
        <f t="shared" si="54"/>
        <v>4.4999999999999998E-2</v>
      </c>
      <c r="F312" s="719"/>
      <c r="G312" s="24">
        <f t="shared" si="55"/>
        <v>0</v>
      </c>
      <c r="H312" s="719"/>
      <c r="I312" s="24">
        <f t="shared" si="56"/>
        <v>0.02</v>
      </c>
      <c r="J312" s="719"/>
      <c r="K312" s="24">
        <f t="shared" si="57"/>
        <v>0</v>
      </c>
      <c r="L312" s="719"/>
      <c r="M312" s="24">
        <f t="shared" si="58"/>
        <v>0.02</v>
      </c>
      <c r="N312" s="719"/>
      <c r="O312" s="24">
        <f t="shared" si="59"/>
        <v>1</v>
      </c>
      <c r="P312" s="719"/>
      <c r="Q312" s="24">
        <f t="shared" si="60"/>
        <v>1</v>
      </c>
      <c r="R312" s="715">
        <f t="shared" si="61"/>
        <v>0</v>
      </c>
      <c r="S312" s="361">
        <f t="shared" si="62"/>
        <v>0</v>
      </c>
    </row>
    <row r="313" spans="1:19">
      <c r="A313" s="159"/>
      <c r="B313" s="59"/>
      <c r="C313" s="24">
        <f t="shared" si="53"/>
        <v>1</v>
      </c>
      <c r="D313" s="719"/>
      <c r="E313" s="24">
        <f t="shared" si="54"/>
        <v>4.4999999999999998E-2</v>
      </c>
      <c r="F313" s="719"/>
      <c r="G313" s="24">
        <f t="shared" si="55"/>
        <v>0</v>
      </c>
      <c r="H313" s="719"/>
      <c r="I313" s="24">
        <f t="shared" si="56"/>
        <v>0.02</v>
      </c>
      <c r="J313" s="719"/>
      <c r="K313" s="24">
        <f t="shared" si="57"/>
        <v>0</v>
      </c>
      <c r="L313" s="719"/>
      <c r="M313" s="24">
        <f t="shared" si="58"/>
        <v>0.02</v>
      </c>
      <c r="N313" s="719"/>
      <c r="O313" s="24">
        <f t="shared" si="59"/>
        <v>1</v>
      </c>
      <c r="P313" s="719"/>
      <c r="Q313" s="24">
        <f t="shared" si="60"/>
        <v>1</v>
      </c>
      <c r="R313" s="715">
        <f t="shared" si="61"/>
        <v>0</v>
      </c>
      <c r="S313" s="361">
        <f t="shared" si="62"/>
        <v>0</v>
      </c>
    </row>
    <row r="314" spans="1:19">
      <c r="A314" s="159"/>
      <c r="B314" s="59"/>
      <c r="C314" s="24">
        <f t="shared" si="53"/>
        <v>1</v>
      </c>
      <c r="D314" s="719"/>
      <c r="E314" s="24">
        <f t="shared" si="54"/>
        <v>4.4999999999999998E-2</v>
      </c>
      <c r="F314" s="719"/>
      <c r="G314" s="24">
        <f t="shared" si="55"/>
        <v>0</v>
      </c>
      <c r="H314" s="719"/>
      <c r="I314" s="24">
        <f t="shared" si="56"/>
        <v>0.02</v>
      </c>
      <c r="J314" s="719"/>
      <c r="K314" s="24">
        <f t="shared" si="57"/>
        <v>0</v>
      </c>
      <c r="L314" s="719"/>
      <c r="M314" s="24">
        <f t="shared" si="58"/>
        <v>0.02</v>
      </c>
      <c r="N314" s="719"/>
      <c r="O314" s="24">
        <f t="shared" si="59"/>
        <v>1</v>
      </c>
      <c r="P314" s="719"/>
      <c r="Q314" s="24">
        <f t="shared" si="60"/>
        <v>1</v>
      </c>
      <c r="R314" s="715">
        <f t="shared" si="61"/>
        <v>0</v>
      </c>
      <c r="S314" s="361">
        <f t="shared" si="62"/>
        <v>0</v>
      </c>
    </row>
    <row r="315" spans="1:19">
      <c r="A315" s="159"/>
      <c r="B315" s="59"/>
      <c r="C315" s="24">
        <f t="shared" si="53"/>
        <v>1</v>
      </c>
      <c r="D315" s="719"/>
      <c r="E315" s="24">
        <f t="shared" si="54"/>
        <v>4.4999999999999998E-2</v>
      </c>
      <c r="F315" s="719"/>
      <c r="G315" s="24">
        <f t="shared" si="55"/>
        <v>0</v>
      </c>
      <c r="H315" s="719"/>
      <c r="I315" s="24">
        <f t="shared" si="56"/>
        <v>0.02</v>
      </c>
      <c r="J315" s="719"/>
      <c r="K315" s="24">
        <f t="shared" si="57"/>
        <v>0</v>
      </c>
      <c r="L315" s="719"/>
      <c r="M315" s="24">
        <f t="shared" si="58"/>
        <v>0.02</v>
      </c>
      <c r="N315" s="719"/>
      <c r="O315" s="24">
        <f t="shared" si="59"/>
        <v>1</v>
      </c>
      <c r="P315" s="719"/>
      <c r="Q315" s="24">
        <f t="shared" si="60"/>
        <v>1</v>
      </c>
      <c r="R315" s="715">
        <f t="shared" si="61"/>
        <v>0</v>
      </c>
      <c r="S315" s="361">
        <f t="shared" si="62"/>
        <v>0</v>
      </c>
    </row>
    <row r="316" spans="1:19">
      <c r="A316" s="159"/>
      <c r="B316" s="59"/>
      <c r="C316" s="24">
        <f t="shared" si="53"/>
        <v>1</v>
      </c>
      <c r="D316" s="719"/>
      <c r="E316" s="24">
        <f t="shared" si="54"/>
        <v>4.4999999999999998E-2</v>
      </c>
      <c r="F316" s="719"/>
      <c r="G316" s="24">
        <f t="shared" si="55"/>
        <v>0</v>
      </c>
      <c r="H316" s="719"/>
      <c r="I316" s="24">
        <f t="shared" si="56"/>
        <v>0.02</v>
      </c>
      <c r="J316" s="719"/>
      <c r="K316" s="24">
        <f t="shared" si="57"/>
        <v>0</v>
      </c>
      <c r="L316" s="719"/>
      <c r="M316" s="24">
        <f t="shared" si="58"/>
        <v>0.02</v>
      </c>
      <c r="N316" s="719"/>
      <c r="O316" s="24">
        <f t="shared" si="59"/>
        <v>1</v>
      </c>
      <c r="P316" s="719"/>
      <c r="Q316" s="24">
        <f t="shared" si="60"/>
        <v>1</v>
      </c>
      <c r="R316" s="715">
        <f t="shared" si="61"/>
        <v>0</v>
      </c>
      <c r="S316" s="361">
        <f t="shared" si="62"/>
        <v>0</v>
      </c>
    </row>
    <row r="317" spans="1:19">
      <c r="A317" s="159"/>
      <c r="B317" s="59"/>
      <c r="C317" s="24">
        <f t="shared" si="53"/>
        <v>1</v>
      </c>
      <c r="D317" s="719"/>
      <c r="E317" s="24">
        <f t="shared" si="54"/>
        <v>4.4999999999999998E-2</v>
      </c>
      <c r="F317" s="719"/>
      <c r="G317" s="24">
        <f t="shared" si="55"/>
        <v>0</v>
      </c>
      <c r="H317" s="719"/>
      <c r="I317" s="24">
        <f t="shared" si="56"/>
        <v>0.02</v>
      </c>
      <c r="J317" s="719"/>
      <c r="K317" s="24">
        <f t="shared" si="57"/>
        <v>0</v>
      </c>
      <c r="L317" s="719"/>
      <c r="M317" s="24">
        <f t="shared" si="58"/>
        <v>0.02</v>
      </c>
      <c r="N317" s="719"/>
      <c r="O317" s="24">
        <f t="shared" si="59"/>
        <v>1</v>
      </c>
      <c r="P317" s="719"/>
      <c r="Q317" s="24">
        <f t="shared" si="60"/>
        <v>1</v>
      </c>
      <c r="R317" s="715">
        <f t="shared" si="61"/>
        <v>0</v>
      </c>
      <c r="S317" s="361">
        <f t="shared" si="62"/>
        <v>0</v>
      </c>
    </row>
    <row r="318" spans="1:19">
      <c r="A318" s="159"/>
      <c r="B318" s="59"/>
      <c r="C318" s="24">
        <f t="shared" si="53"/>
        <v>1</v>
      </c>
      <c r="D318" s="719"/>
      <c r="E318" s="24">
        <f t="shared" si="54"/>
        <v>4.4999999999999998E-2</v>
      </c>
      <c r="F318" s="719"/>
      <c r="G318" s="24">
        <f t="shared" si="55"/>
        <v>0</v>
      </c>
      <c r="H318" s="719"/>
      <c r="I318" s="24">
        <f t="shared" si="56"/>
        <v>0.02</v>
      </c>
      <c r="J318" s="719"/>
      <c r="K318" s="24">
        <f t="shared" si="57"/>
        <v>0</v>
      </c>
      <c r="L318" s="719"/>
      <c r="M318" s="24">
        <f t="shared" si="58"/>
        <v>0.02</v>
      </c>
      <c r="N318" s="719"/>
      <c r="O318" s="24">
        <f t="shared" si="59"/>
        <v>1</v>
      </c>
      <c r="P318" s="719"/>
      <c r="Q318" s="24">
        <f t="shared" si="60"/>
        <v>1</v>
      </c>
      <c r="R318" s="715">
        <f t="shared" si="61"/>
        <v>0</v>
      </c>
      <c r="S318" s="361">
        <f t="shared" si="62"/>
        <v>0</v>
      </c>
    </row>
    <row r="319" spans="1:19">
      <c r="A319" s="159"/>
      <c r="B319" s="59"/>
      <c r="C319" s="24">
        <f t="shared" si="53"/>
        <v>1</v>
      </c>
      <c r="D319" s="719"/>
      <c r="E319" s="24">
        <f t="shared" si="54"/>
        <v>4.4999999999999998E-2</v>
      </c>
      <c r="F319" s="719"/>
      <c r="G319" s="24">
        <f t="shared" si="55"/>
        <v>0</v>
      </c>
      <c r="H319" s="719"/>
      <c r="I319" s="24">
        <f t="shared" si="56"/>
        <v>0.02</v>
      </c>
      <c r="J319" s="719"/>
      <c r="K319" s="24">
        <f t="shared" si="57"/>
        <v>0</v>
      </c>
      <c r="L319" s="719"/>
      <c r="M319" s="24">
        <f t="shared" si="58"/>
        <v>0.02</v>
      </c>
      <c r="N319" s="719"/>
      <c r="O319" s="24">
        <f t="shared" si="59"/>
        <v>1</v>
      </c>
      <c r="P319" s="719"/>
      <c r="Q319" s="24">
        <f t="shared" si="60"/>
        <v>1</v>
      </c>
      <c r="R319" s="715">
        <f t="shared" si="61"/>
        <v>0</v>
      </c>
      <c r="S319" s="361">
        <f t="shared" si="62"/>
        <v>0</v>
      </c>
    </row>
    <row r="320" spans="1:19">
      <c r="A320" s="159"/>
      <c r="B320" s="59"/>
      <c r="C320" s="24">
        <f t="shared" si="53"/>
        <v>1</v>
      </c>
      <c r="D320" s="719"/>
      <c r="E320" s="24">
        <f t="shared" si="54"/>
        <v>4.4999999999999998E-2</v>
      </c>
      <c r="F320" s="719"/>
      <c r="G320" s="24">
        <f t="shared" si="55"/>
        <v>0</v>
      </c>
      <c r="H320" s="719"/>
      <c r="I320" s="24">
        <f t="shared" si="56"/>
        <v>0.02</v>
      </c>
      <c r="J320" s="719"/>
      <c r="K320" s="24">
        <f t="shared" si="57"/>
        <v>0</v>
      </c>
      <c r="L320" s="719"/>
      <c r="M320" s="24">
        <f t="shared" si="58"/>
        <v>0.02</v>
      </c>
      <c r="N320" s="719"/>
      <c r="O320" s="24">
        <f t="shared" si="59"/>
        <v>1</v>
      </c>
      <c r="P320" s="719"/>
      <c r="Q320" s="24">
        <f t="shared" si="60"/>
        <v>1</v>
      </c>
      <c r="R320" s="715">
        <f t="shared" si="61"/>
        <v>0</v>
      </c>
      <c r="S320" s="361">
        <f t="shared" si="62"/>
        <v>0</v>
      </c>
    </row>
    <row r="321" spans="1:19">
      <c r="A321" s="159"/>
      <c r="B321" s="59"/>
      <c r="C321" s="24">
        <f t="shared" si="53"/>
        <v>1</v>
      </c>
      <c r="D321" s="719"/>
      <c r="E321" s="24">
        <f t="shared" si="54"/>
        <v>4.4999999999999998E-2</v>
      </c>
      <c r="F321" s="719"/>
      <c r="G321" s="24">
        <f t="shared" si="55"/>
        <v>0</v>
      </c>
      <c r="H321" s="719"/>
      <c r="I321" s="24">
        <f t="shared" si="56"/>
        <v>0.02</v>
      </c>
      <c r="J321" s="719"/>
      <c r="K321" s="24">
        <f t="shared" si="57"/>
        <v>0</v>
      </c>
      <c r="L321" s="719"/>
      <c r="M321" s="24">
        <f t="shared" si="58"/>
        <v>0.02</v>
      </c>
      <c r="N321" s="719"/>
      <c r="O321" s="24">
        <f t="shared" si="59"/>
        <v>1</v>
      </c>
      <c r="P321" s="719"/>
      <c r="Q321" s="24">
        <f t="shared" si="60"/>
        <v>1</v>
      </c>
      <c r="R321" s="715">
        <f t="shared" si="61"/>
        <v>0</v>
      </c>
      <c r="S321" s="361">
        <f t="shared" ref="S321:S384" si="63">ROUND(R321*B321/10000,0)</f>
        <v>0</v>
      </c>
    </row>
    <row r="322" spans="1:19">
      <c r="A322" s="159"/>
      <c r="B322" s="59"/>
      <c r="C322" s="24">
        <f t="shared" si="53"/>
        <v>1</v>
      </c>
      <c r="D322" s="719"/>
      <c r="E322" s="24">
        <f t="shared" si="54"/>
        <v>4.4999999999999998E-2</v>
      </c>
      <c r="F322" s="719"/>
      <c r="G322" s="24">
        <f t="shared" si="55"/>
        <v>0</v>
      </c>
      <c r="H322" s="719"/>
      <c r="I322" s="24">
        <f t="shared" si="56"/>
        <v>0.02</v>
      </c>
      <c r="J322" s="719"/>
      <c r="K322" s="24">
        <f t="shared" si="57"/>
        <v>0</v>
      </c>
      <c r="L322" s="719"/>
      <c r="M322" s="24">
        <f t="shared" si="58"/>
        <v>0.02</v>
      </c>
      <c r="N322" s="719"/>
      <c r="O322" s="24">
        <f t="shared" si="59"/>
        <v>1</v>
      </c>
      <c r="P322" s="719"/>
      <c r="Q322" s="24">
        <f t="shared" si="60"/>
        <v>1</v>
      </c>
      <c r="R322" s="715">
        <f t="shared" si="61"/>
        <v>0</v>
      </c>
      <c r="S322" s="361">
        <f t="shared" si="63"/>
        <v>0</v>
      </c>
    </row>
    <row r="323" spans="1:19">
      <c r="A323" s="159"/>
      <c r="B323" s="59"/>
      <c r="C323" s="24">
        <f t="shared" si="53"/>
        <v>1</v>
      </c>
      <c r="D323" s="719"/>
      <c r="E323" s="24">
        <f t="shared" si="54"/>
        <v>4.4999999999999998E-2</v>
      </c>
      <c r="F323" s="719"/>
      <c r="G323" s="24">
        <f t="shared" si="55"/>
        <v>0</v>
      </c>
      <c r="H323" s="719"/>
      <c r="I323" s="24">
        <f t="shared" si="56"/>
        <v>0.02</v>
      </c>
      <c r="J323" s="719"/>
      <c r="K323" s="24">
        <f t="shared" si="57"/>
        <v>0</v>
      </c>
      <c r="L323" s="719"/>
      <c r="M323" s="24">
        <f t="shared" si="58"/>
        <v>0.02</v>
      </c>
      <c r="N323" s="719"/>
      <c r="O323" s="24">
        <f t="shared" si="59"/>
        <v>1</v>
      </c>
      <c r="P323" s="719"/>
      <c r="Q323" s="24">
        <f t="shared" si="60"/>
        <v>1</v>
      </c>
      <c r="R323" s="715">
        <f t="shared" si="61"/>
        <v>0</v>
      </c>
      <c r="S323" s="361">
        <f t="shared" si="63"/>
        <v>0</v>
      </c>
    </row>
    <row r="324" spans="1:19">
      <c r="A324" s="159"/>
      <c r="B324" s="59"/>
      <c r="C324" s="24">
        <f t="shared" si="53"/>
        <v>1</v>
      </c>
      <c r="D324" s="719"/>
      <c r="E324" s="24">
        <f t="shared" si="54"/>
        <v>4.4999999999999998E-2</v>
      </c>
      <c r="F324" s="719"/>
      <c r="G324" s="24">
        <f t="shared" si="55"/>
        <v>0</v>
      </c>
      <c r="H324" s="719"/>
      <c r="I324" s="24">
        <f t="shared" si="56"/>
        <v>0.02</v>
      </c>
      <c r="J324" s="719"/>
      <c r="K324" s="24">
        <f t="shared" si="57"/>
        <v>0</v>
      </c>
      <c r="L324" s="719"/>
      <c r="M324" s="24">
        <f t="shared" si="58"/>
        <v>0.02</v>
      </c>
      <c r="N324" s="719"/>
      <c r="O324" s="24">
        <f t="shared" si="59"/>
        <v>1</v>
      </c>
      <c r="P324" s="719"/>
      <c r="Q324" s="24">
        <f t="shared" si="60"/>
        <v>1</v>
      </c>
      <c r="R324" s="715">
        <f t="shared" si="61"/>
        <v>0</v>
      </c>
      <c r="S324" s="361">
        <f t="shared" si="63"/>
        <v>0</v>
      </c>
    </row>
    <row r="325" spans="1:19">
      <c r="A325" s="159"/>
      <c r="B325" s="59"/>
      <c r="C325" s="24">
        <f t="shared" si="53"/>
        <v>1</v>
      </c>
      <c r="D325" s="719"/>
      <c r="E325" s="24">
        <f t="shared" si="54"/>
        <v>4.4999999999999998E-2</v>
      </c>
      <c r="F325" s="719"/>
      <c r="G325" s="24">
        <f t="shared" si="55"/>
        <v>0</v>
      </c>
      <c r="H325" s="719"/>
      <c r="I325" s="24">
        <f t="shared" si="56"/>
        <v>0.02</v>
      </c>
      <c r="J325" s="719"/>
      <c r="K325" s="24">
        <f t="shared" si="57"/>
        <v>0</v>
      </c>
      <c r="L325" s="719"/>
      <c r="M325" s="24">
        <f t="shared" si="58"/>
        <v>0.02</v>
      </c>
      <c r="N325" s="719"/>
      <c r="O325" s="24">
        <f t="shared" si="59"/>
        <v>1</v>
      </c>
      <c r="P325" s="719"/>
      <c r="Q325" s="24">
        <f t="shared" si="60"/>
        <v>1</v>
      </c>
      <c r="R325" s="715">
        <f t="shared" si="61"/>
        <v>0</v>
      </c>
      <c r="S325" s="361">
        <f t="shared" si="63"/>
        <v>0</v>
      </c>
    </row>
    <row r="326" spans="1:19">
      <c r="A326" s="159"/>
      <c r="B326" s="59"/>
      <c r="C326" s="24">
        <f t="shared" si="53"/>
        <v>1</v>
      </c>
      <c r="D326" s="719"/>
      <c r="E326" s="24">
        <f t="shared" si="54"/>
        <v>4.4999999999999998E-2</v>
      </c>
      <c r="F326" s="719"/>
      <c r="G326" s="24">
        <f t="shared" si="55"/>
        <v>0</v>
      </c>
      <c r="H326" s="719"/>
      <c r="I326" s="24">
        <f t="shared" si="56"/>
        <v>0.02</v>
      </c>
      <c r="J326" s="719"/>
      <c r="K326" s="24">
        <f t="shared" si="57"/>
        <v>0</v>
      </c>
      <c r="L326" s="719"/>
      <c r="M326" s="24">
        <f t="shared" si="58"/>
        <v>0.02</v>
      </c>
      <c r="N326" s="719"/>
      <c r="O326" s="24">
        <f t="shared" si="59"/>
        <v>1</v>
      </c>
      <c r="P326" s="719"/>
      <c r="Q326" s="24">
        <f t="shared" si="60"/>
        <v>1</v>
      </c>
      <c r="R326" s="715">
        <f t="shared" si="61"/>
        <v>0</v>
      </c>
      <c r="S326" s="361">
        <f t="shared" si="63"/>
        <v>0</v>
      </c>
    </row>
    <row r="327" spans="1:19">
      <c r="A327" s="159"/>
      <c r="B327" s="59"/>
      <c r="C327" s="24">
        <f t="shared" si="53"/>
        <v>1</v>
      </c>
      <c r="D327" s="719"/>
      <c r="E327" s="24">
        <f t="shared" si="54"/>
        <v>4.4999999999999998E-2</v>
      </c>
      <c r="F327" s="719"/>
      <c r="G327" s="24">
        <f t="shared" si="55"/>
        <v>0</v>
      </c>
      <c r="H327" s="719"/>
      <c r="I327" s="24">
        <f t="shared" si="56"/>
        <v>0.02</v>
      </c>
      <c r="J327" s="719"/>
      <c r="K327" s="24">
        <f t="shared" si="57"/>
        <v>0</v>
      </c>
      <c r="L327" s="719"/>
      <c r="M327" s="24">
        <f t="shared" si="58"/>
        <v>0.02</v>
      </c>
      <c r="N327" s="719"/>
      <c r="O327" s="24">
        <f t="shared" si="59"/>
        <v>1</v>
      </c>
      <c r="P327" s="719"/>
      <c r="Q327" s="24">
        <f t="shared" si="60"/>
        <v>1</v>
      </c>
      <c r="R327" s="715">
        <f t="shared" si="61"/>
        <v>0</v>
      </c>
      <c r="S327" s="361">
        <f t="shared" si="63"/>
        <v>0</v>
      </c>
    </row>
    <row r="328" spans="1:19">
      <c r="A328" s="159"/>
      <c r="B328" s="59"/>
      <c r="C328" s="24">
        <f t="shared" si="53"/>
        <v>1</v>
      </c>
      <c r="D328" s="719"/>
      <c r="E328" s="24">
        <f t="shared" si="54"/>
        <v>4.4999999999999998E-2</v>
      </c>
      <c r="F328" s="719"/>
      <c r="G328" s="24">
        <f t="shared" si="55"/>
        <v>0</v>
      </c>
      <c r="H328" s="719"/>
      <c r="I328" s="24">
        <f t="shared" si="56"/>
        <v>0.02</v>
      </c>
      <c r="J328" s="719"/>
      <c r="K328" s="24">
        <f t="shared" si="57"/>
        <v>0</v>
      </c>
      <c r="L328" s="719"/>
      <c r="M328" s="24">
        <f t="shared" si="58"/>
        <v>0.02</v>
      </c>
      <c r="N328" s="719"/>
      <c r="O328" s="24">
        <f t="shared" si="59"/>
        <v>1</v>
      </c>
      <c r="P328" s="719"/>
      <c r="Q328" s="24">
        <f t="shared" si="60"/>
        <v>1</v>
      </c>
      <c r="R328" s="715">
        <f t="shared" si="61"/>
        <v>0</v>
      </c>
      <c r="S328" s="361">
        <f t="shared" si="63"/>
        <v>0</v>
      </c>
    </row>
    <row r="329" spans="1:19">
      <c r="A329" s="159"/>
      <c r="B329" s="59"/>
      <c r="C329" s="24">
        <f t="shared" si="53"/>
        <v>1</v>
      </c>
      <c r="D329" s="719"/>
      <c r="E329" s="24">
        <f t="shared" si="54"/>
        <v>4.4999999999999998E-2</v>
      </c>
      <c r="F329" s="719"/>
      <c r="G329" s="24">
        <f t="shared" si="55"/>
        <v>0</v>
      </c>
      <c r="H329" s="719"/>
      <c r="I329" s="24">
        <f t="shared" si="56"/>
        <v>0.02</v>
      </c>
      <c r="J329" s="719"/>
      <c r="K329" s="24">
        <f t="shared" si="57"/>
        <v>0</v>
      </c>
      <c r="L329" s="719"/>
      <c r="M329" s="24">
        <f t="shared" si="58"/>
        <v>0.02</v>
      </c>
      <c r="N329" s="719"/>
      <c r="O329" s="24">
        <f t="shared" si="59"/>
        <v>1</v>
      </c>
      <c r="P329" s="719"/>
      <c r="Q329" s="24">
        <f t="shared" si="60"/>
        <v>1</v>
      </c>
      <c r="R329" s="715">
        <f t="shared" si="61"/>
        <v>0</v>
      </c>
      <c r="S329" s="361">
        <f t="shared" si="63"/>
        <v>0</v>
      </c>
    </row>
    <row r="330" spans="1:19">
      <c r="A330" s="159"/>
      <c r="B330" s="59"/>
      <c r="C330" s="24">
        <f t="shared" si="53"/>
        <v>1</v>
      </c>
      <c r="D330" s="719"/>
      <c r="E330" s="24">
        <f t="shared" si="54"/>
        <v>4.4999999999999998E-2</v>
      </c>
      <c r="F330" s="719"/>
      <c r="G330" s="24">
        <f t="shared" si="55"/>
        <v>0</v>
      </c>
      <c r="H330" s="719"/>
      <c r="I330" s="24">
        <f t="shared" si="56"/>
        <v>0.02</v>
      </c>
      <c r="J330" s="719"/>
      <c r="K330" s="24">
        <f t="shared" si="57"/>
        <v>0</v>
      </c>
      <c r="L330" s="719"/>
      <c r="M330" s="24">
        <f t="shared" si="58"/>
        <v>0.02</v>
      </c>
      <c r="N330" s="719"/>
      <c r="O330" s="24">
        <f t="shared" si="59"/>
        <v>1</v>
      </c>
      <c r="P330" s="719"/>
      <c r="Q330" s="24">
        <f t="shared" si="60"/>
        <v>1</v>
      </c>
      <c r="R330" s="715">
        <f t="shared" si="61"/>
        <v>0</v>
      </c>
      <c r="S330" s="361">
        <f t="shared" si="63"/>
        <v>0</v>
      </c>
    </row>
    <row r="331" spans="1:19">
      <c r="A331" s="159"/>
      <c r="B331" s="59"/>
      <c r="C331" s="24">
        <f t="shared" si="53"/>
        <v>1</v>
      </c>
      <c r="D331" s="719"/>
      <c r="E331" s="24">
        <f t="shared" si="54"/>
        <v>4.4999999999999998E-2</v>
      </c>
      <c r="F331" s="719"/>
      <c r="G331" s="24">
        <f t="shared" si="55"/>
        <v>0</v>
      </c>
      <c r="H331" s="719"/>
      <c r="I331" s="24">
        <f t="shared" si="56"/>
        <v>0.02</v>
      </c>
      <c r="J331" s="719"/>
      <c r="K331" s="24">
        <f t="shared" si="57"/>
        <v>0</v>
      </c>
      <c r="L331" s="719"/>
      <c r="M331" s="24">
        <f t="shared" si="58"/>
        <v>0.02</v>
      </c>
      <c r="N331" s="719"/>
      <c r="O331" s="24">
        <f t="shared" si="59"/>
        <v>1</v>
      </c>
      <c r="P331" s="719"/>
      <c r="Q331" s="24">
        <f t="shared" si="60"/>
        <v>1</v>
      </c>
      <c r="R331" s="715">
        <f t="shared" si="61"/>
        <v>0</v>
      </c>
      <c r="S331" s="361">
        <f t="shared" si="63"/>
        <v>0</v>
      </c>
    </row>
    <row r="332" spans="1:19">
      <c r="A332" s="159"/>
      <c r="B332" s="59"/>
      <c r="C332" s="24">
        <f t="shared" si="53"/>
        <v>1</v>
      </c>
      <c r="D332" s="719"/>
      <c r="E332" s="24">
        <f t="shared" si="54"/>
        <v>4.4999999999999998E-2</v>
      </c>
      <c r="F332" s="719"/>
      <c r="G332" s="24">
        <f t="shared" si="55"/>
        <v>0</v>
      </c>
      <c r="H332" s="719"/>
      <c r="I332" s="24">
        <f t="shared" si="56"/>
        <v>0.02</v>
      </c>
      <c r="J332" s="719"/>
      <c r="K332" s="24">
        <f t="shared" si="57"/>
        <v>0</v>
      </c>
      <c r="L332" s="719"/>
      <c r="M332" s="24">
        <f t="shared" si="58"/>
        <v>0.02</v>
      </c>
      <c r="N332" s="719"/>
      <c r="O332" s="24">
        <f t="shared" si="59"/>
        <v>1</v>
      </c>
      <c r="P332" s="719"/>
      <c r="Q332" s="24">
        <f t="shared" si="60"/>
        <v>1</v>
      </c>
      <c r="R332" s="715">
        <f t="shared" si="61"/>
        <v>0</v>
      </c>
      <c r="S332" s="361">
        <f t="shared" si="63"/>
        <v>0</v>
      </c>
    </row>
    <row r="333" spans="1:19">
      <c r="A333" s="159"/>
      <c r="B333" s="59"/>
      <c r="C333" s="24">
        <f t="shared" si="53"/>
        <v>1</v>
      </c>
      <c r="D333" s="719"/>
      <c r="E333" s="24">
        <f t="shared" si="54"/>
        <v>4.4999999999999998E-2</v>
      </c>
      <c r="F333" s="719"/>
      <c r="G333" s="24">
        <f t="shared" si="55"/>
        <v>0</v>
      </c>
      <c r="H333" s="719"/>
      <c r="I333" s="24">
        <f t="shared" si="56"/>
        <v>0.02</v>
      </c>
      <c r="J333" s="719"/>
      <c r="K333" s="24">
        <f t="shared" si="57"/>
        <v>0</v>
      </c>
      <c r="L333" s="719"/>
      <c r="M333" s="24">
        <f t="shared" si="58"/>
        <v>0.02</v>
      </c>
      <c r="N333" s="719"/>
      <c r="O333" s="24">
        <f t="shared" si="59"/>
        <v>1</v>
      </c>
      <c r="P333" s="719"/>
      <c r="Q333" s="24">
        <f t="shared" si="60"/>
        <v>1</v>
      </c>
      <c r="R333" s="715">
        <f t="shared" si="61"/>
        <v>0</v>
      </c>
      <c r="S333" s="361">
        <f t="shared" si="63"/>
        <v>0</v>
      </c>
    </row>
    <row r="334" spans="1:19">
      <c r="A334" s="159"/>
      <c r="B334" s="59"/>
      <c r="C334" s="24">
        <f t="shared" si="53"/>
        <v>1</v>
      </c>
      <c r="D334" s="719"/>
      <c r="E334" s="24">
        <f t="shared" si="54"/>
        <v>4.4999999999999998E-2</v>
      </c>
      <c r="F334" s="719"/>
      <c r="G334" s="24">
        <f t="shared" si="55"/>
        <v>0</v>
      </c>
      <c r="H334" s="719"/>
      <c r="I334" s="24">
        <f t="shared" si="56"/>
        <v>0.02</v>
      </c>
      <c r="J334" s="719"/>
      <c r="K334" s="24">
        <f t="shared" si="57"/>
        <v>0</v>
      </c>
      <c r="L334" s="719"/>
      <c r="M334" s="24">
        <f t="shared" si="58"/>
        <v>0.02</v>
      </c>
      <c r="N334" s="719"/>
      <c r="O334" s="24">
        <f t="shared" si="59"/>
        <v>1</v>
      </c>
      <c r="P334" s="719"/>
      <c r="Q334" s="24">
        <f t="shared" si="60"/>
        <v>1</v>
      </c>
      <c r="R334" s="715">
        <f t="shared" si="61"/>
        <v>0</v>
      </c>
      <c r="S334" s="361">
        <f t="shared" si="63"/>
        <v>0</v>
      </c>
    </row>
    <row r="335" spans="1:19">
      <c r="A335" s="159"/>
      <c r="B335" s="59"/>
      <c r="C335" s="24">
        <f t="shared" si="53"/>
        <v>1</v>
      </c>
      <c r="D335" s="719"/>
      <c r="E335" s="24">
        <f t="shared" si="54"/>
        <v>4.4999999999999998E-2</v>
      </c>
      <c r="F335" s="719"/>
      <c r="G335" s="24">
        <f t="shared" si="55"/>
        <v>0</v>
      </c>
      <c r="H335" s="719"/>
      <c r="I335" s="24">
        <f t="shared" si="56"/>
        <v>0.02</v>
      </c>
      <c r="J335" s="719"/>
      <c r="K335" s="24">
        <f t="shared" si="57"/>
        <v>0</v>
      </c>
      <c r="L335" s="719"/>
      <c r="M335" s="24">
        <f t="shared" si="58"/>
        <v>0.02</v>
      </c>
      <c r="N335" s="719"/>
      <c r="O335" s="24">
        <f t="shared" si="59"/>
        <v>1</v>
      </c>
      <c r="P335" s="719"/>
      <c r="Q335" s="24">
        <f t="shared" si="60"/>
        <v>1</v>
      </c>
      <c r="R335" s="715">
        <f t="shared" si="61"/>
        <v>0</v>
      </c>
      <c r="S335" s="361">
        <f t="shared" si="63"/>
        <v>0</v>
      </c>
    </row>
    <row r="336" spans="1:19">
      <c r="A336" s="159"/>
      <c r="B336" s="59"/>
      <c r="C336" s="24">
        <f t="shared" si="53"/>
        <v>1</v>
      </c>
      <c r="D336" s="719"/>
      <c r="E336" s="24">
        <f t="shared" si="54"/>
        <v>4.4999999999999998E-2</v>
      </c>
      <c r="F336" s="719"/>
      <c r="G336" s="24">
        <f t="shared" si="55"/>
        <v>0</v>
      </c>
      <c r="H336" s="719"/>
      <c r="I336" s="24">
        <f t="shared" si="56"/>
        <v>0.02</v>
      </c>
      <c r="J336" s="719"/>
      <c r="K336" s="24">
        <f t="shared" si="57"/>
        <v>0</v>
      </c>
      <c r="L336" s="719"/>
      <c r="M336" s="24">
        <f t="shared" si="58"/>
        <v>0.02</v>
      </c>
      <c r="N336" s="719"/>
      <c r="O336" s="24">
        <f t="shared" si="59"/>
        <v>1</v>
      </c>
      <c r="P336" s="719"/>
      <c r="Q336" s="24">
        <f t="shared" si="60"/>
        <v>1</v>
      </c>
      <c r="R336" s="715">
        <f t="shared" si="61"/>
        <v>0</v>
      </c>
      <c r="S336" s="361">
        <f t="shared" si="63"/>
        <v>0</v>
      </c>
    </row>
    <row r="337" spans="1:19">
      <c r="A337" s="159"/>
      <c r="B337" s="59"/>
      <c r="C337" s="24">
        <f t="shared" si="53"/>
        <v>1</v>
      </c>
      <c r="D337" s="719"/>
      <c r="E337" s="24">
        <f t="shared" si="54"/>
        <v>4.4999999999999998E-2</v>
      </c>
      <c r="F337" s="719"/>
      <c r="G337" s="24">
        <f t="shared" si="55"/>
        <v>0</v>
      </c>
      <c r="H337" s="719"/>
      <c r="I337" s="24">
        <f t="shared" si="56"/>
        <v>0.02</v>
      </c>
      <c r="J337" s="719"/>
      <c r="K337" s="24">
        <f t="shared" si="57"/>
        <v>0</v>
      </c>
      <c r="L337" s="719"/>
      <c r="M337" s="24">
        <f t="shared" si="58"/>
        <v>0.02</v>
      </c>
      <c r="N337" s="719"/>
      <c r="O337" s="24">
        <f t="shared" si="59"/>
        <v>1</v>
      </c>
      <c r="P337" s="719"/>
      <c r="Q337" s="24">
        <f t="shared" si="60"/>
        <v>1</v>
      </c>
      <c r="R337" s="715">
        <f t="shared" si="61"/>
        <v>0</v>
      </c>
      <c r="S337" s="361">
        <f t="shared" si="63"/>
        <v>0</v>
      </c>
    </row>
    <row r="338" spans="1:19">
      <c r="A338" s="159"/>
      <c r="B338" s="59"/>
      <c r="C338" s="24">
        <f t="shared" si="53"/>
        <v>1</v>
      </c>
      <c r="D338" s="719"/>
      <c r="E338" s="24">
        <f t="shared" si="54"/>
        <v>4.4999999999999998E-2</v>
      </c>
      <c r="F338" s="719"/>
      <c r="G338" s="24">
        <f t="shared" si="55"/>
        <v>0</v>
      </c>
      <c r="H338" s="719"/>
      <c r="I338" s="24">
        <f t="shared" si="56"/>
        <v>0.02</v>
      </c>
      <c r="J338" s="719"/>
      <c r="K338" s="24">
        <f t="shared" si="57"/>
        <v>0</v>
      </c>
      <c r="L338" s="719"/>
      <c r="M338" s="24">
        <f t="shared" si="58"/>
        <v>0.02</v>
      </c>
      <c r="N338" s="719"/>
      <c r="O338" s="24">
        <f t="shared" si="59"/>
        <v>1</v>
      </c>
      <c r="P338" s="719"/>
      <c r="Q338" s="24">
        <f t="shared" si="60"/>
        <v>1</v>
      </c>
      <c r="R338" s="715">
        <f t="shared" si="61"/>
        <v>0</v>
      </c>
      <c r="S338" s="361">
        <f t="shared" si="63"/>
        <v>0</v>
      </c>
    </row>
    <row r="339" spans="1:19">
      <c r="A339" s="159"/>
      <c r="B339" s="59"/>
      <c r="C339" s="24">
        <f t="shared" si="53"/>
        <v>1</v>
      </c>
      <c r="D339" s="719"/>
      <c r="E339" s="24">
        <f t="shared" si="54"/>
        <v>4.4999999999999998E-2</v>
      </c>
      <c r="F339" s="719"/>
      <c r="G339" s="24">
        <f t="shared" si="55"/>
        <v>0</v>
      </c>
      <c r="H339" s="719"/>
      <c r="I339" s="24">
        <f t="shared" si="56"/>
        <v>0.02</v>
      </c>
      <c r="J339" s="719"/>
      <c r="K339" s="24">
        <f t="shared" si="57"/>
        <v>0</v>
      </c>
      <c r="L339" s="719"/>
      <c r="M339" s="24">
        <f t="shared" si="58"/>
        <v>0.02</v>
      </c>
      <c r="N339" s="719"/>
      <c r="O339" s="24">
        <f t="shared" si="59"/>
        <v>1</v>
      </c>
      <c r="P339" s="719"/>
      <c r="Q339" s="24">
        <f t="shared" si="60"/>
        <v>1</v>
      </c>
      <c r="R339" s="715">
        <f t="shared" si="61"/>
        <v>0</v>
      </c>
      <c r="S339" s="361">
        <f t="shared" si="63"/>
        <v>0</v>
      </c>
    </row>
    <row r="340" spans="1:19">
      <c r="A340" s="159"/>
      <c r="B340" s="59"/>
      <c r="C340" s="24">
        <f t="shared" si="53"/>
        <v>1</v>
      </c>
      <c r="D340" s="719"/>
      <c r="E340" s="24">
        <f t="shared" si="54"/>
        <v>4.4999999999999998E-2</v>
      </c>
      <c r="F340" s="719"/>
      <c r="G340" s="24">
        <f t="shared" si="55"/>
        <v>0</v>
      </c>
      <c r="H340" s="719"/>
      <c r="I340" s="24">
        <f t="shared" si="56"/>
        <v>0.02</v>
      </c>
      <c r="J340" s="719"/>
      <c r="K340" s="24">
        <f t="shared" si="57"/>
        <v>0</v>
      </c>
      <c r="L340" s="719"/>
      <c r="M340" s="24">
        <f t="shared" si="58"/>
        <v>0.02</v>
      </c>
      <c r="N340" s="719"/>
      <c r="O340" s="24">
        <f t="shared" si="59"/>
        <v>1</v>
      </c>
      <c r="P340" s="719"/>
      <c r="Q340" s="24">
        <f t="shared" si="60"/>
        <v>1</v>
      </c>
      <c r="R340" s="715">
        <f t="shared" si="61"/>
        <v>0</v>
      </c>
      <c r="S340" s="361">
        <f t="shared" si="63"/>
        <v>0</v>
      </c>
    </row>
    <row r="341" spans="1:19">
      <c r="A341" s="159"/>
      <c r="B341" s="59"/>
      <c r="C341" s="24">
        <f t="shared" si="53"/>
        <v>1</v>
      </c>
      <c r="D341" s="719"/>
      <c r="E341" s="24">
        <f t="shared" si="54"/>
        <v>4.4999999999999998E-2</v>
      </c>
      <c r="F341" s="719"/>
      <c r="G341" s="24">
        <f t="shared" si="55"/>
        <v>0</v>
      </c>
      <c r="H341" s="719"/>
      <c r="I341" s="24">
        <f t="shared" si="56"/>
        <v>0.02</v>
      </c>
      <c r="J341" s="719"/>
      <c r="K341" s="24">
        <f t="shared" si="57"/>
        <v>0</v>
      </c>
      <c r="L341" s="719"/>
      <c r="M341" s="24">
        <f t="shared" si="58"/>
        <v>0.02</v>
      </c>
      <c r="N341" s="719"/>
      <c r="O341" s="24">
        <f t="shared" si="59"/>
        <v>1</v>
      </c>
      <c r="P341" s="719"/>
      <c r="Q341" s="24">
        <f t="shared" si="60"/>
        <v>1</v>
      </c>
      <c r="R341" s="715">
        <f t="shared" si="61"/>
        <v>0</v>
      </c>
      <c r="S341" s="361">
        <f t="shared" si="63"/>
        <v>0</v>
      </c>
    </row>
    <row r="342" spans="1:19">
      <c r="A342" s="159"/>
      <c r="B342" s="59"/>
      <c r="C342" s="24">
        <f t="shared" si="53"/>
        <v>1</v>
      </c>
      <c r="D342" s="719"/>
      <c r="E342" s="24">
        <f t="shared" si="54"/>
        <v>4.4999999999999998E-2</v>
      </c>
      <c r="F342" s="719"/>
      <c r="G342" s="24">
        <f t="shared" si="55"/>
        <v>0</v>
      </c>
      <c r="H342" s="719"/>
      <c r="I342" s="24">
        <f t="shared" si="56"/>
        <v>0.02</v>
      </c>
      <c r="J342" s="719"/>
      <c r="K342" s="24">
        <f t="shared" si="57"/>
        <v>0</v>
      </c>
      <c r="L342" s="719"/>
      <c r="M342" s="24">
        <f t="shared" si="58"/>
        <v>0.02</v>
      </c>
      <c r="N342" s="719"/>
      <c r="O342" s="24">
        <f t="shared" si="59"/>
        <v>1</v>
      </c>
      <c r="P342" s="719"/>
      <c r="Q342" s="24">
        <f t="shared" si="60"/>
        <v>1</v>
      </c>
      <c r="R342" s="715">
        <f t="shared" si="61"/>
        <v>0</v>
      </c>
      <c r="S342" s="361">
        <f t="shared" si="63"/>
        <v>0</v>
      </c>
    </row>
    <row r="343" spans="1:19">
      <c r="A343" s="159"/>
      <c r="B343" s="59"/>
      <c r="C343" s="24">
        <f t="shared" si="53"/>
        <v>1</v>
      </c>
      <c r="D343" s="719"/>
      <c r="E343" s="24">
        <f t="shared" si="54"/>
        <v>4.4999999999999998E-2</v>
      </c>
      <c r="F343" s="719"/>
      <c r="G343" s="24">
        <f t="shared" si="55"/>
        <v>0</v>
      </c>
      <c r="H343" s="719"/>
      <c r="I343" s="24">
        <f t="shared" si="56"/>
        <v>0.02</v>
      </c>
      <c r="J343" s="719"/>
      <c r="K343" s="24">
        <f t="shared" si="57"/>
        <v>0</v>
      </c>
      <c r="L343" s="719"/>
      <c r="M343" s="24">
        <f t="shared" si="58"/>
        <v>0.02</v>
      </c>
      <c r="N343" s="719"/>
      <c r="O343" s="24">
        <f t="shared" si="59"/>
        <v>1</v>
      </c>
      <c r="P343" s="719"/>
      <c r="Q343" s="24">
        <f t="shared" si="60"/>
        <v>1</v>
      </c>
      <c r="R343" s="715">
        <f t="shared" si="61"/>
        <v>0</v>
      </c>
      <c r="S343" s="361">
        <f t="shared" si="63"/>
        <v>0</v>
      </c>
    </row>
    <row r="344" spans="1:19">
      <c r="A344" s="159"/>
      <c r="B344" s="59"/>
      <c r="C344" s="24">
        <f t="shared" si="53"/>
        <v>1</v>
      </c>
      <c r="D344" s="719"/>
      <c r="E344" s="24">
        <f t="shared" si="54"/>
        <v>4.4999999999999998E-2</v>
      </c>
      <c r="F344" s="719"/>
      <c r="G344" s="24">
        <f t="shared" si="55"/>
        <v>0</v>
      </c>
      <c r="H344" s="719"/>
      <c r="I344" s="24">
        <f t="shared" si="56"/>
        <v>0.02</v>
      </c>
      <c r="J344" s="719"/>
      <c r="K344" s="24">
        <f t="shared" si="57"/>
        <v>0</v>
      </c>
      <c r="L344" s="719"/>
      <c r="M344" s="24">
        <f t="shared" si="58"/>
        <v>0.02</v>
      </c>
      <c r="N344" s="719"/>
      <c r="O344" s="24">
        <f t="shared" si="59"/>
        <v>1</v>
      </c>
      <c r="P344" s="719"/>
      <c r="Q344" s="24">
        <f t="shared" si="60"/>
        <v>1</v>
      </c>
      <c r="R344" s="715">
        <f t="shared" si="61"/>
        <v>0</v>
      </c>
      <c r="S344" s="361">
        <f t="shared" si="63"/>
        <v>0</v>
      </c>
    </row>
    <row r="345" spans="1:19">
      <c r="A345" s="159"/>
      <c r="B345" s="59"/>
      <c r="C345" s="24">
        <f t="shared" si="53"/>
        <v>1</v>
      </c>
      <c r="D345" s="719"/>
      <c r="E345" s="24">
        <f t="shared" si="54"/>
        <v>4.4999999999999998E-2</v>
      </c>
      <c r="F345" s="719"/>
      <c r="G345" s="24">
        <f t="shared" si="55"/>
        <v>0</v>
      </c>
      <c r="H345" s="719"/>
      <c r="I345" s="24">
        <f t="shared" si="56"/>
        <v>0.02</v>
      </c>
      <c r="J345" s="719"/>
      <c r="K345" s="24">
        <f t="shared" si="57"/>
        <v>0</v>
      </c>
      <c r="L345" s="719"/>
      <c r="M345" s="24">
        <f t="shared" si="58"/>
        <v>0.02</v>
      </c>
      <c r="N345" s="719"/>
      <c r="O345" s="24">
        <f t="shared" si="59"/>
        <v>1</v>
      </c>
      <c r="P345" s="719"/>
      <c r="Q345" s="24">
        <f t="shared" si="60"/>
        <v>1</v>
      </c>
      <c r="R345" s="715">
        <f t="shared" si="61"/>
        <v>0</v>
      </c>
      <c r="S345" s="361">
        <f t="shared" si="63"/>
        <v>0</v>
      </c>
    </row>
    <row r="346" spans="1:19">
      <c r="A346" s="159"/>
      <c r="B346" s="59"/>
      <c r="C346" s="24">
        <f t="shared" ref="C346:C409" si="64">IF(B346="",1,(LOOKUP(B346,$3:$3,$4:$4)-LOOKUP($B$24,$3:$3,$4:$4)+100)/100)</f>
        <v>1</v>
      </c>
      <c r="D346" s="719"/>
      <c r="E346" s="24">
        <f t="shared" ref="E346:E409" si="65">(SUMIF($5:$5,D346,$6:$6)-SUMIF($5:$5,$D$24,$6:$6)+100)/100</f>
        <v>4.4999999999999998E-2</v>
      </c>
      <c r="F346" s="719"/>
      <c r="G346" s="24">
        <f t="shared" ref="G346:G409" si="66">(SUMIF($7:$7,F346,$8:$8)-SUMIF($7:$7,$F$24,$8:$8)+100)/100</f>
        <v>0</v>
      </c>
      <c r="H346" s="719"/>
      <c r="I346" s="24">
        <f t="shared" ref="I346:I409" si="67">(SUMIF($9:$9,H346,$10:$10)-SUMIF($9:$9,$H$24,$10:$10)+100)/100</f>
        <v>0.02</v>
      </c>
      <c r="J346" s="719"/>
      <c r="K346" s="24">
        <f t="shared" ref="K346:K409" si="68">(SUMIF($11:$11,J346,$12:$12)-SUMIF($11:$11,$J$24,$12:$12)+100)/100</f>
        <v>0</v>
      </c>
      <c r="L346" s="719"/>
      <c r="M346" s="24">
        <f t="shared" ref="M346:M409" si="69">(SUMIF($13:$13,L346,$14:$14)-SUMIF($13:$13,$L$24,$14:$14)+100)/100</f>
        <v>0.02</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1">
        <f t="shared" si="63"/>
        <v>0</v>
      </c>
    </row>
    <row r="347" spans="1:19">
      <c r="A347" s="159"/>
      <c r="B347" s="59"/>
      <c r="C347" s="24">
        <f t="shared" si="64"/>
        <v>1</v>
      </c>
      <c r="D347" s="719"/>
      <c r="E347" s="24">
        <f t="shared" si="65"/>
        <v>4.4999999999999998E-2</v>
      </c>
      <c r="F347" s="719"/>
      <c r="G347" s="24">
        <f t="shared" si="66"/>
        <v>0</v>
      </c>
      <c r="H347" s="719"/>
      <c r="I347" s="24">
        <f t="shared" si="67"/>
        <v>0.02</v>
      </c>
      <c r="J347" s="719"/>
      <c r="K347" s="24">
        <f t="shared" si="68"/>
        <v>0</v>
      </c>
      <c r="L347" s="719"/>
      <c r="M347" s="24">
        <f t="shared" si="69"/>
        <v>0.02</v>
      </c>
      <c r="N347" s="719"/>
      <c r="O347" s="24">
        <f t="shared" si="70"/>
        <v>1</v>
      </c>
      <c r="P347" s="719"/>
      <c r="Q347" s="24">
        <f t="shared" si="71"/>
        <v>1</v>
      </c>
      <c r="R347" s="715">
        <f t="shared" si="72"/>
        <v>0</v>
      </c>
      <c r="S347" s="361">
        <f t="shared" si="63"/>
        <v>0</v>
      </c>
    </row>
    <row r="348" spans="1:19">
      <c r="A348" s="159"/>
      <c r="B348" s="59"/>
      <c r="C348" s="24">
        <f t="shared" si="64"/>
        <v>1</v>
      </c>
      <c r="D348" s="719"/>
      <c r="E348" s="24">
        <f t="shared" si="65"/>
        <v>4.4999999999999998E-2</v>
      </c>
      <c r="F348" s="719"/>
      <c r="G348" s="24">
        <f t="shared" si="66"/>
        <v>0</v>
      </c>
      <c r="H348" s="719"/>
      <c r="I348" s="24">
        <f t="shared" si="67"/>
        <v>0.02</v>
      </c>
      <c r="J348" s="719"/>
      <c r="K348" s="24">
        <f t="shared" si="68"/>
        <v>0</v>
      </c>
      <c r="L348" s="719"/>
      <c r="M348" s="24">
        <f t="shared" si="69"/>
        <v>0.02</v>
      </c>
      <c r="N348" s="719"/>
      <c r="O348" s="24">
        <f t="shared" si="70"/>
        <v>1</v>
      </c>
      <c r="P348" s="719"/>
      <c r="Q348" s="24">
        <f t="shared" si="71"/>
        <v>1</v>
      </c>
      <c r="R348" s="715">
        <f t="shared" si="72"/>
        <v>0</v>
      </c>
      <c r="S348" s="361">
        <f t="shared" si="63"/>
        <v>0</v>
      </c>
    </row>
    <row r="349" spans="1:19">
      <c r="A349" s="159"/>
      <c r="B349" s="59"/>
      <c r="C349" s="24">
        <f t="shared" si="64"/>
        <v>1</v>
      </c>
      <c r="D349" s="719"/>
      <c r="E349" s="24">
        <f t="shared" si="65"/>
        <v>4.4999999999999998E-2</v>
      </c>
      <c r="F349" s="719"/>
      <c r="G349" s="24">
        <f t="shared" si="66"/>
        <v>0</v>
      </c>
      <c r="H349" s="719"/>
      <c r="I349" s="24">
        <f t="shared" si="67"/>
        <v>0.02</v>
      </c>
      <c r="J349" s="719"/>
      <c r="K349" s="24">
        <f t="shared" si="68"/>
        <v>0</v>
      </c>
      <c r="L349" s="719"/>
      <c r="M349" s="24">
        <f t="shared" si="69"/>
        <v>0.02</v>
      </c>
      <c r="N349" s="719"/>
      <c r="O349" s="24">
        <f t="shared" si="70"/>
        <v>1</v>
      </c>
      <c r="P349" s="719"/>
      <c r="Q349" s="24">
        <f t="shared" si="71"/>
        <v>1</v>
      </c>
      <c r="R349" s="715">
        <f t="shared" si="72"/>
        <v>0</v>
      </c>
      <c r="S349" s="361">
        <f t="shared" si="63"/>
        <v>0</v>
      </c>
    </row>
    <row r="350" spans="1:19">
      <c r="A350" s="159"/>
      <c r="B350" s="59"/>
      <c r="C350" s="24">
        <f t="shared" si="64"/>
        <v>1</v>
      </c>
      <c r="D350" s="719"/>
      <c r="E350" s="24">
        <f t="shared" si="65"/>
        <v>4.4999999999999998E-2</v>
      </c>
      <c r="F350" s="719"/>
      <c r="G350" s="24">
        <f t="shared" si="66"/>
        <v>0</v>
      </c>
      <c r="H350" s="719"/>
      <c r="I350" s="24">
        <f t="shared" si="67"/>
        <v>0.02</v>
      </c>
      <c r="J350" s="719"/>
      <c r="K350" s="24">
        <f t="shared" si="68"/>
        <v>0</v>
      </c>
      <c r="L350" s="719"/>
      <c r="M350" s="24">
        <f t="shared" si="69"/>
        <v>0.02</v>
      </c>
      <c r="N350" s="719"/>
      <c r="O350" s="24">
        <f t="shared" si="70"/>
        <v>1</v>
      </c>
      <c r="P350" s="719"/>
      <c r="Q350" s="24">
        <f t="shared" si="71"/>
        <v>1</v>
      </c>
      <c r="R350" s="715">
        <f t="shared" si="72"/>
        <v>0</v>
      </c>
      <c r="S350" s="361">
        <f t="shared" si="63"/>
        <v>0</v>
      </c>
    </row>
    <row r="351" spans="1:19">
      <c r="A351" s="159"/>
      <c r="B351" s="59"/>
      <c r="C351" s="24">
        <f t="shared" si="64"/>
        <v>1</v>
      </c>
      <c r="D351" s="719"/>
      <c r="E351" s="24">
        <f t="shared" si="65"/>
        <v>4.4999999999999998E-2</v>
      </c>
      <c r="F351" s="719"/>
      <c r="G351" s="24">
        <f t="shared" si="66"/>
        <v>0</v>
      </c>
      <c r="H351" s="719"/>
      <c r="I351" s="24">
        <f t="shared" si="67"/>
        <v>0.02</v>
      </c>
      <c r="J351" s="719"/>
      <c r="K351" s="24">
        <f t="shared" si="68"/>
        <v>0</v>
      </c>
      <c r="L351" s="719"/>
      <c r="M351" s="24">
        <f t="shared" si="69"/>
        <v>0.02</v>
      </c>
      <c r="N351" s="719"/>
      <c r="O351" s="24">
        <f t="shared" si="70"/>
        <v>1</v>
      </c>
      <c r="P351" s="719"/>
      <c r="Q351" s="24">
        <f t="shared" si="71"/>
        <v>1</v>
      </c>
      <c r="R351" s="715">
        <f t="shared" si="72"/>
        <v>0</v>
      </c>
      <c r="S351" s="361">
        <f t="shared" si="63"/>
        <v>0</v>
      </c>
    </row>
    <row r="352" spans="1:19">
      <c r="A352" s="159"/>
      <c r="B352" s="59"/>
      <c r="C352" s="24">
        <f t="shared" si="64"/>
        <v>1</v>
      </c>
      <c r="D352" s="719"/>
      <c r="E352" s="24">
        <f t="shared" si="65"/>
        <v>4.4999999999999998E-2</v>
      </c>
      <c r="F352" s="719"/>
      <c r="G352" s="24">
        <f t="shared" si="66"/>
        <v>0</v>
      </c>
      <c r="H352" s="719"/>
      <c r="I352" s="24">
        <f t="shared" si="67"/>
        <v>0.02</v>
      </c>
      <c r="J352" s="719"/>
      <c r="K352" s="24">
        <f t="shared" si="68"/>
        <v>0</v>
      </c>
      <c r="L352" s="719"/>
      <c r="M352" s="24">
        <f t="shared" si="69"/>
        <v>0.02</v>
      </c>
      <c r="N352" s="719"/>
      <c r="O352" s="24">
        <f t="shared" si="70"/>
        <v>1</v>
      </c>
      <c r="P352" s="719"/>
      <c r="Q352" s="24">
        <f t="shared" si="71"/>
        <v>1</v>
      </c>
      <c r="R352" s="715">
        <f t="shared" si="72"/>
        <v>0</v>
      </c>
      <c r="S352" s="361">
        <f t="shared" si="63"/>
        <v>0</v>
      </c>
    </row>
    <row r="353" spans="1:19">
      <c r="A353" s="159"/>
      <c r="B353" s="59"/>
      <c r="C353" s="24">
        <f t="shared" si="64"/>
        <v>1</v>
      </c>
      <c r="D353" s="719"/>
      <c r="E353" s="24">
        <f t="shared" si="65"/>
        <v>4.4999999999999998E-2</v>
      </c>
      <c r="F353" s="719"/>
      <c r="G353" s="24">
        <f t="shared" si="66"/>
        <v>0</v>
      </c>
      <c r="H353" s="719"/>
      <c r="I353" s="24">
        <f t="shared" si="67"/>
        <v>0.02</v>
      </c>
      <c r="J353" s="719"/>
      <c r="K353" s="24">
        <f t="shared" si="68"/>
        <v>0</v>
      </c>
      <c r="L353" s="719"/>
      <c r="M353" s="24">
        <f t="shared" si="69"/>
        <v>0.02</v>
      </c>
      <c r="N353" s="719"/>
      <c r="O353" s="24">
        <f t="shared" si="70"/>
        <v>1</v>
      </c>
      <c r="P353" s="719"/>
      <c r="Q353" s="24">
        <f t="shared" si="71"/>
        <v>1</v>
      </c>
      <c r="R353" s="715">
        <f t="shared" si="72"/>
        <v>0</v>
      </c>
      <c r="S353" s="361">
        <f t="shared" si="63"/>
        <v>0</v>
      </c>
    </row>
    <row r="354" spans="1:19">
      <c r="A354" s="159"/>
      <c r="B354" s="59"/>
      <c r="C354" s="24">
        <f t="shared" si="64"/>
        <v>1</v>
      </c>
      <c r="D354" s="719"/>
      <c r="E354" s="24">
        <f t="shared" si="65"/>
        <v>4.4999999999999998E-2</v>
      </c>
      <c r="F354" s="719"/>
      <c r="G354" s="24">
        <f t="shared" si="66"/>
        <v>0</v>
      </c>
      <c r="H354" s="719"/>
      <c r="I354" s="24">
        <f t="shared" si="67"/>
        <v>0.02</v>
      </c>
      <c r="J354" s="719"/>
      <c r="K354" s="24">
        <f t="shared" si="68"/>
        <v>0</v>
      </c>
      <c r="L354" s="719"/>
      <c r="M354" s="24">
        <f t="shared" si="69"/>
        <v>0.02</v>
      </c>
      <c r="N354" s="719"/>
      <c r="O354" s="24">
        <f t="shared" si="70"/>
        <v>1</v>
      </c>
      <c r="P354" s="719"/>
      <c r="Q354" s="24">
        <f t="shared" si="71"/>
        <v>1</v>
      </c>
      <c r="R354" s="715">
        <f t="shared" si="72"/>
        <v>0</v>
      </c>
      <c r="S354" s="361">
        <f t="shared" si="63"/>
        <v>0</v>
      </c>
    </row>
    <row r="355" spans="1:19">
      <c r="A355" s="159"/>
      <c r="B355" s="59"/>
      <c r="C355" s="24">
        <f t="shared" si="64"/>
        <v>1</v>
      </c>
      <c r="D355" s="719"/>
      <c r="E355" s="24">
        <f t="shared" si="65"/>
        <v>4.4999999999999998E-2</v>
      </c>
      <c r="F355" s="719"/>
      <c r="G355" s="24">
        <f t="shared" si="66"/>
        <v>0</v>
      </c>
      <c r="H355" s="719"/>
      <c r="I355" s="24">
        <f t="shared" si="67"/>
        <v>0.02</v>
      </c>
      <c r="J355" s="719"/>
      <c r="K355" s="24">
        <f t="shared" si="68"/>
        <v>0</v>
      </c>
      <c r="L355" s="719"/>
      <c r="M355" s="24">
        <f t="shared" si="69"/>
        <v>0.02</v>
      </c>
      <c r="N355" s="719"/>
      <c r="O355" s="24">
        <f t="shared" si="70"/>
        <v>1</v>
      </c>
      <c r="P355" s="719"/>
      <c r="Q355" s="24">
        <f t="shared" si="71"/>
        <v>1</v>
      </c>
      <c r="R355" s="715">
        <f t="shared" si="72"/>
        <v>0</v>
      </c>
      <c r="S355" s="361">
        <f t="shared" si="63"/>
        <v>0</v>
      </c>
    </row>
    <row r="356" spans="1:19">
      <c r="A356" s="159"/>
      <c r="B356" s="59"/>
      <c r="C356" s="24">
        <f t="shared" si="64"/>
        <v>1</v>
      </c>
      <c r="D356" s="719"/>
      <c r="E356" s="24">
        <f t="shared" si="65"/>
        <v>4.4999999999999998E-2</v>
      </c>
      <c r="F356" s="719"/>
      <c r="G356" s="24">
        <f t="shared" si="66"/>
        <v>0</v>
      </c>
      <c r="H356" s="719"/>
      <c r="I356" s="24">
        <f t="shared" si="67"/>
        <v>0.02</v>
      </c>
      <c r="J356" s="719"/>
      <c r="K356" s="24">
        <f t="shared" si="68"/>
        <v>0</v>
      </c>
      <c r="L356" s="719"/>
      <c r="M356" s="24">
        <f t="shared" si="69"/>
        <v>0.02</v>
      </c>
      <c r="N356" s="719"/>
      <c r="O356" s="24">
        <f t="shared" si="70"/>
        <v>1</v>
      </c>
      <c r="P356" s="719"/>
      <c r="Q356" s="24">
        <f t="shared" si="71"/>
        <v>1</v>
      </c>
      <c r="R356" s="715">
        <f t="shared" si="72"/>
        <v>0</v>
      </c>
      <c r="S356" s="361">
        <f t="shared" si="63"/>
        <v>0</v>
      </c>
    </row>
    <row r="357" spans="1:19">
      <c r="A357" s="159"/>
      <c r="B357" s="59"/>
      <c r="C357" s="24">
        <f t="shared" si="64"/>
        <v>1</v>
      </c>
      <c r="D357" s="719"/>
      <c r="E357" s="24">
        <f t="shared" si="65"/>
        <v>4.4999999999999998E-2</v>
      </c>
      <c r="F357" s="719"/>
      <c r="G357" s="24">
        <f t="shared" si="66"/>
        <v>0</v>
      </c>
      <c r="H357" s="719"/>
      <c r="I357" s="24">
        <f t="shared" si="67"/>
        <v>0.02</v>
      </c>
      <c r="J357" s="719"/>
      <c r="K357" s="24">
        <f t="shared" si="68"/>
        <v>0</v>
      </c>
      <c r="L357" s="719"/>
      <c r="M357" s="24">
        <f t="shared" si="69"/>
        <v>0.02</v>
      </c>
      <c r="N357" s="719"/>
      <c r="O357" s="24">
        <f t="shared" si="70"/>
        <v>1</v>
      </c>
      <c r="P357" s="719"/>
      <c r="Q357" s="24">
        <f t="shared" si="71"/>
        <v>1</v>
      </c>
      <c r="R357" s="715">
        <f t="shared" si="72"/>
        <v>0</v>
      </c>
      <c r="S357" s="361">
        <f t="shared" si="63"/>
        <v>0</v>
      </c>
    </row>
    <row r="358" spans="1:19">
      <c r="A358" s="159"/>
      <c r="B358" s="59"/>
      <c r="C358" s="24">
        <f t="shared" si="64"/>
        <v>1</v>
      </c>
      <c r="D358" s="719"/>
      <c r="E358" s="24">
        <f t="shared" si="65"/>
        <v>4.4999999999999998E-2</v>
      </c>
      <c r="F358" s="719"/>
      <c r="G358" s="24">
        <f t="shared" si="66"/>
        <v>0</v>
      </c>
      <c r="H358" s="719"/>
      <c r="I358" s="24">
        <f t="shared" si="67"/>
        <v>0.02</v>
      </c>
      <c r="J358" s="719"/>
      <c r="K358" s="24">
        <f t="shared" si="68"/>
        <v>0</v>
      </c>
      <c r="L358" s="719"/>
      <c r="M358" s="24">
        <f t="shared" si="69"/>
        <v>0.02</v>
      </c>
      <c r="N358" s="719"/>
      <c r="O358" s="24">
        <f t="shared" si="70"/>
        <v>1</v>
      </c>
      <c r="P358" s="719"/>
      <c r="Q358" s="24">
        <f t="shared" si="71"/>
        <v>1</v>
      </c>
      <c r="R358" s="715">
        <f t="shared" si="72"/>
        <v>0</v>
      </c>
      <c r="S358" s="361">
        <f t="shared" si="63"/>
        <v>0</v>
      </c>
    </row>
    <row r="359" spans="1:19">
      <c r="A359" s="159"/>
      <c r="B359" s="59"/>
      <c r="C359" s="24">
        <f t="shared" si="64"/>
        <v>1</v>
      </c>
      <c r="D359" s="719"/>
      <c r="E359" s="24">
        <f t="shared" si="65"/>
        <v>4.4999999999999998E-2</v>
      </c>
      <c r="F359" s="719"/>
      <c r="G359" s="24">
        <f t="shared" si="66"/>
        <v>0</v>
      </c>
      <c r="H359" s="719"/>
      <c r="I359" s="24">
        <f t="shared" si="67"/>
        <v>0.02</v>
      </c>
      <c r="J359" s="719"/>
      <c r="K359" s="24">
        <f t="shared" si="68"/>
        <v>0</v>
      </c>
      <c r="L359" s="719"/>
      <c r="M359" s="24">
        <f t="shared" si="69"/>
        <v>0.02</v>
      </c>
      <c r="N359" s="719"/>
      <c r="O359" s="24">
        <f t="shared" si="70"/>
        <v>1</v>
      </c>
      <c r="P359" s="719"/>
      <c r="Q359" s="24">
        <f t="shared" si="71"/>
        <v>1</v>
      </c>
      <c r="R359" s="715">
        <f t="shared" si="72"/>
        <v>0</v>
      </c>
      <c r="S359" s="361">
        <f t="shared" si="63"/>
        <v>0</v>
      </c>
    </row>
    <row r="360" spans="1:19">
      <c r="A360" s="159"/>
      <c r="B360" s="59"/>
      <c r="C360" s="24">
        <f t="shared" si="64"/>
        <v>1</v>
      </c>
      <c r="D360" s="719"/>
      <c r="E360" s="24">
        <f t="shared" si="65"/>
        <v>4.4999999999999998E-2</v>
      </c>
      <c r="F360" s="719"/>
      <c r="G360" s="24">
        <f t="shared" si="66"/>
        <v>0</v>
      </c>
      <c r="H360" s="719"/>
      <c r="I360" s="24">
        <f t="shared" si="67"/>
        <v>0.02</v>
      </c>
      <c r="J360" s="719"/>
      <c r="K360" s="24">
        <f t="shared" si="68"/>
        <v>0</v>
      </c>
      <c r="L360" s="719"/>
      <c r="M360" s="24">
        <f t="shared" si="69"/>
        <v>0.02</v>
      </c>
      <c r="N360" s="719"/>
      <c r="O360" s="24">
        <f t="shared" si="70"/>
        <v>1</v>
      </c>
      <c r="P360" s="719"/>
      <c r="Q360" s="24">
        <f t="shared" si="71"/>
        <v>1</v>
      </c>
      <c r="R360" s="715">
        <f t="shared" si="72"/>
        <v>0</v>
      </c>
      <c r="S360" s="361">
        <f t="shared" si="63"/>
        <v>0</v>
      </c>
    </row>
    <row r="361" spans="1:19">
      <c r="A361" s="159"/>
      <c r="B361" s="59"/>
      <c r="C361" s="24">
        <f t="shared" si="64"/>
        <v>1</v>
      </c>
      <c r="D361" s="719"/>
      <c r="E361" s="24">
        <f t="shared" si="65"/>
        <v>4.4999999999999998E-2</v>
      </c>
      <c r="F361" s="719"/>
      <c r="G361" s="24">
        <f t="shared" si="66"/>
        <v>0</v>
      </c>
      <c r="H361" s="719"/>
      <c r="I361" s="24">
        <f t="shared" si="67"/>
        <v>0.02</v>
      </c>
      <c r="J361" s="719"/>
      <c r="K361" s="24">
        <f t="shared" si="68"/>
        <v>0</v>
      </c>
      <c r="L361" s="719"/>
      <c r="M361" s="24">
        <f t="shared" si="69"/>
        <v>0.02</v>
      </c>
      <c r="N361" s="719"/>
      <c r="O361" s="24">
        <f t="shared" si="70"/>
        <v>1</v>
      </c>
      <c r="P361" s="719"/>
      <c r="Q361" s="24">
        <f t="shared" si="71"/>
        <v>1</v>
      </c>
      <c r="R361" s="715">
        <f t="shared" si="72"/>
        <v>0</v>
      </c>
      <c r="S361" s="361">
        <f t="shared" si="63"/>
        <v>0</v>
      </c>
    </row>
    <row r="362" spans="1:19">
      <c r="A362" s="159"/>
      <c r="B362" s="59"/>
      <c r="C362" s="24">
        <f t="shared" si="64"/>
        <v>1</v>
      </c>
      <c r="D362" s="719"/>
      <c r="E362" s="24">
        <f t="shared" si="65"/>
        <v>4.4999999999999998E-2</v>
      </c>
      <c r="F362" s="719"/>
      <c r="G362" s="24">
        <f t="shared" si="66"/>
        <v>0</v>
      </c>
      <c r="H362" s="719"/>
      <c r="I362" s="24">
        <f t="shared" si="67"/>
        <v>0.02</v>
      </c>
      <c r="J362" s="719"/>
      <c r="K362" s="24">
        <f t="shared" si="68"/>
        <v>0</v>
      </c>
      <c r="L362" s="719"/>
      <c r="M362" s="24">
        <f t="shared" si="69"/>
        <v>0.02</v>
      </c>
      <c r="N362" s="719"/>
      <c r="O362" s="24">
        <f t="shared" si="70"/>
        <v>1</v>
      </c>
      <c r="P362" s="719"/>
      <c r="Q362" s="24">
        <f t="shared" si="71"/>
        <v>1</v>
      </c>
      <c r="R362" s="715">
        <f t="shared" si="72"/>
        <v>0</v>
      </c>
      <c r="S362" s="361">
        <f t="shared" si="63"/>
        <v>0</v>
      </c>
    </row>
    <row r="363" spans="1:19">
      <c r="A363" s="159"/>
      <c r="B363" s="59"/>
      <c r="C363" s="24">
        <f t="shared" si="64"/>
        <v>1</v>
      </c>
      <c r="D363" s="719"/>
      <c r="E363" s="24">
        <f t="shared" si="65"/>
        <v>4.4999999999999998E-2</v>
      </c>
      <c r="F363" s="719"/>
      <c r="G363" s="24">
        <f t="shared" si="66"/>
        <v>0</v>
      </c>
      <c r="H363" s="719"/>
      <c r="I363" s="24">
        <f t="shared" si="67"/>
        <v>0.02</v>
      </c>
      <c r="J363" s="719"/>
      <c r="K363" s="24">
        <f t="shared" si="68"/>
        <v>0</v>
      </c>
      <c r="L363" s="719"/>
      <c r="M363" s="24">
        <f t="shared" si="69"/>
        <v>0.02</v>
      </c>
      <c r="N363" s="719"/>
      <c r="O363" s="24">
        <f t="shared" si="70"/>
        <v>1</v>
      </c>
      <c r="P363" s="719"/>
      <c r="Q363" s="24">
        <f t="shared" si="71"/>
        <v>1</v>
      </c>
      <c r="R363" s="715">
        <f t="shared" si="72"/>
        <v>0</v>
      </c>
      <c r="S363" s="361">
        <f t="shared" si="63"/>
        <v>0</v>
      </c>
    </row>
    <row r="364" spans="1:19">
      <c r="A364" s="159"/>
      <c r="B364" s="59"/>
      <c r="C364" s="24">
        <f t="shared" si="64"/>
        <v>1</v>
      </c>
      <c r="D364" s="719"/>
      <c r="E364" s="24">
        <f t="shared" si="65"/>
        <v>4.4999999999999998E-2</v>
      </c>
      <c r="F364" s="719"/>
      <c r="G364" s="24">
        <f t="shared" si="66"/>
        <v>0</v>
      </c>
      <c r="H364" s="719"/>
      <c r="I364" s="24">
        <f t="shared" si="67"/>
        <v>0.02</v>
      </c>
      <c r="J364" s="719"/>
      <c r="K364" s="24">
        <f t="shared" si="68"/>
        <v>0</v>
      </c>
      <c r="L364" s="719"/>
      <c r="M364" s="24">
        <f t="shared" si="69"/>
        <v>0.02</v>
      </c>
      <c r="N364" s="719"/>
      <c r="O364" s="24">
        <f t="shared" si="70"/>
        <v>1</v>
      </c>
      <c r="P364" s="719"/>
      <c r="Q364" s="24">
        <f t="shared" si="71"/>
        <v>1</v>
      </c>
      <c r="R364" s="715">
        <f t="shared" si="72"/>
        <v>0</v>
      </c>
      <c r="S364" s="361">
        <f t="shared" si="63"/>
        <v>0</v>
      </c>
    </row>
    <row r="365" spans="1:19">
      <c r="A365" s="159"/>
      <c r="B365" s="59"/>
      <c r="C365" s="24">
        <f t="shared" si="64"/>
        <v>1</v>
      </c>
      <c r="D365" s="719"/>
      <c r="E365" s="24">
        <f t="shared" si="65"/>
        <v>4.4999999999999998E-2</v>
      </c>
      <c r="F365" s="719"/>
      <c r="G365" s="24">
        <f t="shared" si="66"/>
        <v>0</v>
      </c>
      <c r="H365" s="719"/>
      <c r="I365" s="24">
        <f t="shared" si="67"/>
        <v>0.02</v>
      </c>
      <c r="J365" s="719"/>
      <c r="K365" s="24">
        <f t="shared" si="68"/>
        <v>0</v>
      </c>
      <c r="L365" s="719"/>
      <c r="M365" s="24">
        <f t="shared" si="69"/>
        <v>0.02</v>
      </c>
      <c r="N365" s="719"/>
      <c r="O365" s="24">
        <f t="shared" si="70"/>
        <v>1</v>
      </c>
      <c r="P365" s="719"/>
      <c r="Q365" s="24">
        <f t="shared" si="71"/>
        <v>1</v>
      </c>
      <c r="R365" s="715">
        <f t="shared" si="72"/>
        <v>0</v>
      </c>
      <c r="S365" s="361">
        <f t="shared" si="63"/>
        <v>0</v>
      </c>
    </row>
    <row r="366" spans="1:19">
      <c r="A366" s="159"/>
      <c r="B366" s="59"/>
      <c r="C366" s="24">
        <f t="shared" si="64"/>
        <v>1</v>
      </c>
      <c r="D366" s="719"/>
      <c r="E366" s="24">
        <f t="shared" si="65"/>
        <v>4.4999999999999998E-2</v>
      </c>
      <c r="F366" s="719"/>
      <c r="G366" s="24">
        <f t="shared" si="66"/>
        <v>0</v>
      </c>
      <c r="H366" s="719"/>
      <c r="I366" s="24">
        <f t="shared" si="67"/>
        <v>0.02</v>
      </c>
      <c r="J366" s="719"/>
      <c r="K366" s="24">
        <f t="shared" si="68"/>
        <v>0</v>
      </c>
      <c r="L366" s="719"/>
      <c r="M366" s="24">
        <f t="shared" si="69"/>
        <v>0.02</v>
      </c>
      <c r="N366" s="719"/>
      <c r="O366" s="24">
        <f t="shared" si="70"/>
        <v>1</v>
      </c>
      <c r="P366" s="719"/>
      <c r="Q366" s="24">
        <f t="shared" si="71"/>
        <v>1</v>
      </c>
      <c r="R366" s="715">
        <f t="shared" si="72"/>
        <v>0</v>
      </c>
      <c r="S366" s="361">
        <f t="shared" si="63"/>
        <v>0</v>
      </c>
    </row>
    <row r="367" spans="1:19">
      <c r="A367" s="159"/>
      <c r="B367" s="59"/>
      <c r="C367" s="24">
        <f t="shared" si="64"/>
        <v>1</v>
      </c>
      <c r="D367" s="719"/>
      <c r="E367" s="24">
        <f t="shared" si="65"/>
        <v>4.4999999999999998E-2</v>
      </c>
      <c r="F367" s="719"/>
      <c r="G367" s="24">
        <f t="shared" si="66"/>
        <v>0</v>
      </c>
      <c r="H367" s="719"/>
      <c r="I367" s="24">
        <f t="shared" si="67"/>
        <v>0.02</v>
      </c>
      <c r="J367" s="719"/>
      <c r="K367" s="24">
        <f t="shared" si="68"/>
        <v>0</v>
      </c>
      <c r="L367" s="719"/>
      <c r="M367" s="24">
        <f t="shared" si="69"/>
        <v>0.02</v>
      </c>
      <c r="N367" s="719"/>
      <c r="O367" s="24">
        <f t="shared" si="70"/>
        <v>1</v>
      </c>
      <c r="P367" s="719"/>
      <c r="Q367" s="24">
        <f t="shared" si="71"/>
        <v>1</v>
      </c>
      <c r="R367" s="715">
        <f t="shared" si="72"/>
        <v>0</v>
      </c>
      <c r="S367" s="361">
        <f t="shared" si="63"/>
        <v>0</v>
      </c>
    </row>
    <row r="368" spans="1:19">
      <c r="A368" s="159"/>
      <c r="B368" s="59"/>
      <c r="C368" s="24">
        <f t="shared" si="64"/>
        <v>1</v>
      </c>
      <c r="D368" s="719"/>
      <c r="E368" s="24">
        <f t="shared" si="65"/>
        <v>4.4999999999999998E-2</v>
      </c>
      <c r="F368" s="719"/>
      <c r="G368" s="24">
        <f t="shared" si="66"/>
        <v>0</v>
      </c>
      <c r="H368" s="719"/>
      <c r="I368" s="24">
        <f t="shared" si="67"/>
        <v>0.02</v>
      </c>
      <c r="J368" s="719"/>
      <c r="K368" s="24">
        <f t="shared" si="68"/>
        <v>0</v>
      </c>
      <c r="L368" s="719"/>
      <c r="M368" s="24">
        <f t="shared" si="69"/>
        <v>0.02</v>
      </c>
      <c r="N368" s="719"/>
      <c r="O368" s="24">
        <f t="shared" si="70"/>
        <v>1</v>
      </c>
      <c r="P368" s="719"/>
      <c r="Q368" s="24">
        <f t="shared" si="71"/>
        <v>1</v>
      </c>
      <c r="R368" s="715">
        <f t="shared" si="72"/>
        <v>0</v>
      </c>
      <c r="S368" s="361">
        <f t="shared" si="63"/>
        <v>0</v>
      </c>
    </row>
    <row r="369" spans="1:19">
      <c r="A369" s="159"/>
      <c r="B369" s="59"/>
      <c r="C369" s="24">
        <f t="shared" si="64"/>
        <v>1</v>
      </c>
      <c r="D369" s="719"/>
      <c r="E369" s="24">
        <f t="shared" si="65"/>
        <v>4.4999999999999998E-2</v>
      </c>
      <c r="F369" s="719"/>
      <c r="G369" s="24">
        <f t="shared" si="66"/>
        <v>0</v>
      </c>
      <c r="H369" s="719"/>
      <c r="I369" s="24">
        <f t="shared" si="67"/>
        <v>0.02</v>
      </c>
      <c r="J369" s="719"/>
      <c r="K369" s="24">
        <f t="shared" si="68"/>
        <v>0</v>
      </c>
      <c r="L369" s="719"/>
      <c r="M369" s="24">
        <f t="shared" si="69"/>
        <v>0.02</v>
      </c>
      <c r="N369" s="719"/>
      <c r="O369" s="24">
        <f t="shared" si="70"/>
        <v>1</v>
      </c>
      <c r="P369" s="719"/>
      <c r="Q369" s="24">
        <f t="shared" si="71"/>
        <v>1</v>
      </c>
      <c r="R369" s="715">
        <f t="shared" si="72"/>
        <v>0</v>
      </c>
      <c r="S369" s="361">
        <f t="shared" si="63"/>
        <v>0</v>
      </c>
    </row>
    <row r="370" spans="1:19">
      <c r="A370" s="159"/>
      <c r="B370" s="59"/>
      <c r="C370" s="24">
        <f t="shared" si="64"/>
        <v>1</v>
      </c>
      <c r="D370" s="719"/>
      <c r="E370" s="24">
        <f t="shared" si="65"/>
        <v>4.4999999999999998E-2</v>
      </c>
      <c r="F370" s="719"/>
      <c r="G370" s="24">
        <f t="shared" si="66"/>
        <v>0</v>
      </c>
      <c r="H370" s="719"/>
      <c r="I370" s="24">
        <f t="shared" si="67"/>
        <v>0.02</v>
      </c>
      <c r="J370" s="719"/>
      <c r="K370" s="24">
        <f t="shared" si="68"/>
        <v>0</v>
      </c>
      <c r="L370" s="719"/>
      <c r="M370" s="24">
        <f t="shared" si="69"/>
        <v>0.02</v>
      </c>
      <c r="N370" s="719"/>
      <c r="O370" s="24">
        <f t="shared" si="70"/>
        <v>1</v>
      </c>
      <c r="P370" s="719"/>
      <c r="Q370" s="24">
        <f t="shared" si="71"/>
        <v>1</v>
      </c>
      <c r="R370" s="715">
        <f t="shared" si="72"/>
        <v>0</v>
      </c>
      <c r="S370" s="361">
        <f t="shared" si="63"/>
        <v>0</v>
      </c>
    </row>
    <row r="371" spans="1:19">
      <c r="A371" s="159"/>
      <c r="B371" s="59"/>
      <c r="C371" s="24">
        <f t="shared" si="64"/>
        <v>1</v>
      </c>
      <c r="D371" s="719"/>
      <c r="E371" s="24">
        <f t="shared" si="65"/>
        <v>4.4999999999999998E-2</v>
      </c>
      <c r="F371" s="719"/>
      <c r="G371" s="24">
        <f t="shared" si="66"/>
        <v>0</v>
      </c>
      <c r="H371" s="719"/>
      <c r="I371" s="24">
        <f t="shared" si="67"/>
        <v>0.02</v>
      </c>
      <c r="J371" s="719"/>
      <c r="K371" s="24">
        <f t="shared" si="68"/>
        <v>0</v>
      </c>
      <c r="L371" s="719"/>
      <c r="M371" s="24">
        <f t="shared" si="69"/>
        <v>0.02</v>
      </c>
      <c r="N371" s="719"/>
      <c r="O371" s="24">
        <f t="shared" si="70"/>
        <v>1</v>
      </c>
      <c r="P371" s="719"/>
      <c r="Q371" s="24">
        <f t="shared" si="71"/>
        <v>1</v>
      </c>
      <c r="R371" s="715">
        <f t="shared" si="72"/>
        <v>0</v>
      </c>
      <c r="S371" s="361">
        <f t="shared" si="63"/>
        <v>0</v>
      </c>
    </row>
    <row r="372" spans="1:19">
      <c r="A372" s="159"/>
      <c r="B372" s="59"/>
      <c r="C372" s="24">
        <f t="shared" si="64"/>
        <v>1</v>
      </c>
      <c r="D372" s="719"/>
      <c r="E372" s="24">
        <f t="shared" si="65"/>
        <v>4.4999999999999998E-2</v>
      </c>
      <c r="F372" s="719"/>
      <c r="G372" s="24">
        <f t="shared" si="66"/>
        <v>0</v>
      </c>
      <c r="H372" s="719"/>
      <c r="I372" s="24">
        <f t="shared" si="67"/>
        <v>0.02</v>
      </c>
      <c r="J372" s="719"/>
      <c r="K372" s="24">
        <f t="shared" si="68"/>
        <v>0</v>
      </c>
      <c r="L372" s="719"/>
      <c r="M372" s="24">
        <f t="shared" si="69"/>
        <v>0.02</v>
      </c>
      <c r="N372" s="719"/>
      <c r="O372" s="24">
        <f t="shared" si="70"/>
        <v>1</v>
      </c>
      <c r="P372" s="719"/>
      <c r="Q372" s="24">
        <f t="shared" si="71"/>
        <v>1</v>
      </c>
      <c r="R372" s="715">
        <f t="shared" si="72"/>
        <v>0</v>
      </c>
      <c r="S372" s="361">
        <f t="shared" si="63"/>
        <v>0</v>
      </c>
    </row>
    <row r="373" spans="1:19">
      <c r="A373" s="159"/>
      <c r="B373" s="59"/>
      <c r="C373" s="24">
        <f t="shared" si="64"/>
        <v>1</v>
      </c>
      <c r="D373" s="719"/>
      <c r="E373" s="24">
        <f t="shared" si="65"/>
        <v>4.4999999999999998E-2</v>
      </c>
      <c r="F373" s="719"/>
      <c r="G373" s="24">
        <f t="shared" si="66"/>
        <v>0</v>
      </c>
      <c r="H373" s="719"/>
      <c r="I373" s="24">
        <f t="shared" si="67"/>
        <v>0.02</v>
      </c>
      <c r="J373" s="719"/>
      <c r="K373" s="24">
        <f t="shared" si="68"/>
        <v>0</v>
      </c>
      <c r="L373" s="719"/>
      <c r="M373" s="24">
        <f t="shared" si="69"/>
        <v>0.02</v>
      </c>
      <c r="N373" s="719"/>
      <c r="O373" s="24">
        <f t="shared" si="70"/>
        <v>1</v>
      </c>
      <c r="P373" s="719"/>
      <c r="Q373" s="24">
        <f t="shared" si="71"/>
        <v>1</v>
      </c>
      <c r="R373" s="715">
        <f t="shared" si="72"/>
        <v>0</v>
      </c>
      <c r="S373" s="361">
        <f t="shared" si="63"/>
        <v>0</v>
      </c>
    </row>
    <row r="374" spans="1:19">
      <c r="A374" s="159"/>
      <c r="B374" s="59"/>
      <c r="C374" s="24">
        <f t="shared" si="64"/>
        <v>1</v>
      </c>
      <c r="D374" s="719"/>
      <c r="E374" s="24">
        <f t="shared" si="65"/>
        <v>4.4999999999999998E-2</v>
      </c>
      <c r="F374" s="719"/>
      <c r="G374" s="24">
        <f t="shared" si="66"/>
        <v>0</v>
      </c>
      <c r="H374" s="719"/>
      <c r="I374" s="24">
        <f t="shared" si="67"/>
        <v>0.02</v>
      </c>
      <c r="J374" s="719"/>
      <c r="K374" s="24">
        <f t="shared" si="68"/>
        <v>0</v>
      </c>
      <c r="L374" s="719"/>
      <c r="M374" s="24">
        <f t="shared" si="69"/>
        <v>0.02</v>
      </c>
      <c r="N374" s="719"/>
      <c r="O374" s="24">
        <f t="shared" si="70"/>
        <v>1</v>
      </c>
      <c r="P374" s="719"/>
      <c r="Q374" s="24">
        <f t="shared" si="71"/>
        <v>1</v>
      </c>
      <c r="R374" s="715">
        <f t="shared" si="72"/>
        <v>0</v>
      </c>
      <c r="S374" s="361">
        <f t="shared" si="63"/>
        <v>0</v>
      </c>
    </row>
    <row r="375" spans="1:19">
      <c r="A375" s="159"/>
      <c r="B375" s="59"/>
      <c r="C375" s="24">
        <f t="shared" si="64"/>
        <v>1</v>
      </c>
      <c r="D375" s="719"/>
      <c r="E375" s="24">
        <f t="shared" si="65"/>
        <v>4.4999999999999998E-2</v>
      </c>
      <c r="F375" s="719"/>
      <c r="G375" s="24">
        <f t="shared" si="66"/>
        <v>0</v>
      </c>
      <c r="H375" s="719"/>
      <c r="I375" s="24">
        <f t="shared" si="67"/>
        <v>0.02</v>
      </c>
      <c r="J375" s="719"/>
      <c r="K375" s="24">
        <f t="shared" si="68"/>
        <v>0</v>
      </c>
      <c r="L375" s="719"/>
      <c r="M375" s="24">
        <f t="shared" si="69"/>
        <v>0.02</v>
      </c>
      <c r="N375" s="719"/>
      <c r="O375" s="24">
        <f t="shared" si="70"/>
        <v>1</v>
      </c>
      <c r="P375" s="719"/>
      <c r="Q375" s="24">
        <f t="shared" si="71"/>
        <v>1</v>
      </c>
      <c r="R375" s="715">
        <f t="shared" si="72"/>
        <v>0</v>
      </c>
      <c r="S375" s="361">
        <f t="shared" si="63"/>
        <v>0</v>
      </c>
    </row>
    <row r="376" spans="1:19">
      <c r="A376" s="159"/>
      <c r="B376" s="59"/>
      <c r="C376" s="24">
        <f t="shared" si="64"/>
        <v>1</v>
      </c>
      <c r="D376" s="719"/>
      <c r="E376" s="24">
        <f t="shared" si="65"/>
        <v>4.4999999999999998E-2</v>
      </c>
      <c r="F376" s="719"/>
      <c r="G376" s="24">
        <f t="shared" si="66"/>
        <v>0</v>
      </c>
      <c r="H376" s="719"/>
      <c r="I376" s="24">
        <f t="shared" si="67"/>
        <v>0.02</v>
      </c>
      <c r="J376" s="719"/>
      <c r="K376" s="24">
        <f t="shared" si="68"/>
        <v>0</v>
      </c>
      <c r="L376" s="719"/>
      <c r="M376" s="24">
        <f t="shared" si="69"/>
        <v>0.02</v>
      </c>
      <c r="N376" s="719"/>
      <c r="O376" s="24">
        <f t="shared" si="70"/>
        <v>1</v>
      </c>
      <c r="P376" s="719"/>
      <c r="Q376" s="24">
        <f t="shared" si="71"/>
        <v>1</v>
      </c>
      <c r="R376" s="715">
        <f t="shared" si="72"/>
        <v>0</v>
      </c>
      <c r="S376" s="361">
        <f t="shared" si="63"/>
        <v>0</v>
      </c>
    </row>
    <row r="377" spans="1:19">
      <c r="A377" s="159"/>
      <c r="B377" s="59"/>
      <c r="C377" s="24">
        <f t="shared" si="64"/>
        <v>1</v>
      </c>
      <c r="D377" s="719"/>
      <c r="E377" s="24">
        <f t="shared" si="65"/>
        <v>4.4999999999999998E-2</v>
      </c>
      <c r="F377" s="719"/>
      <c r="G377" s="24">
        <f t="shared" si="66"/>
        <v>0</v>
      </c>
      <c r="H377" s="719"/>
      <c r="I377" s="24">
        <f t="shared" si="67"/>
        <v>0.02</v>
      </c>
      <c r="J377" s="719"/>
      <c r="K377" s="24">
        <f t="shared" si="68"/>
        <v>0</v>
      </c>
      <c r="L377" s="719"/>
      <c r="M377" s="24">
        <f t="shared" si="69"/>
        <v>0.02</v>
      </c>
      <c r="N377" s="719"/>
      <c r="O377" s="24">
        <f t="shared" si="70"/>
        <v>1</v>
      </c>
      <c r="P377" s="719"/>
      <c r="Q377" s="24">
        <f t="shared" si="71"/>
        <v>1</v>
      </c>
      <c r="R377" s="715">
        <f t="shared" si="72"/>
        <v>0</v>
      </c>
      <c r="S377" s="361">
        <f t="shared" si="63"/>
        <v>0</v>
      </c>
    </row>
    <row r="378" spans="1:19">
      <c r="A378" s="159"/>
      <c r="B378" s="59"/>
      <c r="C378" s="24">
        <f t="shared" si="64"/>
        <v>1</v>
      </c>
      <c r="D378" s="719"/>
      <c r="E378" s="24">
        <f t="shared" si="65"/>
        <v>4.4999999999999998E-2</v>
      </c>
      <c r="F378" s="719"/>
      <c r="G378" s="24">
        <f t="shared" si="66"/>
        <v>0</v>
      </c>
      <c r="H378" s="719"/>
      <c r="I378" s="24">
        <f t="shared" si="67"/>
        <v>0.02</v>
      </c>
      <c r="J378" s="719"/>
      <c r="K378" s="24">
        <f t="shared" si="68"/>
        <v>0</v>
      </c>
      <c r="L378" s="719"/>
      <c r="M378" s="24">
        <f t="shared" si="69"/>
        <v>0.02</v>
      </c>
      <c r="N378" s="719"/>
      <c r="O378" s="24">
        <f t="shared" si="70"/>
        <v>1</v>
      </c>
      <c r="P378" s="719"/>
      <c r="Q378" s="24">
        <f t="shared" si="71"/>
        <v>1</v>
      </c>
      <c r="R378" s="715">
        <f t="shared" si="72"/>
        <v>0</v>
      </c>
      <c r="S378" s="361">
        <f t="shared" si="63"/>
        <v>0</v>
      </c>
    </row>
    <row r="379" spans="1:19">
      <c r="A379" s="159"/>
      <c r="B379" s="59"/>
      <c r="C379" s="24">
        <f t="shared" si="64"/>
        <v>1</v>
      </c>
      <c r="D379" s="719"/>
      <c r="E379" s="24">
        <f t="shared" si="65"/>
        <v>4.4999999999999998E-2</v>
      </c>
      <c r="F379" s="719"/>
      <c r="G379" s="24">
        <f t="shared" si="66"/>
        <v>0</v>
      </c>
      <c r="H379" s="719"/>
      <c r="I379" s="24">
        <f t="shared" si="67"/>
        <v>0.02</v>
      </c>
      <c r="J379" s="719"/>
      <c r="K379" s="24">
        <f t="shared" si="68"/>
        <v>0</v>
      </c>
      <c r="L379" s="719"/>
      <c r="M379" s="24">
        <f t="shared" si="69"/>
        <v>0.02</v>
      </c>
      <c r="N379" s="719"/>
      <c r="O379" s="24">
        <f t="shared" si="70"/>
        <v>1</v>
      </c>
      <c r="P379" s="719"/>
      <c r="Q379" s="24">
        <f t="shared" si="71"/>
        <v>1</v>
      </c>
      <c r="R379" s="715">
        <f t="shared" si="72"/>
        <v>0</v>
      </c>
      <c r="S379" s="361">
        <f t="shared" si="63"/>
        <v>0</v>
      </c>
    </row>
    <row r="380" spans="1:19">
      <c r="A380" s="159"/>
      <c r="B380" s="59"/>
      <c r="C380" s="24">
        <f t="shared" si="64"/>
        <v>1</v>
      </c>
      <c r="D380" s="719"/>
      <c r="E380" s="24">
        <f t="shared" si="65"/>
        <v>4.4999999999999998E-2</v>
      </c>
      <c r="F380" s="719"/>
      <c r="G380" s="24">
        <f t="shared" si="66"/>
        <v>0</v>
      </c>
      <c r="H380" s="719"/>
      <c r="I380" s="24">
        <f t="shared" si="67"/>
        <v>0.02</v>
      </c>
      <c r="J380" s="719"/>
      <c r="K380" s="24">
        <f t="shared" si="68"/>
        <v>0</v>
      </c>
      <c r="L380" s="719"/>
      <c r="M380" s="24">
        <f t="shared" si="69"/>
        <v>0.02</v>
      </c>
      <c r="N380" s="719"/>
      <c r="O380" s="24">
        <f t="shared" si="70"/>
        <v>1</v>
      </c>
      <c r="P380" s="719"/>
      <c r="Q380" s="24">
        <f t="shared" si="71"/>
        <v>1</v>
      </c>
      <c r="R380" s="715">
        <f t="shared" si="72"/>
        <v>0</v>
      </c>
      <c r="S380" s="361">
        <f t="shared" si="63"/>
        <v>0</v>
      </c>
    </row>
    <row r="381" spans="1:19">
      <c r="A381" s="159"/>
      <c r="B381" s="59"/>
      <c r="C381" s="24">
        <f t="shared" si="64"/>
        <v>1</v>
      </c>
      <c r="D381" s="719"/>
      <c r="E381" s="24">
        <f t="shared" si="65"/>
        <v>4.4999999999999998E-2</v>
      </c>
      <c r="F381" s="719"/>
      <c r="G381" s="24">
        <f t="shared" si="66"/>
        <v>0</v>
      </c>
      <c r="H381" s="719"/>
      <c r="I381" s="24">
        <f t="shared" si="67"/>
        <v>0.02</v>
      </c>
      <c r="J381" s="719"/>
      <c r="K381" s="24">
        <f t="shared" si="68"/>
        <v>0</v>
      </c>
      <c r="L381" s="719"/>
      <c r="M381" s="24">
        <f t="shared" si="69"/>
        <v>0.02</v>
      </c>
      <c r="N381" s="719"/>
      <c r="O381" s="24">
        <f t="shared" si="70"/>
        <v>1</v>
      </c>
      <c r="P381" s="719"/>
      <c r="Q381" s="24">
        <f t="shared" si="71"/>
        <v>1</v>
      </c>
      <c r="R381" s="715">
        <f t="shared" si="72"/>
        <v>0</v>
      </c>
      <c r="S381" s="361">
        <f t="shared" si="63"/>
        <v>0</v>
      </c>
    </row>
    <row r="382" spans="1:19">
      <c r="A382" s="159"/>
      <c r="B382" s="59"/>
      <c r="C382" s="24">
        <f t="shared" si="64"/>
        <v>1</v>
      </c>
      <c r="D382" s="719"/>
      <c r="E382" s="24">
        <f t="shared" si="65"/>
        <v>4.4999999999999998E-2</v>
      </c>
      <c r="F382" s="719"/>
      <c r="G382" s="24">
        <f t="shared" si="66"/>
        <v>0</v>
      </c>
      <c r="H382" s="719"/>
      <c r="I382" s="24">
        <f t="shared" si="67"/>
        <v>0.02</v>
      </c>
      <c r="J382" s="719"/>
      <c r="K382" s="24">
        <f t="shared" si="68"/>
        <v>0</v>
      </c>
      <c r="L382" s="719"/>
      <c r="M382" s="24">
        <f t="shared" si="69"/>
        <v>0.02</v>
      </c>
      <c r="N382" s="719"/>
      <c r="O382" s="24">
        <f t="shared" si="70"/>
        <v>1</v>
      </c>
      <c r="P382" s="719"/>
      <c r="Q382" s="24">
        <f t="shared" si="71"/>
        <v>1</v>
      </c>
      <c r="R382" s="715">
        <f t="shared" si="72"/>
        <v>0</v>
      </c>
      <c r="S382" s="361">
        <f t="shared" si="63"/>
        <v>0</v>
      </c>
    </row>
    <row r="383" spans="1:19">
      <c r="A383" s="159"/>
      <c r="B383" s="59"/>
      <c r="C383" s="24">
        <f t="shared" si="64"/>
        <v>1</v>
      </c>
      <c r="D383" s="719"/>
      <c r="E383" s="24">
        <f t="shared" si="65"/>
        <v>4.4999999999999998E-2</v>
      </c>
      <c r="F383" s="719"/>
      <c r="G383" s="24">
        <f t="shared" si="66"/>
        <v>0</v>
      </c>
      <c r="H383" s="719"/>
      <c r="I383" s="24">
        <f t="shared" si="67"/>
        <v>0.02</v>
      </c>
      <c r="J383" s="719"/>
      <c r="K383" s="24">
        <f t="shared" si="68"/>
        <v>0</v>
      </c>
      <c r="L383" s="719"/>
      <c r="M383" s="24">
        <f t="shared" si="69"/>
        <v>0.02</v>
      </c>
      <c r="N383" s="719"/>
      <c r="O383" s="24">
        <f t="shared" si="70"/>
        <v>1</v>
      </c>
      <c r="P383" s="719"/>
      <c r="Q383" s="24">
        <f t="shared" si="71"/>
        <v>1</v>
      </c>
      <c r="R383" s="715">
        <f t="shared" si="72"/>
        <v>0</v>
      </c>
      <c r="S383" s="361">
        <f t="shared" si="63"/>
        <v>0</v>
      </c>
    </row>
    <row r="384" spans="1:19">
      <c r="A384" s="159"/>
      <c r="B384" s="59"/>
      <c r="C384" s="24">
        <f t="shared" si="64"/>
        <v>1</v>
      </c>
      <c r="D384" s="719"/>
      <c r="E384" s="24">
        <f t="shared" si="65"/>
        <v>4.4999999999999998E-2</v>
      </c>
      <c r="F384" s="719"/>
      <c r="G384" s="24">
        <f t="shared" si="66"/>
        <v>0</v>
      </c>
      <c r="H384" s="719"/>
      <c r="I384" s="24">
        <f t="shared" si="67"/>
        <v>0.02</v>
      </c>
      <c r="J384" s="719"/>
      <c r="K384" s="24">
        <f t="shared" si="68"/>
        <v>0</v>
      </c>
      <c r="L384" s="719"/>
      <c r="M384" s="24">
        <f t="shared" si="69"/>
        <v>0.02</v>
      </c>
      <c r="N384" s="719"/>
      <c r="O384" s="24">
        <f t="shared" si="70"/>
        <v>1</v>
      </c>
      <c r="P384" s="719"/>
      <c r="Q384" s="24">
        <f t="shared" si="71"/>
        <v>1</v>
      </c>
      <c r="R384" s="715">
        <f t="shared" si="72"/>
        <v>0</v>
      </c>
      <c r="S384" s="361">
        <f t="shared" si="63"/>
        <v>0</v>
      </c>
    </row>
    <row r="385" spans="1:19">
      <c r="A385" s="159"/>
      <c r="B385" s="59"/>
      <c r="C385" s="24">
        <f t="shared" si="64"/>
        <v>1</v>
      </c>
      <c r="D385" s="719"/>
      <c r="E385" s="24">
        <f t="shared" si="65"/>
        <v>4.4999999999999998E-2</v>
      </c>
      <c r="F385" s="719"/>
      <c r="G385" s="24">
        <f t="shared" si="66"/>
        <v>0</v>
      </c>
      <c r="H385" s="719"/>
      <c r="I385" s="24">
        <f t="shared" si="67"/>
        <v>0.02</v>
      </c>
      <c r="J385" s="719"/>
      <c r="K385" s="24">
        <f t="shared" si="68"/>
        <v>0</v>
      </c>
      <c r="L385" s="719"/>
      <c r="M385" s="24">
        <f t="shared" si="69"/>
        <v>0.02</v>
      </c>
      <c r="N385" s="719"/>
      <c r="O385" s="24">
        <f t="shared" si="70"/>
        <v>1</v>
      </c>
      <c r="P385" s="719"/>
      <c r="Q385" s="24">
        <f t="shared" si="71"/>
        <v>1</v>
      </c>
      <c r="R385" s="715">
        <f t="shared" si="72"/>
        <v>0</v>
      </c>
      <c r="S385" s="361">
        <f t="shared" ref="S385:S422" si="73">ROUND(R385*B385/10000,0)</f>
        <v>0</v>
      </c>
    </row>
    <row r="386" spans="1:19">
      <c r="A386" s="159"/>
      <c r="B386" s="59"/>
      <c r="C386" s="24">
        <f t="shared" si="64"/>
        <v>1</v>
      </c>
      <c r="D386" s="719"/>
      <c r="E386" s="24">
        <f t="shared" si="65"/>
        <v>4.4999999999999998E-2</v>
      </c>
      <c r="F386" s="719"/>
      <c r="G386" s="24">
        <f t="shared" si="66"/>
        <v>0</v>
      </c>
      <c r="H386" s="719"/>
      <c r="I386" s="24">
        <f t="shared" si="67"/>
        <v>0.02</v>
      </c>
      <c r="J386" s="719"/>
      <c r="K386" s="24">
        <f t="shared" si="68"/>
        <v>0</v>
      </c>
      <c r="L386" s="719"/>
      <c r="M386" s="24">
        <f t="shared" si="69"/>
        <v>0.02</v>
      </c>
      <c r="N386" s="719"/>
      <c r="O386" s="24">
        <f t="shared" si="70"/>
        <v>1</v>
      </c>
      <c r="P386" s="719"/>
      <c r="Q386" s="24">
        <f t="shared" si="71"/>
        <v>1</v>
      </c>
      <c r="R386" s="715">
        <f t="shared" si="72"/>
        <v>0</v>
      </c>
      <c r="S386" s="361">
        <f t="shared" si="73"/>
        <v>0</v>
      </c>
    </row>
    <row r="387" spans="1:19">
      <c r="A387" s="159"/>
      <c r="B387" s="59"/>
      <c r="C387" s="24">
        <f t="shared" si="64"/>
        <v>1</v>
      </c>
      <c r="D387" s="719"/>
      <c r="E387" s="24">
        <f t="shared" si="65"/>
        <v>4.4999999999999998E-2</v>
      </c>
      <c r="F387" s="719"/>
      <c r="G387" s="24">
        <f t="shared" si="66"/>
        <v>0</v>
      </c>
      <c r="H387" s="719"/>
      <c r="I387" s="24">
        <f t="shared" si="67"/>
        <v>0.02</v>
      </c>
      <c r="J387" s="719"/>
      <c r="K387" s="24">
        <f t="shared" si="68"/>
        <v>0</v>
      </c>
      <c r="L387" s="719"/>
      <c r="M387" s="24">
        <f t="shared" si="69"/>
        <v>0.02</v>
      </c>
      <c r="N387" s="719"/>
      <c r="O387" s="24">
        <f t="shared" si="70"/>
        <v>1</v>
      </c>
      <c r="P387" s="719"/>
      <c r="Q387" s="24">
        <f t="shared" si="71"/>
        <v>1</v>
      </c>
      <c r="R387" s="715">
        <f t="shared" si="72"/>
        <v>0</v>
      </c>
      <c r="S387" s="361">
        <f t="shared" si="73"/>
        <v>0</v>
      </c>
    </row>
    <row r="388" spans="1:19">
      <c r="A388" s="159"/>
      <c r="B388" s="59"/>
      <c r="C388" s="24">
        <f t="shared" si="64"/>
        <v>1</v>
      </c>
      <c r="D388" s="719"/>
      <c r="E388" s="24">
        <f t="shared" si="65"/>
        <v>4.4999999999999998E-2</v>
      </c>
      <c r="F388" s="719"/>
      <c r="G388" s="24">
        <f t="shared" si="66"/>
        <v>0</v>
      </c>
      <c r="H388" s="719"/>
      <c r="I388" s="24">
        <f t="shared" si="67"/>
        <v>0.02</v>
      </c>
      <c r="J388" s="719"/>
      <c r="K388" s="24">
        <f t="shared" si="68"/>
        <v>0</v>
      </c>
      <c r="L388" s="719"/>
      <c r="M388" s="24">
        <f t="shared" si="69"/>
        <v>0.02</v>
      </c>
      <c r="N388" s="719"/>
      <c r="O388" s="24">
        <f t="shared" si="70"/>
        <v>1</v>
      </c>
      <c r="P388" s="719"/>
      <c r="Q388" s="24">
        <f t="shared" si="71"/>
        <v>1</v>
      </c>
      <c r="R388" s="715">
        <f t="shared" si="72"/>
        <v>0</v>
      </c>
      <c r="S388" s="361">
        <f t="shared" si="73"/>
        <v>0</v>
      </c>
    </row>
    <row r="389" spans="1:19">
      <c r="A389" s="159"/>
      <c r="B389" s="59"/>
      <c r="C389" s="24">
        <f t="shared" si="64"/>
        <v>1</v>
      </c>
      <c r="D389" s="719"/>
      <c r="E389" s="24">
        <f t="shared" si="65"/>
        <v>4.4999999999999998E-2</v>
      </c>
      <c r="F389" s="719"/>
      <c r="G389" s="24">
        <f t="shared" si="66"/>
        <v>0</v>
      </c>
      <c r="H389" s="719"/>
      <c r="I389" s="24">
        <f t="shared" si="67"/>
        <v>0.02</v>
      </c>
      <c r="J389" s="719"/>
      <c r="K389" s="24">
        <f t="shared" si="68"/>
        <v>0</v>
      </c>
      <c r="L389" s="719"/>
      <c r="M389" s="24">
        <f t="shared" si="69"/>
        <v>0.02</v>
      </c>
      <c r="N389" s="719"/>
      <c r="O389" s="24">
        <f t="shared" si="70"/>
        <v>1</v>
      </c>
      <c r="P389" s="719"/>
      <c r="Q389" s="24">
        <f t="shared" si="71"/>
        <v>1</v>
      </c>
      <c r="R389" s="715">
        <f t="shared" si="72"/>
        <v>0</v>
      </c>
      <c r="S389" s="361">
        <f t="shared" si="73"/>
        <v>0</v>
      </c>
    </row>
    <row r="390" spans="1:19">
      <c r="A390" s="159"/>
      <c r="B390" s="59"/>
      <c r="C390" s="24">
        <f t="shared" si="64"/>
        <v>1</v>
      </c>
      <c r="D390" s="719"/>
      <c r="E390" s="24">
        <f t="shared" si="65"/>
        <v>4.4999999999999998E-2</v>
      </c>
      <c r="F390" s="719"/>
      <c r="G390" s="24">
        <f t="shared" si="66"/>
        <v>0</v>
      </c>
      <c r="H390" s="719"/>
      <c r="I390" s="24">
        <f t="shared" si="67"/>
        <v>0.02</v>
      </c>
      <c r="J390" s="719"/>
      <c r="K390" s="24">
        <f t="shared" si="68"/>
        <v>0</v>
      </c>
      <c r="L390" s="719"/>
      <c r="M390" s="24">
        <f t="shared" si="69"/>
        <v>0.02</v>
      </c>
      <c r="N390" s="719"/>
      <c r="O390" s="24">
        <f t="shared" si="70"/>
        <v>1</v>
      </c>
      <c r="P390" s="719"/>
      <c r="Q390" s="24">
        <f t="shared" si="71"/>
        <v>1</v>
      </c>
      <c r="R390" s="715">
        <f t="shared" si="72"/>
        <v>0</v>
      </c>
      <c r="S390" s="361">
        <f t="shared" si="73"/>
        <v>0</v>
      </c>
    </row>
    <row r="391" spans="1:19">
      <c r="A391" s="159"/>
      <c r="B391" s="59"/>
      <c r="C391" s="24">
        <f t="shared" si="64"/>
        <v>1</v>
      </c>
      <c r="D391" s="719"/>
      <c r="E391" s="24">
        <f t="shared" si="65"/>
        <v>4.4999999999999998E-2</v>
      </c>
      <c r="F391" s="719"/>
      <c r="G391" s="24">
        <f t="shared" si="66"/>
        <v>0</v>
      </c>
      <c r="H391" s="719"/>
      <c r="I391" s="24">
        <f t="shared" si="67"/>
        <v>0.02</v>
      </c>
      <c r="J391" s="719"/>
      <c r="K391" s="24">
        <f t="shared" si="68"/>
        <v>0</v>
      </c>
      <c r="L391" s="719"/>
      <c r="M391" s="24">
        <f t="shared" si="69"/>
        <v>0.02</v>
      </c>
      <c r="N391" s="719"/>
      <c r="O391" s="24">
        <f t="shared" si="70"/>
        <v>1</v>
      </c>
      <c r="P391" s="719"/>
      <c r="Q391" s="24">
        <f t="shared" si="71"/>
        <v>1</v>
      </c>
      <c r="R391" s="715">
        <f t="shared" si="72"/>
        <v>0</v>
      </c>
      <c r="S391" s="361">
        <f t="shared" si="73"/>
        <v>0</v>
      </c>
    </row>
    <row r="392" spans="1:19">
      <c r="A392" s="159"/>
      <c r="B392" s="59"/>
      <c r="C392" s="24">
        <f t="shared" si="64"/>
        <v>1</v>
      </c>
      <c r="D392" s="719"/>
      <c r="E392" s="24">
        <f t="shared" si="65"/>
        <v>4.4999999999999998E-2</v>
      </c>
      <c r="F392" s="719"/>
      <c r="G392" s="24">
        <f t="shared" si="66"/>
        <v>0</v>
      </c>
      <c r="H392" s="719"/>
      <c r="I392" s="24">
        <f t="shared" si="67"/>
        <v>0.02</v>
      </c>
      <c r="J392" s="719"/>
      <c r="K392" s="24">
        <f t="shared" si="68"/>
        <v>0</v>
      </c>
      <c r="L392" s="719"/>
      <c r="M392" s="24">
        <f t="shared" si="69"/>
        <v>0.02</v>
      </c>
      <c r="N392" s="719"/>
      <c r="O392" s="24">
        <f t="shared" si="70"/>
        <v>1</v>
      </c>
      <c r="P392" s="719"/>
      <c r="Q392" s="24">
        <f t="shared" si="71"/>
        <v>1</v>
      </c>
      <c r="R392" s="715">
        <f t="shared" si="72"/>
        <v>0</v>
      </c>
      <c r="S392" s="361">
        <f t="shared" si="73"/>
        <v>0</v>
      </c>
    </row>
    <row r="393" spans="1:19">
      <c r="A393" s="159"/>
      <c r="B393" s="59"/>
      <c r="C393" s="24">
        <f t="shared" si="64"/>
        <v>1</v>
      </c>
      <c r="D393" s="719"/>
      <c r="E393" s="24">
        <f t="shared" si="65"/>
        <v>4.4999999999999998E-2</v>
      </c>
      <c r="F393" s="719"/>
      <c r="G393" s="24">
        <f t="shared" si="66"/>
        <v>0</v>
      </c>
      <c r="H393" s="719"/>
      <c r="I393" s="24">
        <f t="shared" si="67"/>
        <v>0.02</v>
      </c>
      <c r="J393" s="719"/>
      <c r="K393" s="24">
        <f t="shared" si="68"/>
        <v>0</v>
      </c>
      <c r="L393" s="719"/>
      <c r="M393" s="24">
        <f t="shared" si="69"/>
        <v>0.02</v>
      </c>
      <c r="N393" s="719"/>
      <c r="O393" s="24">
        <f t="shared" si="70"/>
        <v>1</v>
      </c>
      <c r="P393" s="719"/>
      <c r="Q393" s="24">
        <f t="shared" si="71"/>
        <v>1</v>
      </c>
      <c r="R393" s="715">
        <f t="shared" si="72"/>
        <v>0</v>
      </c>
      <c r="S393" s="361">
        <f t="shared" si="73"/>
        <v>0</v>
      </c>
    </row>
    <row r="394" spans="1:19">
      <c r="A394" s="159"/>
      <c r="B394" s="59"/>
      <c r="C394" s="24">
        <f t="shared" si="64"/>
        <v>1</v>
      </c>
      <c r="D394" s="719"/>
      <c r="E394" s="24">
        <f t="shared" si="65"/>
        <v>4.4999999999999998E-2</v>
      </c>
      <c r="F394" s="719"/>
      <c r="G394" s="24">
        <f t="shared" si="66"/>
        <v>0</v>
      </c>
      <c r="H394" s="719"/>
      <c r="I394" s="24">
        <f t="shared" si="67"/>
        <v>0.02</v>
      </c>
      <c r="J394" s="719"/>
      <c r="K394" s="24">
        <f t="shared" si="68"/>
        <v>0</v>
      </c>
      <c r="L394" s="719"/>
      <c r="M394" s="24">
        <f t="shared" si="69"/>
        <v>0.02</v>
      </c>
      <c r="N394" s="719"/>
      <c r="O394" s="24">
        <f t="shared" si="70"/>
        <v>1</v>
      </c>
      <c r="P394" s="719"/>
      <c r="Q394" s="24">
        <f t="shared" si="71"/>
        <v>1</v>
      </c>
      <c r="R394" s="715">
        <f t="shared" si="72"/>
        <v>0</v>
      </c>
      <c r="S394" s="361">
        <f t="shared" si="73"/>
        <v>0</v>
      </c>
    </row>
    <row r="395" spans="1:19">
      <c r="A395" s="159"/>
      <c r="B395" s="59"/>
      <c r="C395" s="24">
        <f t="shared" si="64"/>
        <v>1</v>
      </c>
      <c r="D395" s="719"/>
      <c r="E395" s="24">
        <f t="shared" si="65"/>
        <v>4.4999999999999998E-2</v>
      </c>
      <c r="F395" s="719"/>
      <c r="G395" s="24">
        <f t="shared" si="66"/>
        <v>0</v>
      </c>
      <c r="H395" s="719"/>
      <c r="I395" s="24">
        <f t="shared" si="67"/>
        <v>0.02</v>
      </c>
      <c r="J395" s="719"/>
      <c r="K395" s="24">
        <f t="shared" si="68"/>
        <v>0</v>
      </c>
      <c r="L395" s="719"/>
      <c r="M395" s="24">
        <f t="shared" si="69"/>
        <v>0.02</v>
      </c>
      <c r="N395" s="719"/>
      <c r="O395" s="24">
        <f t="shared" si="70"/>
        <v>1</v>
      </c>
      <c r="P395" s="719"/>
      <c r="Q395" s="24">
        <f t="shared" si="71"/>
        <v>1</v>
      </c>
      <c r="R395" s="715">
        <f t="shared" si="72"/>
        <v>0</v>
      </c>
      <c r="S395" s="361">
        <f t="shared" si="73"/>
        <v>0</v>
      </c>
    </row>
    <row r="396" spans="1:19">
      <c r="A396" s="159"/>
      <c r="B396" s="59"/>
      <c r="C396" s="24">
        <f t="shared" si="64"/>
        <v>1</v>
      </c>
      <c r="D396" s="719"/>
      <c r="E396" s="24">
        <f t="shared" si="65"/>
        <v>4.4999999999999998E-2</v>
      </c>
      <c r="F396" s="719"/>
      <c r="G396" s="24">
        <f t="shared" si="66"/>
        <v>0</v>
      </c>
      <c r="H396" s="719"/>
      <c r="I396" s="24">
        <f t="shared" si="67"/>
        <v>0.02</v>
      </c>
      <c r="J396" s="719"/>
      <c r="K396" s="24">
        <f t="shared" si="68"/>
        <v>0</v>
      </c>
      <c r="L396" s="719"/>
      <c r="M396" s="24">
        <f t="shared" si="69"/>
        <v>0.02</v>
      </c>
      <c r="N396" s="719"/>
      <c r="O396" s="24">
        <f t="shared" si="70"/>
        <v>1</v>
      </c>
      <c r="P396" s="719"/>
      <c r="Q396" s="24">
        <f t="shared" si="71"/>
        <v>1</v>
      </c>
      <c r="R396" s="715">
        <f t="shared" si="72"/>
        <v>0</v>
      </c>
      <c r="S396" s="361">
        <f t="shared" si="73"/>
        <v>0</v>
      </c>
    </row>
    <row r="397" spans="1:19">
      <c r="A397" s="159"/>
      <c r="B397" s="59"/>
      <c r="C397" s="24">
        <f t="shared" si="64"/>
        <v>1</v>
      </c>
      <c r="D397" s="719"/>
      <c r="E397" s="24">
        <f t="shared" si="65"/>
        <v>4.4999999999999998E-2</v>
      </c>
      <c r="F397" s="719"/>
      <c r="G397" s="24">
        <f t="shared" si="66"/>
        <v>0</v>
      </c>
      <c r="H397" s="719"/>
      <c r="I397" s="24">
        <f t="shared" si="67"/>
        <v>0.02</v>
      </c>
      <c r="J397" s="719"/>
      <c r="K397" s="24">
        <f t="shared" si="68"/>
        <v>0</v>
      </c>
      <c r="L397" s="719"/>
      <c r="M397" s="24">
        <f t="shared" si="69"/>
        <v>0.02</v>
      </c>
      <c r="N397" s="719"/>
      <c r="O397" s="24">
        <f t="shared" si="70"/>
        <v>1</v>
      </c>
      <c r="P397" s="719"/>
      <c r="Q397" s="24">
        <f t="shared" si="71"/>
        <v>1</v>
      </c>
      <c r="R397" s="715">
        <f t="shared" si="72"/>
        <v>0</v>
      </c>
      <c r="S397" s="361">
        <f t="shared" si="73"/>
        <v>0</v>
      </c>
    </row>
    <row r="398" spans="1:19">
      <c r="A398" s="159"/>
      <c r="B398" s="59"/>
      <c r="C398" s="24">
        <f t="shared" si="64"/>
        <v>1</v>
      </c>
      <c r="D398" s="719"/>
      <c r="E398" s="24">
        <f t="shared" si="65"/>
        <v>4.4999999999999998E-2</v>
      </c>
      <c r="F398" s="719"/>
      <c r="G398" s="24">
        <f t="shared" si="66"/>
        <v>0</v>
      </c>
      <c r="H398" s="719"/>
      <c r="I398" s="24">
        <f t="shared" si="67"/>
        <v>0.02</v>
      </c>
      <c r="J398" s="719"/>
      <c r="K398" s="24">
        <f t="shared" si="68"/>
        <v>0</v>
      </c>
      <c r="L398" s="719"/>
      <c r="M398" s="24">
        <f t="shared" si="69"/>
        <v>0.02</v>
      </c>
      <c r="N398" s="719"/>
      <c r="O398" s="24">
        <f t="shared" si="70"/>
        <v>1</v>
      </c>
      <c r="P398" s="719"/>
      <c r="Q398" s="24">
        <f t="shared" si="71"/>
        <v>1</v>
      </c>
      <c r="R398" s="715">
        <f t="shared" si="72"/>
        <v>0</v>
      </c>
      <c r="S398" s="361">
        <f t="shared" si="73"/>
        <v>0</v>
      </c>
    </row>
    <row r="399" spans="1:19">
      <c r="A399" s="159"/>
      <c r="B399" s="59"/>
      <c r="C399" s="24">
        <f t="shared" si="64"/>
        <v>1</v>
      </c>
      <c r="D399" s="719"/>
      <c r="E399" s="24">
        <f t="shared" si="65"/>
        <v>4.4999999999999998E-2</v>
      </c>
      <c r="F399" s="719"/>
      <c r="G399" s="24">
        <f t="shared" si="66"/>
        <v>0</v>
      </c>
      <c r="H399" s="719"/>
      <c r="I399" s="24">
        <f t="shared" si="67"/>
        <v>0.02</v>
      </c>
      <c r="J399" s="719"/>
      <c r="K399" s="24">
        <f t="shared" si="68"/>
        <v>0</v>
      </c>
      <c r="L399" s="719"/>
      <c r="M399" s="24">
        <f t="shared" si="69"/>
        <v>0.02</v>
      </c>
      <c r="N399" s="719"/>
      <c r="O399" s="24">
        <f t="shared" si="70"/>
        <v>1</v>
      </c>
      <c r="P399" s="719"/>
      <c r="Q399" s="24">
        <f t="shared" si="71"/>
        <v>1</v>
      </c>
      <c r="R399" s="715">
        <f t="shared" si="72"/>
        <v>0</v>
      </c>
      <c r="S399" s="361">
        <f t="shared" si="73"/>
        <v>0</v>
      </c>
    </row>
    <row r="400" spans="1:19">
      <c r="A400" s="159"/>
      <c r="B400" s="59"/>
      <c r="C400" s="24">
        <f t="shared" si="64"/>
        <v>1</v>
      </c>
      <c r="D400" s="719"/>
      <c r="E400" s="24">
        <f t="shared" si="65"/>
        <v>4.4999999999999998E-2</v>
      </c>
      <c r="F400" s="719"/>
      <c r="G400" s="24">
        <f t="shared" si="66"/>
        <v>0</v>
      </c>
      <c r="H400" s="719"/>
      <c r="I400" s="24">
        <f t="shared" si="67"/>
        <v>0.02</v>
      </c>
      <c r="J400" s="719"/>
      <c r="K400" s="24">
        <f t="shared" si="68"/>
        <v>0</v>
      </c>
      <c r="L400" s="719"/>
      <c r="M400" s="24">
        <f t="shared" si="69"/>
        <v>0.02</v>
      </c>
      <c r="N400" s="719"/>
      <c r="O400" s="24">
        <f t="shared" si="70"/>
        <v>1</v>
      </c>
      <c r="P400" s="719"/>
      <c r="Q400" s="24">
        <f t="shared" si="71"/>
        <v>1</v>
      </c>
      <c r="R400" s="715">
        <f t="shared" si="72"/>
        <v>0</v>
      </c>
      <c r="S400" s="361">
        <f t="shared" si="73"/>
        <v>0</v>
      </c>
    </row>
    <row r="401" spans="1:19">
      <c r="A401" s="159"/>
      <c r="B401" s="59"/>
      <c r="C401" s="24">
        <f t="shared" si="64"/>
        <v>1</v>
      </c>
      <c r="D401" s="719"/>
      <c r="E401" s="24">
        <f t="shared" si="65"/>
        <v>4.4999999999999998E-2</v>
      </c>
      <c r="F401" s="719"/>
      <c r="G401" s="24">
        <f t="shared" si="66"/>
        <v>0</v>
      </c>
      <c r="H401" s="719"/>
      <c r="I401" s="24">
        <f t="shared" si="67"/>
        <v>0.02</v>
      </c>
      <c r="J401" s="719"/>
      <c r="K401" s="24">
        <f t="shared" si="68"/>
        <v>0</v>
      </c>
      <c r="L401" s="719"/>
      <c r="M401" s="24">
        <f t="shared" si="69"/>
        <v>0.02</v>
      </c>
      <c r="N401" s="719"/>
      <c r="O401" s="24">
        <f t="shared" si="70"/>
        <v>1</v>
      </c>
      <c r="P401" s="719"/>
      <c r="Q401" s="24">
        <f t="shared" si="71"/>
        <v>1</v>
      </c>
      <c r="R401" s="715">
        <f t="shared" si="72"/>
        <v>0</v>
      </c>
      <c r="S401" s="361">
        <f t="shared" si="73"/>
        <v>0</v>
      </c>
    </row>
    <row r="402" spans="1:19">
      <c r="A402" s="159"/>
      <c r="B402" s="59"/>
      <c r="C402" s="24">
        <f t="shared" si="64"/>
        <v>1</v>
      </c>
      <c r="D402" s="719"/>
      <c r="E402" s="24">
        <f t="shared" si="65"/>
        <v>4.4999999999999998E-2</v>
      </c>
      <c r="F402" s="719"/>
      <c r="G402" s="24">
        <f t="shared" si="66"/>
        <v>0</v>
      </c>
      <c r="H402" s="719"/>
      <c r="I402" s="24">
        <f t="shared" si="67"/>
        <v>0.02</v>
      </c>
      <c r="J402" s="719"/>
      <c r="K402" s="24">
        <f t="shared" si="68"/>
        <v>0</v>
      </c>
      <c r="L402" s="719"/>
      <c r="M402" s="24">
        <f t="shared" si="69"/>
        <v>0.02</v>
      </c>
      <c r="N402" s="719"/>
      <c r="O402" s="24">
        <f t="shared" si="70"/>
        <v>1</v>
      </c>
      <c r="P402" s="719"/>
      <c r="Q402" s="24">
        <f t="shared" si="71"/>
        <v>1</v>
      </c>
      <c r="R402" s="715">
        <f t="shared" si="72"/>
        <v>0</v>
      </c>
      <c r="S402" s="361">
        <f t="shared" si="73"/>
        <v>0</v>
      </c>
    </row>
    <row r="403" spans="1:19">
      <c r="A403" s="159"/>
      <c r="B403" s="59"/>
      <c r="C403" s="24">
        <f t="shared" si="64"/>
        <v>1</v>
      </c>
      <c r="D403" s="719"/>
      <c r="E403" s="24">
        <f t="shared" si="65"/>
        <v>4.4999999999999998E-2</v>
      </c>
      <c r="F403" s="719"/>
      <c r="G403" s="24">
        <f t="shared" si="66"/>
        <v>0</v>
      </c>
      <c r="H403" s="719"/>
      <c r="I403" s="24">
        <f t="shared" si="67"/>
        <v>0.02</v>
      </c>
      <c r="J403" s="719"/>
      <c r="K403" s="24">
        <f t="shared" si="68"/>
        <v>0</v>
      </c>
      <c r="L403" s="719"/>
      <c r="M403" s="24">
        <f t="shared" si="69"/>
        <v>0.02</v>
      </c>
      <c r="N403" s="719"/>
      <c r="O403" s="24">
        <f t="shared" si="70"/>
        <v>1</v>
      </c>
      <c r="P403" s="719"/>
      <c r="Q403" s="24">
        <f t="shared" si="71"/>
        <v>1</v>
      </c>
      <c r="R403" s="715">
        <f t="shared" si="72"/>
        <v>0</v>
      </c>
      <c r="S403" s="361">
        <f t="shared" si="73"/>
        <v>0</v>
      </c>
    </row>
    <row r="404" spans="1:19">
      <c r="A404" s="159"/>
      <c r="B404" s="59"/>
      <c r="C404" s="24">
        <f t="shared" si="64"/>
        <v>1</v>
      </c>
      <c r="D404" s="719"/>
      <c r="E404" s="24">
        <f t="shared" si="65"/>
        <v>4.4999999999999998E-2</v>
      </c>
      <c r="F404" s="719"/>
      <c r="G404" s="24">
        <f t="shared" si="66"/>
        <v>0</v>
      </c>
      <c r="H404" s="719"/>
      <c r="I404" s="24">
        <f t="shared" si="67"/>
        <v>0.02</v>
      </c>
      <c r="J404" s="719"/>
      <c r="K404" s="24">
        <f t="shared" si="68"/>
        <v>0</v>
      </c>
      <c r="L404" s="719"/>
      <c r="M404" s="24">
        <f t="shared" si="69"/>
        <v>0.02</v>
      </c>
      <c r="N404" s="719"/>
      <c r="O404" s="24">
        <f t="shared" si="70"/>
        <v>1</v>
      </c>
      <c r="P404" s="719"/>
      <c r="Q404" s="24">
        <f t="shared" si="71"/>
        <v>1</v>
      </c>
      <c r="R404" s="715">
        <f t="shared" si="72"/>
        <v>0</v>
      </c>
      <c r="S404" s="361">
        <f t="shared" si="73"/>
        <v>0</v>
      </c>
    </row>
    <row r="405" spans="1:19">
      <c r="A405" s="159"/>
      <c r="B405" s="59"/>
      <c r="C405" s="24">
        <f t="shared" si="64"/>
        <v>1</v>
      </c>
      <c r="D405" s="719"/>
      <c r="E405" s="24">
        <f t="shared" si="65"/>
        <v>4.4999999999999998E-2</v>
      </c>
      <c r="F405" s="719"/>
      <c r="G405" s="24">
        <f t="shared" si="66"/>
        <v>0</v>
      </c>
      <c r="H405" s="719"/>
      <c r="I405" s="24">
        <f t="shared" si="67"/>
        <v>0.02</v>
      </c>
      <c r="J405" s="719"/>
      <c r="K405" s="24">
        <f t="shared" si="68"/>
        <v>0</v>
      </c>
      <c r="L405" s="719"/>
      <c r="M405" s="24">
        <f t="shared" si="69"/>
        <v>0.02</v>
      </c>
      <c r="N405" s="719"/>
      <c r="O405" s="24">
        <f t="shared" si="70"/>
        <v>1</v>
      </c>
      <c r="P405" s="719"/>
      <c r="Q405" s="24">
        <f t="shared" si="71"/>
        <v>1</v>
      </c>
      <c r="R405" s="715">
        <f t="shared" si="72"/>
        <v>0</v>
      </c>
      <c r="S405" s="361">
        <f t="shared" si="73"/>
        <v>0</v>
      </c>
    </row>
    <row r="406" spans="1:19">
      <c r="A406" s="159"/>
      <c r="B406" s="59"/>
      <c r="C406" s="24">
        <f t="shared" si="64"/>
        <v>1</v>
      </c>
      <c r="D406" s="719"/>
      <c r="E406" s="24">
        <f t="shared" si="65"/>
        <v>4.4999999999999998E-2</v>
      </c>
      <c r="F406" s="719"/>
      <c r="G406" s="24">
        <f t="shared" si="66"/>
        <v>0</v>
      </c>
      <c r="H406" s="719"/>
      <c r="I406" s="24">
        <f t="shared" si="67"/>
        <v>0.02</v>
      </c>
      <c r="J406" s="719"/>
      <c r="K406" s="24">
        <f t="shared" si="68"/>
        <v>0</v>
      </c>
      <c r="L406" s="719"/>
      <c r="M406" s="24">
        <f t="shared" si="69"/>
        <v>0.02</v>
      </c>
      <c r="N406" s="719"/>
      <c r="O406" s="24">
        <f t="shared" si="70"/>
        <v>1</v>
      </c>
      <c r="P406" s="719"/>
      <c r="Q406" s="24">
        <f t="shared" si="71"/>
        <v>1</v>
      </c>
      <c r="R406" s="715">
        <f t="shared" si="72"/>
        <v>0</v>
      </c>
      <c r="S406" s="361">
        <f t="shared" si="73"/>
        <v>0</v>
      </c>
    </row>
    <row r="407" spans="1:19">
      <c r="A407" s="159"/>
      <c r="B407" s="59"/>
      <c r="C407" s="24">
        <f t="shared" si="64"/>
        <v>1</v>
      </c>
      <c r="D407" s="719"/>
      <c r="E407" s="24">
        <f t="shared" si="65"/>
        <v>4.4999999999999998E-2</v>
      </c>
      <c r="F407" s="719"/>
      <c r="G407" s="24">
        <f t="shared" si="66"/>
        <v>0</v>
      </c>
      <c r="H407" s="719"/>
      <c r="I407" s="24">
        <f t="shared" si="67"/>
        <v>0.02</v>
      </c>
      <c r="J407" s="719"/>
      <c r="K407" s="24">
        <f t="shared" si="68"/>
        <v>0</v>
      </c>
      <c r="L407" s="719"/>
      <c r="M407" s="24">
        <f t="shared" si="69"/>
        <v>0.02</v>
      </c>
      <c r="N407" s="719"/>
      <c r="O407" s="24">
        <f t="shared" si="70"/>
        <v>1</v>
      </c>
      <c r="P407" s="719"/>
      <c r="Q407" s="24">
        <f t="shared" si="71"/>
        <v>1</v>
      </c>
      <c r="R407" s="715">
        <f t="shared" si="72"/>
        <v>0</v>
      </c>
      <c r="S407" s="361">
        <f t="shared" si="73"/>
        <v>0</v>
      </c>
    </row>
    <row r="408" spans="1:19">
      <c r="A408" s="159"/>
      <c r="B408" s="59"/>
      <c r="C408" s="24">
        <f t="shared" si="64"/>
        <v>1</v>
      </c>
      <c r="D408" s="719"/>
      <c r="E408" s="24">
        <f t="shared" si="65"/>
        <v>4.4999999999999998E-2</v>
      </c>
      <c r="F408" s="719"/>
      <c r="G408" s="24">
        <f t="shared" si="66"/>
        <v>0</v>
      </c>
      <c r="H408" s="719"/>
      <c r="I408" s="24">
        <f t="shared" si="67"/>
        <v>0.02</v>
      </c>
      <c r="J408" s="719"/>
      <c r="K408" s="24">
        <f t="shared" si="68"/>
        <v>0</v>
      </c>
      <c r="L408" s="719"/>
      <c r="M408" s="24">
        <f t="shared" si="69"/>
        <v>0.02</v>
      </c>
      <c r="N408" s="719"/>
      <c r="O408" s="24">
        <f t="shared" si="70"/>
        <v>1</v>
      </c>
      <c r="P408" s="719"/>
      <c r="Q408" s="24">
        <f t="shared" si="71"/>
        <v>1</v>
      </c>
      <c r="R408" s="715">
        <f t="shared" si="72"/>
        <v>0</v>
      </c>
      <c r="S408" s="361">
        <f t="shared" si="73"/>
        <v>0</v>
      </c>
    </row>
    <row r="409" spans="1:19">
      <c r="A409" s="159"/>
      <c r="B409" s="59"/>
      <c r="C409" s="24">
        <f t="shared" si="64"/>
        <v>1</v>
      </c>
      <c r="D409" s="719"/>
      <c r="E409" s="24">
        <f t="shared" si="65"/>
        <v>4.4999999999999998E-2</v>
      </c>
      <c r="F409" s="719"/>
      <c r="G409" s="24">
        <f t="shared" si="66"/>
        <v>0</v>
      </c>
      <c r="H409" s="719"/>
      <c r="I409" s="24">
        <f t="shared" si="67"/>
        <v>0.02</v>
      </c>
      <c r="J409" s="719"/>
      <c r="K409" s="24">
        <f t="shared" si="68"/>
        <v>0</v>
      </c>
      <c r="L409" s="719"/>
      <c r="M409" s="24">
        <f t="shared" si="69"/>
        <v>0.02</v>
      </c>
      <c r="N409" s="719"/>
      <c r="O409" s="24">
        <f t="shared" si="70"/>
        <v>1</v>
      </c>
      <c r="P409" s="719"/>
      <c r="Q409" s="24">
        <f t="shared" si="71"/>
        <v>1</v>
      </c>
      <c r="R409" s="715">
        <f t="shared" si="72"/>
        <v>0</v>
      </c>
      <c r="S409" s="361">
        <f t="shared" si="73"/>
        <v>0</v>
      </c>
    </row>
    <row r="410" spans="1:19">
      <c r="A410" s="159"/>
      <c r="B410" s="59"/>
      <c r="C410" s="24">
        <f t="shared" ref="C410:C473" si="74">IF(B410="",1,(LOOKUP(B410,$3:$3,$4:$4)-LOOKUP($B$24,$3:$3,$4:$4)+100)/100)</f>
        <v>1</v>
      </c>
      <c r="D410" s="719"/>
      <c r="E410" s="24">
        <f t="shared" ref="E410:E473" si="75">(SUMIF($5:$5,D410,$6:$6)-SUMIF($5:$5,$D$24,$6:$6)+100)/100</f>
        <v>4.4999999999999998E-2</v>
      </c>
      <c r="F410" s="719"/>
      <c r="G410" s="24">
        <f t="shared" ref="G410:G473" si="76">(SUMIF($7:$7,F410,$8:$8)-SUMIF($7:$7,$F$24,$8:$8)+100)/100</f>
        <v>0</v>
      </c>
      <c r="H410" s="719"/>
      <c r="I410" s="24">
        <f t="shared" ref="I410:I473" si="77">(SUMIF($9:$9,H410,$10:$10)-SUMIF($9:$9,$H$24,$10:$10)+100)/100</f>
        <v>0.02</v>
      </c>
      <c r="J410" s="719"/>
      <c r="K410" s="24">
        <f t="shared" ref="K410:K473" si="78">(SUMIF($11:$11,J410,$12:$12)-SUMIF($11:$11,$J$24,$12:$12)+100)/100</f>
        <v>0</v>
      </c>
      <c r="L410" s="719"/>
      <c r="M410" s="24">
        <f t="shared" ref="M410:M473" si="79">(SUMIF($13:$13,L410,$14:$14)-SUMIF($13:$13,$L$24,$14:$14)+100)/100</f>
        <v>0.02</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1">
        <f t="shared" si="73"/>
        <v>0</v>
      </c>
    </row>
    <row r="411" spans="1:19">
      <c r="A411" s="159"/>
      <c r="B411" s="59"/>
      <c r="C411" s="24">
        <f t="shared" si="74"/>
        <v>1</v>
      </c>
      <c r="D411" s="719"/>
      <c r="E411" s="24">
        <f t="shared" si="75"/>
        <v>4.4999999999999998E-2</v>
      </c>
      <c r="F411" s="719"/>
      <c r="G411" s="24">
        <f t="shared" si="76"/>
        <v>0</v>
      </c>
      <c r="H411" s="719"/>
      <c r="I411" s="24">
        <f t="shared" si="77"/>
        <v>0.02</v>
      </c>
      <c r="J411" s="719"/>
      <c r="K411" s="24">
        <f t="shared" si="78"/>
        <v>0</v>
      </c>
      <c r="L411" s="719"/>
      <c r="M411" s="24">
        <f t="shared" si="79"/>
        <v>0.02</v>
      </c>
      <c r="N411" s="719"/>
      <c r="O411" s="24">
        <f t="shared" si="80"/>
        <v>1</v>
      </c>
      <c r="P411" s="719"/>
      <c r="Q411" s="24">
        <f t="shared" si="81"/>
        <v>1</v>
      </c>
      <c r="R411" s="715">
        <f t="shared" si="82"/>
        <v>0</v>
      </c>
      <c r="S411" s="361">
        <f t="shared" si="73"/>
        <v>0</v>
      </c>
    </row>
    <row r="412" spans="1:19">
      <c r="A412" s="159"/>
      <c r="B412" s="59"/>
      <c r="C412" s="24">
        <f t="shared" si="74"/>
        <v>1</v>
      </c>
      <c r="D412" s="719"/>
      <c r="E412" s="24">
        <f t="shared" si="75"/>
        <v>4.4999999999999998E-2</v>
      </c>
      <c r="F412" s="719"/>
      <c r="G412" s="24">
        <f t="shared" si="76"/>
        <v>0</v>
      </c>
      <c r="H412" s="719"/>
      <c r="I412" s="24">
        <f t="shared" si="77"/>
        <v>0.02</v>
      </c>
      <c r="J412" s="719"/>
      <c r="K412" s="24">
        <f t="shared" si="78"/>
        <v>0</v>
      </c>
      <c r="L412" s="719"/>
      <c r="M412" s="24">
        <f t="shared" si="79"/>
        <v>0.02</v>
      </c>
      <c r="N412" s="719"/>
      <c r="O412" s="24">
        <f t="shared" si="80"/>
        <v>1</v>
      </c>
      <c r="P412" s="719"/>
      <c r="Q412" s="24">
        <f t="shared" si="81"/>
        <v>1</v>
      </c>
      <c r="R412" s="715">
        <f t="shared" si="82"/>
        <v>0</v>
      </c>
      <c r="S412" s="361">
        <f t="shared" si="73"/>
        <v>0</v>
      </c>
    </row>
    <row r="413" spans="1:19">
      <c r="A413" s="159"/>
      <c r="B413" s="59"/>
      <c r="C413" s="24">
        <f t="shared" si="74"/>
        <v>1</v>
      </c>
      <c r="D413" s="719"/>
      <c r="E413" s="24">
        <f t="shared" si="75"/>
        <v>4.4999999999999998E-2</v>
      </c>
      <c r="F413" s="719"/>
      <c r="G413" s="24">
        <f t="shared" si="76"/>
        <v>0</v>
      </c>
      <c r="H413" s="719"/>
      <c r="I413" s="24">
        <f t="shared" si="77"/>
        <v>0.02</v>
      </c>
      <c r="J413" s="719"/>
      <c r="K413" s="24">
        <f t="shared" si="78"/>
        <v>0</v>
      </c>
      <c r="L413" s="719"/>
      <c r="M413" s="24">
        <f t="shared" si="79"/>
        <v>0.02</v>
      </c>
      <c r="N413" s="719"/>
      <c r="O413" s="24">
        <f t="shared" si="80"/>
        <v>1</v>
      </c>
      <c r="P413" s="719"/>
      <c r="Q413" s="24">
        <f t="shared" si="81"/>
        <v>1</v>
      </c>
      <c r="R413" s="715">
        <f t="shared" si="82"/>
        <v>0</v>
      </c>
      <c r="S413" s="361">
        <f t="shared" si="73"/>
        <v>0</v>
      </c>
    </row>
    <row r="414" spans="1:19">
      <c r="A414" s="159"/>
      <c r="B414" s="59"/>
      <c r="C414" s="24">
        <f t="shared" si="74"/>
        <v>1</v>
      </c>
      <c r="D414" s="719"/>
      <c r="E414" s="24">
        <f t="shared" si="75"/>
        <v>4.4999999999999998E-2</v>
      </c>
      <c r="F414" s="719"/>
      <c r="G414" s="24">
        <f t="shared" si="76"/>
        <v>0</v>
      </c>
      <c r="H414" s="719"/>
      <c r="I414" s="24">
        <f t="shared" si="77"/>
        <v>0.02</v>
      </c>
      <c r="J414" s="719"/>
      <c r="K414" s="24">
        <f t="shared" si="78"/>
        <v>0</v>
      </c>
      <c r="L414" s="719"/>
      <c r="M414" s="24">
        <f t="shared" si="79"/>
        <v>0.02</v>
      </c>
      <c r="N414" s="719"/>
      <c r="O414" s="24">
        <f t="shared" si="80"/>
        <v>1</v>
      </c>
      <c r="P414" s="719"/>
      <c r="Q414" s="24">
        <f t="shared" si="81"/>
        <v>1</v>
      </c>
      <c r="R414" s="715">
        <f t="shared" si="82"/>
        <v>0</v>
      </c>
      <c r="S414" s="361">
        <f t="shared" si="73"/>
        <v>0</v>
      </c>
    </row>
    <row r="415" spans="1:19">
      <c r="A415" s="159"/>
      <c r="B415" s="59"/>
      <c r="C415" s="24">
        <f t="shared" si="74"/>
        <v>1</v>
      </c>
      <c r="D415" s="719"/>
      <c r="E415" s="24">
        <f t="shared" si="75"/>
        <v>4.4999999999999998E-2</v>
      </c>
      <c r="F415" s="719"/>
      <c r="G415" s="24">
        <f t="shared" si="76"/>
        <v>0</v>
      </c>
      <c r="H415" s="719"/>
      <c r="I415" s="24">
        <f t="shared" si="77"/>
        <v>0.02</v>
      </c>
      <c r="J415" s="719"/>
      <c r="K415" s="24">
        <f t="shared" si="78"/>
        <v>0</v>
      </c>
      <c r="L415" s="719"/>
      <c r="M415" s="24">
        <f t="shared" si="79"/>
        <v>0.02</v>
      </c>
      <c r="N415" s="719"/>
      <c r="O415" s="24">
        <f t="shared" si="80"/>
        <v>1</v>
      </c>
      <c r="P415" s="719"/>
      <c r="Q415" s="24">
        <f t="shared" si="81"/>
        <v>1</v>
      </c>
      <c r="R415" s="715">
        <f t="shared" si="82"/>
        <v>0</v>
      </c>
      <c r="S415" s="361">
        <f t="shared" si="73"/>
        <v>0</v>
      </c>
    </row>
    <row r="416" spans="1:19">
      <c r="A416" s="159"/>
      <c r="B416" s="59"/>
      <c r="C416" s="24">
        <f t="shared" si="74"/>
        <v>1</v>
      </c>
      <c r="D416" s="719"/>
      <c r="E416" s="24">
        <f t="shared" si="75"/>
        <v>4.4999999999999998E-2</v>
      </c>
      <c r="F416" s="719"/>
      <c r="G416" s="24">
        <f t="shared" si="76"/>
        <v>0</v>
      </c>
      <c r="H416" s="719"/>
      <c r="I416" s="24">
        <f t="shared" si="77"/>
        <v>0.02</v>
      </c>
      <c r="J416" s="719"/>
      <c r="K416" s="24">
        <f t="shared" si="78"/>
        <v>0</v>
      </c>
      <c r="L416" s="719"/>
      <c r="M416" s="24">
        <f t="shared" si="79"/>
        <v>0.02</v>
      </c>
      <c r="N416" s="719"/>
      <c r="O416" s="24">
        <f t="shared" si="80"/>
        <v>1</v>
      </c>
      <c r="P416" s="719"/>
      <c r="Q416" s="24">
        <f t="shared" si="81"/>
        <v>1</v>
      </c>
      <c r="R416" s="715">
        <f t="shared" si="82"/>
        <v>0</v>
      </c>
      <c r="S416" s="361">
        <f t="shared" si="73"/>
        <v>0</v>
      </c>
    </row>
    <row r="417" spans="1:19">
      <c r="A417" s="159"/>
      <c r="B417" s="59"/>
      <c r="C417" s="24">
        <f t="shared" si="74"/>
        <v>1</v>
      </c>
      <c r="D417" s="719"/>
      <c r="E417" s="24">
        <f t="shared" si="75"/>
        <v>4.4999999999999998E-2</v>
      </c>
      <c r="F417" s="719"/>
      <c r="G417" s="24">
        <f t="shared" si="76"/>
        <v>0</v>
      </c>
      <c r="H417" s="719"/>
      <c r="I417" s="24">
        <f t="shared" si="77"/>
        <v>0.02</v>
      </c>
      <c r="J417" s="719"/>
      <c r="K417" s="24">
        <f t="shared" si="78"/>
        <v>0</v>
      </c>
      <c r="L417" s="719"/>
      <c r="M417" s="24">
        <f t="shared" si="79"/>
        <v>0.02</v>
      </c>
      <c r="N417" s="719"/>
      <c r="O417" s="24">
        <f t="shared" si="80"/>
        <v>1</v>
      </c>
      <c r="P417" s="719"/>
      <c r="Q417" s="24">
        <f t="shared" si="81"/>
        <v>1</v>
      </c>
      <c r="R417" s="715">
        <f t="shared" si="82"/>
        <v>0</v>
      </c>
      <c r="S417" s="361">
        <f t="shared" si="73"/>
        <v>0</v>
      </c>
    </row>
    <row r="418" spans="1:19">
      <c r="A418" s="159"/>
      <c r="B418" s="59"/>
      <c r="C418" s="24">
        <f t="shared" si="74"/>
        <v>1</v>
      </c>
      <c r="D418" s="719"/>
      <c r="E418" s="24">
        <f t="shared" si="75"/>
        <v>4.4999999999999998E-2</v>
      </c>
      <c r="F418" s="719"/>
      <c r="G418" s="24">
        <f t="shared" si="76"/>
        <v>0</v>
      </c>
      <c r="H418" s="719"/>
      <c r="I418" s="24">
        <f t="shared" si="77"/>
        <v>0.02</v>
      </c>
      <c r="J418" s="719"/>
      <c r="K418" s="24">
        <f t="shared" si="78"/>
        <v>0</v>
      </c>
      <c r="L418" s="719"/>
      <c r="M418" s="24">
        <f t="shared" si="79"/>
        <v>0.02</v>
      </c>
      <c r="N418" s="719"/>
      <c r="O418" s="24">
        <f t="shared" si="80"/>
        <v>1</v>
      </c>
      <c r="P418" s="719"/>
      <c r="Q418" s="24">
        <f t="shared" si="81"/>
        <v>1</v>
      </c>
      <c r="R418" s="715">
        <f t="shared" si="82"/>
        <v>0</v>
      </c>
      <c r="S418" s="361">
        <f t="shared" si="73"/>
        <v>0</v>
      </c>
    </row>
    <row r="419" spans="1:19">
      <c r="A419" s="159"/>
      <c r="B419" s="59"/>
      <c r="C419" s="24">
        <f t="shared" si="74"/>
        <v>1</v>
      </c>
      <c r="D419" s="719"/>
      <c r="E419" s="24">
        <f t="shared" si="75"/>
        <v>4.4999999999999998E-2</v>
      </c>
      <c r="F419" s="719"/>
      <c r="G419" s="24">
        <f t="shared" si="76"/>
        <v>0</v>
      </c>
      <c r="H419" s="719"/>
      <c r="I419" s="24">
        <f t="shared" si="77"/>
        <v>0.02</v>
      </c>
      <c r="J419" s="719"/>
      <c r="K419" s="24">
        <f t="shared" si="78"/>
        <v>0</v>
      </c>
      <c r="L419" s="719"/>
      <c r="M419" s="24">
        <f t="shared" si="79"/>
        <v>0.02</v>
      </c>
      <c r="N419" s="719"/>
      <c r="O419" s="24">
        <f t="shared" si="80"/>
        <v>1</v>
      </c>
      <c r="P419" s="719"/>
      <c r="Q419" s="24">
        <f t="shared" si="81"/>
        <v>1</v>
      </c>
      <c r="R419" s="715">
        <f t="shared" si="82"/>
        <v>0</v>
      </c>
      <c r="S419" s="361">
        <f t="shared" si="73"/>
        <v>0</v>
      </c>
    </row>
    <row r="420" spans="1:19">
      <c r="A420" s="159"/>
      <c r="B420" s="59"/>
      <c r="C420" s="24">
        <f t="shared" si="74"/>
        <v>1</v>
      </c>
      <c r="D420" s="719"/>
      <c r="E420" s="24">
        <f t="shared" si="75"/>
        <v>4.4999999999999998E-2</v>
      </c>
      <c r="F420" s="719"/>
      <c r="G420" s="24">
        <f t="shared" si="76"/>
        <v>0</v>
      </c>
      <c r="H420" s="719"/>
      <c r="I420" s="24">
        <f t="shared" si="77"/>
        <v>0.02</v>
      </c>
      <c r="J420" s="719"/>
      <c r="K420" s="24">
        <f t="shared" si="78"/>
        <v>0</v>
      </c>
      <c r="L420" s="719"/>
      <c r="M420" s="24">
        <f t="shared" si="79"/>
        <v>0.02</v>
      </c>
      <c r="N420" s="719"/>
      <c r="O420" s="24">
        <f t="shared" si="80"/>
        <v>1</v>
      </c>
      <c r="P420" s="719"/>
      <c r="Q420" s="24">
        <f t="shared" si="81"/>
        <v>1</v>
      </c>
      <c r="R420" s="715">
        <f t="shared" si="82"/>
        <v>0</v>
      </c>
      <c r="S420" s="361">
        <f t="shared" si="73"/>
        <v>0</v>
      </c>
    </row>
    <row r="421" spans="1:19">
      <c r="A421" s="159"/>
      <c r="B421" s="59"/>
      <c r="C421" s="24">
        <f t="shared" si="74"/>
        <v>1</v>
      </c>
      <c r="D421" s="719"/>
      <c r="E421" s="24">
        <f t="shared" si="75"/>
        <v>4.4999999999999998E-2</v>
      </c>
      <c r="F421" s="719"/>
      <c r="G421" s="24">
        <f t="shared" si="76"/>
        <v>0</v>
      </c>
      <c r="H421" s="719"/>
      <c r="I421" s="24">
        <f t="shared" si="77"/>
        <v>0.02</v>
      </c>
      <c r="J421" s="719"/>
      <c r="K421" s="24">
        <f t="shared" si="78"/>
        <v>0</v>
      </c>
      <c r="L421" s="719"/>
      <c r="M421" s="24">
        <f t="shared" si="79"/>
        <v>0.02</v>
      </c>
      <c r="N421" s="719"/>
      <c r="O421" s="24">
        <f t="shared" si="80"/>
        <v>1</v>
      </c>
      <c r="P421" s="719"/>
      <c r="Q421" s="24">
        <f t="shared" si="81"/>
        <v>1</v>
      </c>
      <c r="R421" s="715">
        <f t="shared" si="82"/>
        <v>0</v>
      </c>
      <c r="S421" s="361">
        <f t="shared" si="73"/>
        <v>0</v>
      </c>
    </row>
    <row r="422" spans="1:19">
      <c r="A422" s="159"/>
      <c r="B422" s="59"/>
      <c r="C422" s="24">
        <f t="shared" si="74"/>
        <v>1</v>
      </c>
      <c r="D422" s="719"/>
      <c r="E422" s="24">
        <f t="shared" si="75"/>
        <v>4.4999999999999998E-2</v>
      </c>
      <c r="F422" s="719"/>
      <c r="G422" s="24">
        <f t="shared" si="76"/>
        <v>0</v>
      </c>
      <c r="H422" s="719"/>
      <c r="I422" s="24">
        <f t="shared" si="77"/>
        <v>0.02</v>
      </c>
      <c r="J422" s="719"/>
      <c r="K422" s="24">
        <f t="shared" si="78"/>
        <v>0</v>
      </c>
      <c r="L422" s="719"/>
      <c r="M422" s="24">
        <f t="shared" si="79"/>
        <v>0.02</v>
      </c>
      <c r="N422" s="719"/>
      <c r="O422" s="24">
        <f t="shared" si="80"/>
        <v>1</v>
      </c>
      <c r="P422" s="719"/>
      <c r="Q422" s="24">
        <f t="shared" si="81"/>
        <v>1</v>
      </c>
      <c r="R422" s="715">
        <f t="shared" si="82"/>
        <v>0</v>
      </c>
      <c r="S422" s="361">
        <f t="shared" si="73"/>
        <v>0</v>
      </c>
    </row>
    <row r="423" spans="1:19">
      <c r="A423" s="159"/>
      <c r="B423" s="59"/>
      <c r="C423" s="24">
        <f t="shared" si="74"/>
        <v>1</v>
      </c>
      <c r="D423" s="719"/>
      <c r="E423" s="24">
        <f t="shared" si="75"/>
        <v>4.4999999999999998E-2</v>
      </c>
      <c r="F423" s="719"/>
      <c r="G423" s="24">
        <f t="shared" si="76"/>
        <v>0</v>
      </c>
      <c r="H423" s="719"/>
      <c r="I423" s="24">
        <f t="shared" si="77"/>
        <v>0.02</v>
      </c>
      <c r="J423" s="719"/>
      <c r="K423" s="24">
        <f t="shared" si="78"/>
        <v>0</v>
      </c>
      <c r="L423" s="719"/>
      <c r="M423" s="24">
        <f t="shared" si="79"/>
        <v>0.02</v>
      </c>
      <c r="N423" s="719"/>
      <c r="O423" s="24">
        <f t="shared" si="80"/>
        <v>1</v>
      </c>
      <c r="P423" s="719"/>
      <c r="Q423" s="24">
        <f t="shared" si="81"/>
        <v>1</v>
      </c>
      <c r="R423" s="715">
        <f t="shared" si="82"/>
        <v>0</v>
      </c>
      <c r="S423" s="361">
        <f t="shared" ref="S423:S467" si="83">ROUND(R423*B423/10000,0)</f>
        <v>0</v>
      </c>
    </row>
    <row r="424" spans="1:19">
      <c r="A424" s="159"/>
      <c r="B424" s="59"/>
      <c r="C424" s="24">
        <f t="shared" si="74"/>
        <v>1</v>
      </c>
      <c r="D424" s="719"/>
      <c r="E424" s="24">
        <f t="shared" si="75"/>
        <v>4.4999999999999998E-2</v>
      </c>
      <c r="F424" s="719"/>
      <c r="G424" s="24">
        <f t="shared" si="76"/>
        <v>0</v>
      </c>
      <c r="H424" s="719"/>
      <c r="I424" s="24">
        <f t="shared" si="77"/>
        <v>0.02</v>
      </c>
      <c r="J424" s="719"/>
      <c r="K424" s="24">
        <f t="shared" si="78"/>
        <v>0</v>
      </c>
      <c r="L424" s="719"/>
      <c r="M424" s="24">
        <f t="shared" si="79"/>
        <v>0.02</v>
      </c>
      <c r="N424" s="719"/>
      <c r="O424" s="24">
        <f t="shared" si="80"/>
        <v>1</v>
      </c>
      <c r="P424" s="719"/>
      <c r="Q424" s="24">
        <f t="shared" si="81"/>
        <v>1</v>
      </c>
      <c r="R424" s="715">
        <f t="shared" si="82"/>
        <v>0</v>
      </c>
      <c r="S424" s="361">
        <f t="shared" si="83"/>
        <v>0</v>
      </c>
    </row>
    <row r="425" spans="1:19">
      <c r="A425" s="159"/>
      <c r="B425" s="59"/>
      <c r="C425" s="24">
        <f t="shared" si="74"/>
        <v>1</v>
      </c>
      <c r="D425" s="719"/>
      <c r="E425" s="24">
        <f t="shared" si="75"/>
        <v>4.4999999999999998E-2</v>
      </c>
      <c r="F425" s="719"/>
      <c r="G425" s="24">
        <f t="shared" si="76"/>
        <v>0</v>
      </c>
      <c r="H425" s="719"/>
      <c r="I425" s="24">
        <f t="shared" si="77"/>
        <v>0.02</v>
      </c>
      <c r="J425" s="719"/>
      <c r="K425" s="24">
        <f t="shared" si="78"/>
        <v>0</v>
      </c>
      <c r="L425" s="719"/>
      <c r="M425" s="24">
        <f t="shared" si="79"/>
        <v>0.02</v>
      </c>
      <c r="N425" s="719"/>
      <c r="O425" s="24">
        <f t="shared" si="80"/>
        <v>1</v>
      </c>
      <c r="P425" s="719"/>
      <c r="Q425" s="24">
        <f t="shared" si="81"/>
        <v>1</v>
      </c>
      <c r="R425" s="715">
        <f t="shared" si="82"/>
        <v>0</v>
      </c>
      <c r="S425" s="361">
        <f t="shared" si="83"/>
        <v>0</v>
      </c>
    </row>
    <row r="426" spans="1:19">
      <c r="A426" s="159"/>
      <c r="B426" s="59"/>
      <c r="C426" s="24">
        <f t="shared" si="74"/>
        <v>1</v>
      </c>
      <c r="D426" s="719"/>
      <c r="E426" s="24">
        <f t="shared" si="75"/>
        <v>4.4999999999999998E-2</v>
      </c>
      <c r="F426" s="719"/>
      <c r="G426" s="24">
        <f t="shared" si="76"/>
        <v>0</v>
      </c>
      <c r="H426" s="719"/>
      <c r="I426" s="24">
        <f t="shared" si="77"/>
        <v>0.02</v>
      </c>
      <c r="J426" s="719"/>
      <c r="K426" s="24">
        <f t="shared" si="78"/>
        <v>0</v>
      </c>
      <c r="L426" s="719"/>
      <c r="M426" s="24">
        <f t="shared" si="79"/>
        <v>0.02</v>
      </c>
      <c r="N426" s="719"/>
      <c r="O426" s="24">
        <f t="shared" si="80"/>
        <v>1</v>
      </c>
      <c r="P426" s="719"/>
      <c r="Q426" s="24">
        <f t="shared" si="81"/>
        <v>1</v>
      </c>
      <c r="R426" s="715">
        <f t="shared" si="82"/>
        <v>0</v>
      </c>
      <c r="S426" s="361">
        <f t="shared" si="83"/>
        <v>0</v>
      </c>
    </row>
    <row r="427" spans="1:19">
      <c r="A427" s="159"/>
      <c r="B427" s="59"/>
      <c r="C427" s="24">
        <f t="shared" si="74"/>
        <v>1</v>
      </c>
      <c r="D427" s="719"/>
      <c r="E427" s="24">
        <f t="shared" si="75"/>
        <v>4.4999999999999998E-2</v>
      </c>
      <c r="F427" s="719"/>
      <c r="G427" s="24">
        <f t="shared" si="76"/>
        <v>0</v>
      </c>
      <c r="H427" s="719"/>
      <c r="I427" s="24">
        <f t="shared" si="77"/>
        <v>0.02</v>
      </c>
      <c r="J427" s="719"/>
      <c r="K427" s="24">
        <f t="shared" si="78"/>
        <v>0</v>
      </c>
      <c r="L427" s="719"/>
      <c r="M427" s="24">
        <f t="shared" si="79"/>
        <v>0.02</v>
      </c>
      <c r="N427" s="719"/>
      <c r="O427" s="24">
        <f t="shared" si="80"/>
        <v>1</v>
      </c>
      <c r="P427" s="719"/>
      <c r="Q427" s="24">
        <f t="shared" si="81"/>
        <v>1</v>
      </c>
      <c r="R427" s="715">
        <f t="shared" si="82"/>
        <v>0</v>
      </c>
      <c r="S427" s="361">
        <f t="shared" si="83"/>
        <v>0</v>
      </c>
    </row>
    <row r="428" spans="1:19">
      <c r="A428" s="159"/>
      <c r="B428" s="59"/>
      <c r="C428" s="24">
        <f t="shared" si="74"/>
        <v>1</v>
      </c>
      <c r="D428" s="719"/>
      <c r="E428" s="24">
        <f t="shared" si="75"/>
        <v>4.4999999999999998E-2</v>
      </c>
      <c r="F428" s="719"/>
      <c r="G428" s="24">
        <f t="shared" si="76"/>
        <v>0</v>
      </c>
      <c r="H428" s="719"/>
      <c r="I428" s="24">
        <f t="shared" si="77"/>
        <v>0.02</v>
      </c>
      <c r="J428" s="719"/>
      <c r="K428" s="24">
        <f t="shared" si="78"/>
        <v>0</v>
      </c>
      <c r="L428" s="719"/>
      <c r="M428" s="24">
        <f t="shared" si="79"/>
        <v>0.02</v>
      </c>
      <c r="N428" s="719"/>
      <c r="O428" s="24">
        <f t="shared" si="80"/>
        <v>1</v>
      </c>
      <c r="P428" s="719"/>
      <c r="Q428" s="24">
        <f t="shared" si="81"/>
        <v>1</v>
      </c>
      <c r="R428" s="715">
        <f t="shared" si="82"/>
        <v>0</v>
      </c>
      <c r="S428" s="361">
        <f t="shared" si="83"/>
        <v>0</v>
      </c>
    </row>
    <row r="429" spans="1:19">
      <c r="A429" s="159"/>
      <c r="B429" s="59"/>
      <c r="C429" s="24">
        <f t="shared" si="74"/>
        <v>1</v>
      </c>
      <c r="D429" s="719"/>
      <c r="E429" s="24">
        <f t="shared" si="75"/>
        <v>4.4999999999999998E-2</v>
      </c>
      <c r="F429" s="719"/>
      <c r="G429" s="24">
        <f t="shared" si="76"/>
        <v>0</v>
      </c>
      <c r="H429" s="719"/>
      <c r="I429" s="24">
        <f t="shared" si="77"/>
        <v>0.02</v>
      </c>
      <c r="J429" s="719"/>
      <c r="K429" s="24">
        <f t="shared" si="78"/>
        <v>0</v>
      </c>
      <c r="L429" s="719"/>
      <c r="M429" s="24">
        <f t="shared" si="79"/>
        <v>0.02</v>
      </c>
      <c r="N429" s="719"/>
      <c r="O429" s="24">
        <f t="shared" si="80"/>
        <v>1</v>
      </c>
      <c r="P429" s="719"/>
      <c r="Q429" s="24">
        <f t="shared" si="81"/>
        <v>1</v>
      </c>
      <c r="R429" s="715">
        <f t="shared" si="82"/>
        <v>0</v>
      </c>
      <c r="S429" s="361">
        <f t="shared" si="83"/>
        <v>0</v>
      </c>
    </row>
    <row r="430" spans="1:19">
      <c r="A430" s="159"/>
      <c r="B430" s="59"/>
      <c r="C430" s="24">
        <f t="shared" si="74"/>
        <v>1</v>
      </c>
      <c r="D430" s="719"/>
      <c r="E430" s="24">
        <f t="shared" si="75"/>
        <v>4.4999999999999998E-2</v>
      </c>
      <c r="F430" s="719"/>
      <c r="G430" s="24">
        <f t="shared" si="76"/>
        <v>0</v>
      </c>
      <c r="H430" s="719"/>
      <c r="I430" s="24">
        <f t="shared" si="77"/>
        <v>0.02</v>
      </c>
      <c r="J430" s="719"/>
      <c r="K430" s="24">
        <f t="shared" si="78"/>
        <v>0</v>
      </c>
      <c r="L430" s="719"/>
      <c r="M430" s="24">
        <f t="shared" si="79"/>
        <v>0.02</v>
      </c>
      <c r="N430" s="719"/>
      <c r="O430" s="24">
        <f t="shared" si="80"/>
        <v>1</v>
      </c>
      <c r="P430" s="719"/>
      <c r="Q430" s="24">
        <f t="shared" si="81"/>
        <v>1</v>
      </c>
      <c r="R430" s="715">
        <f t="shared" si="82"/>
        <v>0</v>
      </c>
      <c r="S430" s="361">
        <f t="shared" si="83"/>
        <v>0</v>
      </c>
    </row>
    <row r="431" spans="1:19">
      <c r="A431" s="159"/>
      <c r="B431" s="59"/>
      <c r="C431" s="24">
        <f t="shared" si="74"/>
        <v>1</v>
      </c>
      <c r="D431" s="719"/>
      <c r="E431" s="24">
        <f t="shared" si="75"/>
        <v>4.4999999999999998E-2</v>
      </c>
      <c r="F431" s="719"/>
      <c r="G431" s="24">
        <f t="shared" si="76"/>
        <v>0</v>
      </c>
      <c r="H431" s="719"/>
      <c r="I431" s="24">
        <f t="shared" si="77"/>
        <v>0.02</v>
      </c>
      <c r="J431" s="719"/>
      <c r="K431" s="24">
        <f t="shared" si="78"/>
        <v>0</v>
      </c>
      <c r="L431" s="719"/>
      <c r="M431" s="24">
        <f t="shared" si="79"/>
        <v>0.02</v>
      </c>
      <c r="N431" s="719"/>
      <c r="O431" s="24">
        <f t="shared" si="80"/>
        <v>1</v>
      </c>
      <c r="P431" s="719"/>
      <c r="Q431" s="24">
        <f t="shared" si="81"/>
        <v>1</v>
      </c>
      <c r="R431" s="715">
        <f t="shared" si="82"/>
        <v>0</v>
      </c>
      <c r="S431" s="361">
        <f t="shared" si="83"/>
        <v>0</v>
      </c>
    </row>
    <row r="432" spans="1:19">
      <c r="A432" s="159"/>
      <c r="B432" s="59"/>
      <c r="C432" s="24">
        <f t="shared" si="74"/>
        <v>1</v>
      </c>
      <c r="D432" s="719"/>
      <c r="E432" s="24">
        <f t="shared" si="75"/>
        <v>4.4999999999999998E-2</v>
      </c>
      <c r="F432" s="719"/>
      <c r="G432" s="24">
        <f t="shared" si="76"/>
        <v>0</v>
      </c>
      <c r="H432" s="719"/>
      <c r="I432" s="24">
        <f t="shared" si="77"/>
        <v>0.02</v>
      </c>
      <c r="J432" s="719"/>
      <c r="K432" s="24">
        <f t="shared" si="78"/>
        <v>0</v>
      </c>
      <c r="L432" s="719"/>
      <c r="M432" s="24">
        <f t="shared" si="79"/>
        <v>0.02</v>
      </c>
      <c r="N432" s="719"/>
      <c r="O432" s="24">
        <f t="shared" si="80"/>
        <v>1</v>
      </c>
      <c r="P432" s="719"/>
      <c r="Q432" s="24">
        <f t="shared" si="81"/>
        <v>1</v>
      </c>
      <c r="R432" s="715">
        <f t="shared" si="82"/>
        <v>0</v>
      </c>
      <c r="S432" s="361">
        <f t="shared" si="83"/>
        <v>0</v>
      </c>
    </row>
    <row r="433" spans="1:19">
      <c r="A433" s="159"/>
      <c r="B433" s="59"/>
      <c r="C433" s="24">
        <f t="shared" si="74"/>
        <v>1</v>
      </c>
      <c r="D433" s="719"/>
      <c r="E433" s="24">
        <f t="shared" si="75"/>
        <v>4.4999999999999998E-2</v>
      </c>
      <c r="F433" s="719"/>
      <c r="G433" s="24">
        <f t="shared" si="76"/>
        <v>0</v>
      </c>
      <c r="H433" s="719"/>
      <c r="I433" s="24">
        <f t="shared" si="77"/>
        <v>0.02</v>
      </c>
      <c r="J433" s="719"/>
      <c r="K433" s="24">
        <f t="shared" si="78"/>
        <v>0</v>
      </c>
      <c r="L433" s="719"/>
      <c r="M433" s="24">
        <f t="shared" si="79"/>
        <v>0.02</v>
      </c>
      <c r="N433" s="719"/>
      <c r="O433" s="24">
        <f t="shared" si="80"/>
        <v>1</v>
      </c>
      <c r="P433" s="719"/>
      <c r="Q433" s="24">
        <f t="shared" si="81"/>
        <v>1</v>
      </c>
      <c r="R433" s="715">
        <f t="shared" si="82"/>
        <v>0</v>
      </c>
      <c r="S433" s="361">
        <f t="shared" si="83"/>
        <v>0</v>
      </c>
    </row>
    <row r="434" spans="1:19">
      <c r="A434" s="159"/>
      <c r="B434" s="59"/>
      <c r="C434" s="24">
        <f t="shared" si="74"/>
        <v>1</v>
      </c>
      <c r="D434" s="719"/>
      <c r="E434" s="24">
        <f t="shared" si="75"/>
        <v>4.4999999999999998E-2</v>
      </c>
      <c r="F434" s="719"/>
      <c r="G434" s="24">
        <f t="shared" si="76"/>
        <v>0</v>
      </c>
      <c r="H434" s="719"/>
      <c r="I434" s="24">
        <f t="shared" si="77"/>
        <v>0.02</v>
      </c>
      <c r="J434" s="719"/>
      <c r="K434" s="24">
        <f t="shared" si="78"/>
        <v>0</v>
      </c>
      <c r="L434" s="719"/>
      <c r="M434" s="24">
        <f t="shared" si="79"/>
        <v>0.02</v>
      </c>
      <c r="N434" s="719"/>
      <c r="O434" s="24">
        <f t="shared" si="80"/>
        <v>1</v>
      </c>
      <c r="P434" s="719"/>
      <c r="Q434" s="24">
        <f t="shared" si="81"/>
        <v>1</v>
      </c>
      <c r="R434" s="715">
        <f t="shared" si="82"/>
        <v>0</v>
      </c>
      <c r="S434" s="361">
        <f t="shared" si="83"/>
        <v>0</v>
      </c>
    </row>
    <row r="435" spans="1:19">
      <c r="A435" s="159"/>
      <c r="B435" s="59"/>
      <c r="C435" s="24">
        <f t="shared" si="74"/>
        <v>1</v>
      </c>
      <c r="D435" s="719"/>
      <c r="E435" s="24">
        <f t="shared" si="75"/>
        <v>4.4999999999999998E-2</v>
      </c>
      <c r="F435" s="719"/>
      <c r="G435" s="24">
        <f t="shared" si="76"/>
        <v>0</v>
      </c>
      <c r="H435" s="719"/>
      <c r="I435" s="24">
        <f t="shared" si="77"/>
        <v>0.02</v>
      </c>
      <c r="J435" s="719"/>
      <c r="K435" s="24">
        <f t="shared" si="78"/>
        <v>0</v>
      </c>
      <c r="L435" s="719"/>
      <c r="M435" s="24">
        <f t="shared" si="79"/>
        <v>0.02</v>
      </c>
      <c r="N435" s="719"/>
      <c r="O435" s="24">
        <f t="shared" si="80"/>
        <v>1</v>
      </c>
      <c r="P435" s="719"/>
      <c r="Q435" s="24">
        <f t="shared" si="81"/>
        <v>1</v>
      </c>
      <c r="R435" s="715">
        <f t="shared" si="82"/>
        <v>0</v>
      </c>
      <c r="S435" s="361">
        <f t="shared" si="83"/>
        <v>0</v>
      </c>
    </row>
    <row r="436" spans="1:19">
      <c r="A436" s="159"/>
      <c r="B436" s="59"/>
      <c r="C436" s="24">
        <f t="shared" si="74"/>
        <v>1</v>
      </c>
      <c r="D436" s="719"/>
      <c r="E436" s="24">
        <f t="shared" si="75"/>
        <v>4.4999999999999998E-2</v>
      </c>
      <c r="F436" s="719"/>
      <c r="G436" s="24">
        <f t="shared" si="76"/>
        <v>0</v>
      </c>
      <c r="H436" s="719"/>
      <c r="I436" s="24">
        <f t="shared" si="77"/>
        <v>0.02</v>
      </c>
      <c r="J436" s="719"/>
      <c r="K436" s="24">
        <f t="shared" si="78"/>
        <v>0</v>
      </c>
      <c r="L436" s="719"/>
      <c r="M436" s="24">
        <f t="shared" si="79"/>
        <v>0.02</v>
      </c>
      <c r="N436" s="719"/>
      <c r="O436" s="24">
        <f t="shared" si="80"/>
        <v>1</v>
      </c>
      <c r="P436" s="719"/>
      <c r="Q436" s="24">
        <f t="shared" si="81"/>
        <v>1</v>
      </c>
      <c r="R436" s="715">
        <f t="shared" si="82"/>
        <v>0</v>
      </c>
      <c r="S436" s="361">
        <f t="shared" si="83"/>
        <v>0</v>
      </c>
    </row>
    <row r="437" spans="1:19">
      <c r="A437" s="159"/>
      <c r="B437" s="59"/>
      <c r="C437" s="24">
        <f t="shared" si="74"/>
        <v>1</v>
      </c>
      <c r="D437" s="719"/>
      <c r="E437" s="24">
        <f t="shared" si="75"/>
        <v>4.4999999999999998E-2</v>
      </c>
      <c r="F437" s="719"/>
      <c r="G437" s="24">
        <f t="shared" si="76"/>
        <v>0</v>
      </c>
      <c r="H437" s="719"/>
      <c r="I437" s="24">
        <f t="shared" si="77"/>
        <v>0.02</v>
      </c>
      <c r="J437" s="719"/>
      <c r="K437" s="24">
        <f t="shared" si="78"/>
        <v>0</v>
      </c>
      <c r="L437" s="719"/>
      <c r="M437" s="24">
        <f t="shared" si="79"/>
        <v>0.02</v>
      </c>
      <c r="N437" s="719"/>
      <c r="O437" s="24">
        <f t="shared" si="80"/>
        <v>1</v>
      </c>
      <c r="P437" s="719"/>
      <c r="Q437" s="24">
        <f t="shared" si="81"/>
        <v>1</v>
      </c>
      <c r="R437" s="715">
        <f t="shared" si="82"/>
        <v>0</v>
      </c>
      <c r="S437" s="361">
        <f t="shared" si="83"/>
        <v>0</v>
      </c>
    </row>
    <row r="438" spans="1:19">
      <c r="A438" s="159"/>
      <c r="B438" s="59"/>
      <c r="C438" s="24">
        <f t="shared" si="74"/>
        <v>1</v>
      </c>
      <c r="D438" s="719"/>
      <c r="E438" s="24">
        <f t="shared" si="75"/>
        <v>4.4999999999999998E-2</v>
      </c>
      <c r="F438" s="719"/>
      <c r="G438" s="24">
        <f t="shared" si="76"/>
        <v>0</v>
      </c>
      <c r="H438" s="719"/>
      <c r="I438" s="24">
        <f t="shared" si="77"/>
        <v>0.02</v>
      </c>
      <c r="J438" s="719"/>
      <c r="K438" s="24">
        <f t="shared" si="78"/>
        <v>0</v>
      </c>
      <c r="L438" s="719"/>
      <c r="M438" s="24">
        <f t="shared" si="79"/>
        <v>0.02</v>
      </c>
      <c r="N438" s="719"/>
      <c r="O438" s="24">
        <f t="shared" si="80"/>
        <v>1</v>
      </c>
      <c r="P438" s="719"/>
      <c r="Q438" s="24">
        <f t="shared" si="81"/>
        <v>1</v>
      </c>
      <c r="R438" s="715">
        <f t="shared" si="82"/>
        <v>0</v>
      </c>
      <c r="S438" s="361">
        <f t="shared" si="83"/>
        <v>0</v>
      </c>
    </row>
    <row r="439" spans="1:19">
      <c r="A439" s="159"/>
      <c r="B439" s="59"/>
      <c r="C439" s="24">
        <f t="shared" si="74"/>
        <v>1</v>
      </c>
      <c r="D439" s="719"/>
      <c r="E439" s="24">
        <f t="shared" si="75"/>
        <v>4.4999999999999998E-2</v>
      </c>
      <c r="F439" s="719"/>
      <c r="G439" s="24">
        <f t="shared" si="76"/>
        <v>0</v>
      </c>
      <c r="H439" s="719"/>
      <c r="I439" s="24">
        <f t="shared" si="77"/>
        <v>0.02</v>
      </c>
      <c r="J439" s="719"/>
      <c r="K439" s="24">
        <f t="shared" si="78"/>
        <v>0</v>
      </c>
      <c r="L439" s="719"/>
      <c r="M439" s="24">
        <f t="shared" si="79"/>
        <v>0.02</v>
      </c>
      <c r="N439" s="719"/>
      <c r="O439" s="24">
        <f t="shared" si="80"/>
        <v>1</v>
      </c>
      <c r="P439" s="719"/>
      <c r="Q439" s="24">
        <f t="shared" si="81"/>
        <v>1</v>
      </c>
      <c r="R439" s="715">
        <f t="shared" si="82"/>
        <v>0</v>
      </c>
      <c r="S439" s="361">
        <f t="shared" si="83"/>
        <v>0</v>
      </c>
    </row>
    <row r="440" spans="1:19">
      <c r="A440" s="159"/>
      <c r="B440" s="59"/>
      <c r="C440" s="24">
        <f t="shared" si="74"/>
        <v>1</v>
      </c>
      <c r="D440" s="719"/>
      <c r="E440" s="24">
        <f t="shared" si="75"/>
        <v>4.4999999999999998E-2</v>
      </c>
      <c r="F440" s="719"/>
      <c r="G440" s="24">
        <f t="shared" si="76"/>
        <v>0</v>
      </c>
      <c r="H440" s="719"/>
      <c r="I440" s="24">
        <f t="shared" si="77"/>
        <v>0.02</v>
      </c>
      <c r="J440" s="719"/>
      <c r="K440" s="24">
        <f t="shared" si="78"/>
        <v>0</v>
      </c>
      <c r="L440" s="719"/>
      <c r="M440" s="24">
        <f t="shared" si="79"/>
        <v>0.02</v>
      </c>
      <c r="N440" s="719"/>
      <c r="O440" s="24">
        <f t="shared" si="80"/>
        <v>1</v>
      </c>
      <c r="P440" s="719"/>
      <c r="Q440" s="24">
        <f t="shared" si="81"/>
        <v>1</v>
      </c>
      <c r="R440" s="715">
        <f t="shared" si="82"/>
        <v>0</v>
      </c>
      <c r="S440" s="361">
        <f t="shared" si="83"/>
        <v>0</v>
      </c>
    </row>
    <row r="441" spans="1:19">
      <c r="A441" s="159"/>
      <c r="B441" s="59"/>
      <c r="C441" s="24">
        <f t="shared" si="74"/>
        <v>1</v>
      </c>
      <c r="D441" s="719"/>
      <c r="E441" s="24">
        <f t="shared" si="75"/>
        <v>4.4999999999999998E-2</v>
      </c>
      <c r="F441" s="719"/>
      <c r="G441" s="24">
        <f t="shared" si="76"/>
        <v>0</v>
      </c>
      <c r="H441" s="719"/>
      <c r="I441" s="24">
        <f t="shared" si="77"/>
        <v>0.02</v>
      </c>
      <c r="J441" s="719"/>
      <c r="K441" s="24">
        <f t="shared" si="78"/>
        <v>0</v>
      </c>
      <c r="L441" s="719"/>
      <c r="M441" s="24">
        <f t="shared" si="79"/>
        <v>0.02</v>
      </c>
      <c r="N441" s="719"/>
      <c r="O441" s="24">
        <f t="shared" si="80"/>
        <v>1</v>
      </c>
      <c r="P441" s="719"/>
      <c r="Q441" s="24">
        <f t="shared" si="81"/>
        <v>1</v>
      </c>
      <c r="R441" s="715">
        <f t="shared" si="82"/>
        <v>0</v>
      </c>
      <c r="S441" s="361">
        <f t="shared" si="83"/>
        <v>0</v>
      </c>
    </row>
    <row r="442" spans="1:19">
      <c r="A442" s="159"/>
      <c r="B442" s="59"/>
      <c r="C442" s="24">
        <f t="shared" si="74"/>
        <v>1</v>
      </c>
      <c r="D442" s="719"/>
      <c r="E442" s="24">
        <f t="shared" si="75"/>
        <v>4.4999999999999998E-2</v>
      </c>
      <c r="F442" s="719"/>
      <c r="G442" s="24">
        <f t="shared" si="76"/>
        <v>0</v>
      </c>
      <c r="H442" s="719"/>
      <c r="I442" s="24">
        <f t="shared" si="77"/>
        <v>0.02</v>
      </c>
      <c r="J442" s="719"/>
      <c r="K442" s="24">
        <f t="shared" si="78"/>
        <v>0</v>
      </c>
      <c r="L442" s="719"/>
      <c r="M442" s="24">
        <f t="shared" si="79"/>
        <v>0.02</v>
      </c>
      <c r="N442" s="719"/>
      <c r="O442" s="24">
        <f t="shared" si="80"/>
        <v>1</v>
      </c>
      <c r="P442" s="719"/>
      <c r="Q442" s="24">
        <f t="shared" si="81"/>
        <v>1</v>
      </c>
      <c r="R442" s="715">
        <f t="shared" si="82"/>
        <v>0</v>
      </c>
      <c r="S442" s="361">
        <f t="shared" si="83"/>
        <v>0</v>
      </c>
    </row>
    <row r="443" spans="1:19">
      <c r="A443" s="159"/>
      <c r="B443" s="59"/>
      <c r="C443" s="24">
        <f t="shared" si="74"/>
        <v>1</v>
      </c>
      <c r="D443" s="719"/>
      <c r="E443" s="24">
        <f t="shared" si="75"/>
        <v>4.4999999999999998E-2</v>
      </c>
      <c r="F443" s="719"/>
      <c r="G443" s="24">
        <f t="shared" si="76"/>
        <v>0</v>
      </c>
      <c r="H443" s="719"/>
      <c r="I443" s="24">
        <f t="shared" si="77"/>
        <v>0.02</v>
      </c>
      <c r="J443" s="719"/>
      <c r="K443" s="24">
        <f t="shared" si="78"/>
        <v>0</v>
      </c>
      <c r="L443" s="719"/>
      <c r="M443" s="24">
        <f t="shared" si="79"/>
        <v>0.02</v>
      </c>
      <c r="N443" s="719"/>
      <c r="O443" s="24">
        <f t="shared" si="80"/>
        <v>1</v>
      </c>
      <c r="P443" s="719"/>
      <c r="Q443" s="24">
        <f t="shared" si="81"/>
        <v>1</v>
      </c>
      <c r="R443" s="715">
        <f t="shared" si="82"/>
        <v>0</v>
      </c>
      <c r="S443" s="361">
        <f t="shared" si="83"/>
        <v>0</v>
      </c>
    </row>
    <row r="444" spans="1:19">
      <c r="A444" s="159"/>
      <c r="B444" s="59"/>
      <c r="C444" s="24">
        <f t="shared" si="74"/>
        <v>1</v>
      </c>
      <c r="D444" s="719"/>
      <c r="E444" s="24">
        <f t="shared" si="75"/>
        <v>4.4999999999999998E-2</v>
      </c>
      <c r="F444" s="719"/>
      <c r="G444" s="24">
        <f t="shared" si="76"/>
        <v>0</v>
      </c>
      <c r="H444" s="719"/>
      <c r="I444" s="24">
        <f t="shared" si="77"/>
        <v>0.02</v>
      </c>
      <c r="J444" s="719"/>
      <c r="K444" s="24">
        <f t="shared" si="78"/>
        <v>0</v>
      </c>
      <c r="L444" s="719"/>
      <c r="M444" s="24">
        <f t="shared" si="79"/>
        <v>0.02</v>
      </c>
      <c r="N444" s="719"/>
      <c r="O444" s="24">
        <f t="shared" si="80"/>
        <v>1</v>
      </c>
      <c r="P444" s="719"/>
      <c r="Q444" s="24">
        <f t="shared" si="81"/>
        <v>1</v>
      </c>
      <c r="R444" s="715">
        <f t="shared" si="82"/>
        <v>0</v>
      </c>
      <c r="S444" s="361">
        <f t="shared" si="83"/>
        <v>0</v>
      </c>
    </row>
    <row r="445" spans="1:19">
      <c r="A445" s="159"/>
      <c r="B445" s="59"/>
      <c r="C445" s="24">
        <f t="shared" si="74"/>
        <v>1</v>
      </c>
      <c r="D445" s="719"/>
      <c r="E445" s="24">
        <f t="shared" si="75"/>
        <v>4.4999999999999998E-2</v>
      </c>
      <c r="F445" s="719"/>
      <c r="G445" s="24">
        <f t="shared" si="76"/>
        <v>0</v>
      </c>
      <c r="H445" s="719"/>
      <c r="I445" s="24">
        <f t="shared" si="77"/>
        <v>0.02</v>
      </c>
      <c r="J445" s="719"/>
      <c r="K445" s="24">
        <f t="shared" si="78"/>
        <v>0</v>
      </c>
      <c r="L445" s="719"/>
      <c r="M445" s="24">
        <f t="shared" si="79"/>
        <v>0.02</v>
      </c>
      <c r="N445" s="719"/>
      <c r="O445" s="24">
        <f t="shared" si="80"/>
        <v>1</v>
      </c>
      <c r="P445" s="719"/>
      <c r="Q445" s="24">
        <f t="shared" si="81"/>
        <v>1</v>
      </c>
      <c r="R445" s="715">
        <f t="shared" si="82"/>
        <v>0</v>
      </c>
      <c r="S445" s="361">
        <f t="shared" si="83"/>
        <v>0</v>
      </c>
    </row>
    <row r="446" spans="1:19">
      <c r="A446" s="159"/>
      <c r="B446" s="59"/>
      <c r="C446" s="24">
        <f t="shared" si="74"/>
        <v>1</v>
      </c>
      <c r="D446" s="719"/>
      <c r="E446" s="24">
        <f t="shared" si="75"/>
        <v>4.4999999999999998E-2</v>
      </c>
      <c r="F446" s="719"/>
      <c r="G446" s="24">
        <f t="shared" si="76"/>
        <v>0</v>
      </c>
      <c r="H446" s="719"/>
      <c r="I446" s="24">
        <f t="shared" si="77"/>
        <v>0.02</v>
      </c>
      <c r="J446" s="719"/>
      <c r="K446" s="24">
        <f t="shared" si="78"/>
        <v>0</v>
      </c>
      <c r="L446" s="719"/>
      <c r="M446" s="24">
        <f t="shared" si="79"/>
        <v>0.02</v>
      </c>
      <c r="N446" s="719"/>
      <c r="O446" s="24">
        <f t="shared" si="80"/>
        <v>1</v>
      </c>
      <c r="P446" s="719"/>
      <c r="Q446" s="24">
        <f t="shared" si="81"/>
        <v>1</v>
      </c>
      <c r="R446" s="715">
        <f t="shared" si="82"/>
        <v>0</v>
      </c>
      <c r="S446" s="361">
        <f t="shared" si="83"/>
        <v>0</v>
      </c>
    </row>
    <row r="447" spans="1:19">
      <c r="A447" s="159"/>
      <c r="B447" s="59"/>
      <c r="C447" s="24">
        <f t="shared" si="74"/>
        <v>1</v>
      </c>
      <c r="D447" s="719"/>
      <c r="E447" s="24">
        <f t="shared" si="75"/>
        <v>4.4999999999999998E-2</v>
      </c>
      <c r="F447" s="719"/>
      <c r="G447" s="24">
        <f t="shared" si="76"/>
        <v>0</v>
      </c>
      <c r="H447" s="719"/>
      <c r="I447" s="24">
        <f t="shared" si="77"/>
        <v>0.02</v>
      </c>
      <c r="J447" s="719"/>
      <c r="K447" s="24">
        <f t="shared" si="78"/>
        <v>0</v>
      </c>
      <c r="L447" s="719"/>
      <c r="M447" s="24">
        <f t="shared" si="79"/>
        <v>0.02</v>
      </c>
      <c r="N447" s="719"/>
      <c r="O447" s="24">
        <f t="shared" si="80"/>
        <v>1</v>
      </c>
      <c r="P447" s="719"/>
      <c r="Q447" s="24">
        <f t="shared" si="81"/>
        <v>1</v>
      </c>
      <c r="R447" s="715">
        <f t="shared" si="82"/>
        <v>0</v>
      </c>
      <c r="S447" s="361">
        <f t="shared" si="83"/>
        <v>0</v>
      </c>
    </row>
    <row r="448" spans="1:19">
      <c r="A448" s="159"/>
      <c r="B448" s="59"/>
      <c r="C448" s="24">
        <f t="shared" si="74"/>
        <v>1</v>
      </c>
      <c r="D448" s="719"/>
      <c r="E448" s="24">
        <f t="shared" si="75"/>
        <v>4.4999999999999998E-2</v>
      </c>
      <c r="F448" s="719"/>
      <c r="G448" s="24">
        <f t="shared" si="76"/>
        <v>0</v>
      </c>
      <c r="H448" s="719"/>
      <c r="I448" s="24">
        <f t="shared" si="77"/>
        <v>0.02</v>
      </c>
      <c r="J448" s="719"/>
      <c r="K448" s="24">
        <f t="shared" si="78"/>
        <v>0</v>
      </c>
      <c r="L448" s="719"/>
      <c r="M448" s="24">
        <f t="shared" si="79"/>
        <v>0.02</v>
      </c>
      <c r="N448" s="719"/>
      <c r="O448" s="24">
        <f t="shared" si="80"/>
        <v>1</v>
      </c>
      <c r="P448" s="719"/>
      <c r="Q448" s="24">
        <f t="shared" si="81"/>
        <v>1</v>
      </c>
      <c r="R448" s="715">
        <f t="shared" si="82"/>
        <v>0</v>
      </c>
      <c r="S448" s="361">
        <f t="shared" si="83"/>
        <v>0</v>
      </c>
    </row>
    <row r="449" spans="1:19">
      <c r="A449" s="159"/>
      <c r="B449" s="59"/>
      <c r="C449" s="24">
        <f t="shared" si="74"/>
        <v>1</v>
      </c>
      <c r="D449" s="719"/>
      <c r="E449" s="24">
        <f t="shared" si="75"/>
        <v>4.4999999999999998E-2</v>
      </c>
      <c r="F449" s="719"/>
      <c r="G449" s="24">
        <f t="shared" si="76"/>
        <v>0</v>
      </c>
      <c r="H449" s="719"/>
      <c r="I449" s="24">
        <f t="shared" si="77"/>
        <v>0.02</v>
      </c>
      <c r="J449" s="719"/>
      <c r="K449" s="24">
        <f t="shared" si="78"/>
        <v>0</v>
      </c>
      <c r="L449" s="719"/>
      <c r="M449" s="24">
        <f t="shared" si="79"/>
        <v>0.02</v>
      </c>
      <c r="N449" s="719"/>
      <c r="O449" s="24">
        <f t="shared" si="80"/>
        <v>1</v>
      </c>
      <c r="P449" s="719"/>
      <c r="Q449" s="24">
        <f t="shared" si="81"/>
        <v>1</v>
      </c>
      <c r="R449" s="715">
        <f t="shared" si="82"/>
        <v>0</v>
      </c>
      <c r="S449" s="361">
        <f t="shared" si="83"/>
        <v>0</v>
      </c>
    </row>
    <row r="450" spans="1:19">
      <c r="A450" s="159"/>
      <c r="B450" s="59"/>
      <c r="C450" s="24">
        <f t="shared" si="74"/>
        <v>1</v>
      </c>
      <c r="D450" s="719"/>
      <c r="E450" s="24">
        <f t="shared" si="75"/>
        <v>4.4999999999999998E-2</v>
      </c>
      <c r="F450" s="719"/>
      <c r="G450" s="24">
        <f t="shared" si="76"/>
        <v>0</v>
      </c>
      <c r="H450" s="719"/>
      <c r="I450" s="24">
        <f t="shared" si="77"/>
        <v>0.02</v>
      </c>
      <c r="J450" s="719"/>
      <c r="K450" s="24">
        <f t="shared" si="78"/>
        <v>0</v>
      </c>
      <c r="L450" s="719"/>
      <c r="M450" s="24">
        <f t="shared" si="79"/>
        <v>0.02</v>
      </c>
      <c r="N450" s="719"/>
      <c r="O450" s="24">
        <f t="shared" si="80"/>
        <v>1</v>
      </c>
      <c r="P450" s="719"/>
      <c r="Q450" s="24">
        <f t="shared" si="81"/>
        <v>1</v>
      </c>
      <c r="R450" s="715">
        <f t="shared" si="82"/>
        <v>0</v>
      </c>
      <c r="S450" s="361">
        <f t="shared" si="83"/>
        <v>0</v>
      </c>
    </row>
    <row r="451" spans="1:19">
      <c r="A451" s="159"/>
      <c r="B451" s="59"/>
      <c r="C451" s="24">
        <f t="shared" si="74"/>
        <v>1</v>
      </c>
      <c r="D451" s="719"/>
      <c r="E451" s="24">
        <f t="shared" si="75"/>
        <v>4.4999999999999998E-2</v>
      </c>
      <c r="F451" s="719"/>
      <c r="G451" s="24">
        <f t="shared" si="76"/>
        <v>0</v>
      </c>
      <c r="H451" s="719"/>
      <c r="I451" s="24">
        <f t="shared" si="77"/>
        <v>0.02</v>
      </c>
      <c r="J451" s="719"/>
      <c r="K451" s="24">
        <f t="shared" si="78"/>
        <v>0</v>
      </c>
      <c r="L451" s="719"/>
      <c r="M451" s="24">
        <f t="shared" si="79"/>
        <v>0.02</v>
      </c>
      <c r="N451" s="719"/>
      <c r="O451" s="24">
        <f t="shared" si="80"/>
        <v>1</v>
      </c>
      <c r="P451" s="719"/>
      <c r="Q451" s="24">
        <f t="shared" si="81"/>
        <v>1</v>
      </c>
      <c r="R451" s="715">
        <f t="shared" si="82"/>
        <v>0</v>
      </c>
      <c r="S451" s="361">
        <f t="shared" si="83"/>
        <v>0</v>
      </c>
    </row>
    <row r="452" spans="1:19">
      <c r="A452" s="159"/>
      <c r="B452" s="59"/>
      <c r="C452" s="24">
        <f t="shared" si="74"/>
        <v>1</v>
      </c>
      <c r="D452" s="719"/>
      <c r="E452" s="24">
        <f t="shared" si="75"/>
        <v>4.4999999999999998E-2</v>
      </c>
      <c r="F452" s="719"/>
      <c r="G452" s="24">
        <f t="shared" si="76"/>
        <v>0</v>
      </c>
      <c r="H452" s="719"/>
      <c r="I452" s="24">
        <f t="shared" si="77"/>
        <v>0.02</v>
      </c>
      <c r="J452" s="719"/>
      <c r="K452" s="24">
        <f t="shared" si="78"/>
        <v>0</v>
      </c>
      <c r="L452" s="719"/>
      <c r="M452" s="24">
        <f t="shared" si="79"/>
        <v>0.02</v>
      </c>
      <c r="N452" s="719"/>
      <c r="O452" s="24">
        <f t="shared" si="80"/>
        <v>1</v>
      </c>
      <c r="P452" s="719"/>
      <c r="Q452" s="24">
        <f t="shared" si="81"/>
        <v>1</v>
      </c>
      <c r="R452" s="715">
        <f t="shared" si="82"/>
        <v>0</v>
      </c>
      <c r="S452" s="361">
        <f t="shared" si="83"/>
        <v>0</v>
      </c>
    </row>
    <row r="453" spans="1:19">
      <c r="A453" s="159"/>
      <c r="B453" s="59"/>
      <c r="C453" s="24">
        <f t="shared" si="74"/>
        <v>1</v>
      </c>
      <c r="D453" s="719"/>
      <c r="E453" s="24">
        <f t="shared" si="75"/>
        <v>4.4999999999999998E-2</v>
      </c>
      <c r="F453" s="719"/>
      <c r="G453" s="24">
        <f t="shared" si="76"/>
        <v>0</v>
      </c>
      <c r="H453" s="719"/>
      <c r="I453" s="24">
        <f t="shared" si="77"/>
        <v>0.02</v>
      </c>
      <c r="J453" s="719"/>
      <c r="K453" s="24">
        <f t="shared" si="78"/>
        <v>0</v>
      </c>
      <c r="L453" s="719"/>
      <c r="M453" s="24">
        <f t="shared" si="79"/>
        <v>0.02</v>
      </c>
      <c r="N453" s="719"/>
      <c r="O453" s="24">
        <f t="shared" si="80"/>
        <v>1</v>
      </c>
      <c r="P453" s="719"/>
      <c r="Q453" s="24">
        <f t="shared" si="81"/>
        <v>1</v>
      </c>
      <c r="R453" s="715">
        <f t="shared" si="82"/>
        <v>0</v>
      </c>
      <c r="S453" s="361">
        <f t="shared" si="83"/>
        <v>0</v>
      </c>
    </row>
    <row r="454" spans="1:19">
      <c r="A454" s="159"/>
      <c r="B454" s="59"/>
      <c r="C454" s="24">
        <f t="shared" si="74"/>
        <v>1</v>
      </c>
      <c r="D454" s="719"/>
      <c r="E454" s="24">
        <f t="shared" si="75"/>
        <v>4.4999999999999998E-2</v>
      </c>
      <c r="F454" s="719"/>
      <c r="G454" s="24">
        <f t="shared" si="76"/>
        <v>0</v>
      </c>
      <c r="H454" s="719"/>
      <c r="I454" s="24">
        <f t="shared" si="77"/>
        <v>0.02</v>
      </c>
      <c r="J454" s="719"/>
      <c r="K454" s="24">
        <f t="shared" si="78"/>
        <v>0</v>
      </c>
      <c r="L454" s="719"/>
      <c r="M454" s="24">
        <f t="shared" si="79"/>
        <v>0.02</v>
      </c>
      <c r="N454" s="719"/>
      <c r="O454" s="24">
        <f t="shared" si="80"/>
        <v>1</v>
      </c>
      <c r="P454" s="719"/>
      <c r="Q454" s="24">
        <f t="shared" si="81"/>
        <v>1</v>
      </c>
      <c r="R454" s="715">
        <f t="shared" si="82"/>
        <v>0</v>
      </c>
      <c r="S454" s="361">
        <f t="shared" si="83"/>
        <v>0</v>
      </c>
    </row>
    <row r="455" spans="1:19">
      <c r="A455" s="159"/>
      <c r="B455" s="59"/>
      <c r="C455" s="24">
        <f t="shared" si="74"/>
        <v>1</v>
      </c>
      <c r="D455" s="719"/>
      <c r="E455" s="24">
        <f t="shared" si="75"/>
        <v>4.4999999999999998E-2</v>
      </c>
      <c r="F455" s="719"/>
      <c r="G455" s="24">
        <f t="shared" si="76"/>
        <v>0</v>
      </c>
      <c r="H455" s="719"/>
      <c r="I455" s="24">
        <f t="shared" si="77"/>
        <v>0.02</v>
      </c>
      <c r="J455" s="719"/>
      <c r="K455" s="24">
        <f t="shared" si="78"/>
        <v>0</v>
      </c>
      <c r="L455" s="719"/>
      <c r="M455" s="24">
        <f t="shared" si="79"/>
        <v>0.02</v>
      </c>
      <c r="N455" s="719"/>
      <c r="O455" s="24">
        <f t="shared" si="80"/>
        <v>1</v>
      </c>
      <c r="P455" s="719"/>
      <c r="Q455" s="24">
        <f t="shared" si="81"/>
        <v>1</v>
      </c>
      <c r="R455" s="715">
        <f t="shared" si="82"/>
        <v>0</v>
      </c>
      <c r="S455" s="361">
        <f t="shared" si="83"/>
        <v>0</v>
      </c>
    </row>
    <row r="456" spans="1:19">
      <c r="A456" s="159"/>
      <c r="B456" s="59"/>
      <c r="C456" s="24">
        <f t="shared" si="74"/>
        <v>1</v>
      </c>
      <c r="D456" s="719"/>
      <c r="E456" s="24">
        <f t="shared" si="75"/>
        <v>4.4999999999999998E-2</v>
      </c>
      <c r="F456" s="719"/>
      <c r="G456" s="24">
        <f t="shared" si="76"/>
        <v>0</v>
      </c>
      <c r="H456" s="719"/>
      <c r="I456" s="24">
        <f t="shared" si="77"/>
        <v>0.02</v>
      </c>
      <c r="J456" s="719"/>
      <c r="K456" s="24">
        <f t="shared" si="78"/>
        <v>0</v>
      </c>
      <c r="L456" s="719"/>
      <c r="M456" s="24">
        <f t="shared" si="79"/>
        <v>0.02</v>
      </c>
      <c r="N456" s="719"/>
      <c r="O456" s="24">
        <f t="shared" si="80"/>
        <v>1</v>
      </c>
      <c r="P456" s="719"/>
      <c r="Q456" s="24">
        <f t="shared" si="81"/>
        <v>1</v>
      </c>
      <c r="R456" s="715">
        <f t="shared" si="82"/>
        <v>0</v>
      </c>
      <c r="S456" s="361">
        <f t="shared" si="83"/>
        <v>0</v>
      </c>
    </row>
    <row r="457" spans="1:19">
      <c r="A457" s="159"/>
      <c r="B457" s="59"/>
      <c r="C457" s="24">
        <f t="shared" si="74"/>
        <v>1</v>
      </c>
      <c r="D457" s="719"/>
      <c r="E457" s="24">
        <f t="shared" si="75"/>
        <v>4.4999999999999998E-2</v>
      </c>
      <c r="F457" s="719"/>
      <c r="G457" s="24">
        <f t="shared" si="76"/>
        <v>0</v>
      </c>
      <c r="H457" s="719"/>
      <c r="I457" s="24">
        <f t="shared" si="77"/>
        <v>0.02</v>
      </c>
      <c r="J457" s="719"/>
      <c r="K457" s="24">
        <f t="shared" si="78"/>
        <v>0</v>
      </c>
      <c r="L457" s="719"/>
      <c r="M457" s="24">
        <f t="shared" si="79"/>
        <v>0.02</v>
      </c>
      <c r="N457" s="719"/>
      <c r="O457" s="24">
        <f t="shared" si="80"/>
        <v>1</v>
      </c>
      <c r="P457" s="719"/>
      <c r="Q457" s="24">
        <f t="shared" si="81"/>
        <v>1</v>
      </c>
      <c r="R457" s="715">
        <f t="shared" si="82"/>
        <v>0</v>
      </c>
      <c r="S457" s="361">
        <f t="shared" si="83"/>
        <v>0</v>
      </c>
    </row>
    <row r="458" spans="1:19">
      <c r="A458" s="159"/>
      <c r="B458" s="59"/>
      <c r="C458" s="24">
        <f t="shared" si="74"/>
        <v>1</v>
      </c>
      <c r="D458" s="719"/>
      <c r="E458" s="24">
        <f t="shared" si="75"/>
        <v>4.4999999999999998E-2</v>
      </c>
      <c r="F458" s="719"/>
      <c r="G458" s="24">
        <f t="shared" si="76"/>
        <v>0</v>
      </c>
      <c r="H458" s="719"/>
      <c r="I458" s="24">
        <f t="shared" si="77"/>
        <v>0.02</v>
      </c>
      <c r="J458" s="719"/>
      <c r="K458" s="24">
        <f t="shared" si="78"/>
        <v>0</v>
      </c>
      <c r="L458" s="719"/>
      <c r="M458" s="24">
        <f t="shared" si="79"/>
        <v>0.02</v>
      </c>
      <c r="N458" s="719"/>
      <c r="O458" s="24">
        <f t="shared" si="80"/>
        <v>1</v>
      </c>
      <c r="P458" s="719"/>
      <c r="Q458" s="24">
        <f t="shared" si="81"/>
        <v>1</v>
      </c>
      <c r="R458" s="715">
        <f t="shared" si="82"/>
        <v>0</v>
      </c>
      <c r="S458" s="361">
        <f t="shared" si="83"/>
        <v>0</v>
      </c>
    </row>
    <row r="459" spans="1:19">
      <c r="A459" s="159"/>
      <c r="B459" s="59"/>
      <c r="C459" s="24">
        <f t="shared" si="74"/>
        <v>1</v>
      </c>
      <c r="D459" s="719"/>
      <c r="E459" s="24">
        <f t="shared" si="75"/>
        <v>4.4999999999999998E-2</v>
      </c>
      <c r="F459" s="719"/>
      <c r="G459" s="24">
        <f t="shared" si="76"/>
        <v>0</v>
      </c>
      <c r="H459" s="719"/>
      <c r="I459" s="24">
        <f t="shared" si="77"/>
        <v>0.02</v>
      </c>
      <c r="J459" s="719"/>
      <c r="K459" s="24">
        <f t="shared" si="78"/>
        <v>0</v>
      </c>
      <c r="L459" s="719"/>
      <c r="M459" s="24">
        <f t="shared" si="79"/>
        <v>0.02</v>
      </c>
      <c r="N459" s="719"/>
      <c r="O459" s="24">
        <f t="shared" si="80"/>
        <v>1</v>
      </c>
      <c r="P459" s="719"/>
      <c r="Q459" s="24">
        <f t="shared" si="81"/>
        <v>1</v>
      </c>
      <c r="R459" s="715">
        <f t="shared" si="82"/>
        <v>0</v>
      </c>
      <c r="S459" s="361">
        <f t="shared" si="83"/>
        <v>0</v>
      </c>
    </row>
    <row r="460" spans="1:19">
      <c r="A460" s="159"/>
      <c r="B460" s="59"/>
      <c r="C460" s="24">
        <f t="shared" si="74"/>
        <v>1</v>
      </c>
      <c r="D460" s="719"/>
      <c r="E460" s="24">
        <f t="shared" si="75"/>
        <v>4.4999999999999998E-2</v>
      </c>
      <c r="F460" s="719"/>
      <c r="G460" s="24">
        <f t="shared" si="76"/>
        <v>0</v>
      </c>
      <c r="H460" s="719"/>
      <c r="I460" s="24">
        <f t="shared" si="77"/>
        <v>0.02</v>
      </c>
      <c r="J460" s="719"/>
      <c r="K460" s="24">
        <f t="shared" si="78"/>
        <v>0</v>
      </c>
      <c r="L460" s="719"/>
      <c r="M460" s="24">
        <f t="shared" si="79"/>
        <v>0.02</v>
      </c>
      <c r="N460" s="719"/>
      <c r="O460" s="24">
        <f t="shared" si="80"/>
        <v>1</v>
      </c>
      <c r="P460" s="719"/>
      <c r="Q460" s="24">
        <f t="shared" si="81"/>
        <v>1</v>
      </c>
      <c r="R460" s="715">
        <f t="shared" si="82"/>
        <v>0</v>
      </c>
      <c r="S460" s="361">
        <f t="shared" si="83"/>
        <v>0</v>
      </c>
    </row>
    <row r="461" spans="1:19">
      <c r="A461" s="159"/>
      <c r="B461" s="59"/>
      <c r="C461" s="24">
        <f t="shared" si="74"/>
        <v>1</v>
      </c>
      <c r="D461" s="719"/>
      <c r="E461" s="24">
        <f t="shared" si="75"/>
        <v>4.4999999999999998E-2</v>
      </c>
      <c r="F461" s="719"/>
      <c r="G461" s="24">
        <f t="shared" si="76"/>
        <v>0</v>
      </c>
      <c r="H461" s="719"/>
      <c r="I461" s="24">
        <f t="shared" si="77"/>
        <v>0.02</v>
      </c>
      <c r="J461" s="719"/>
      <c r="K461" s="24">
        <f t="shared" si="78"/>
        <v>0</v>
      </c>
      <c r="L461" s="719"/>
      <c r="M461" s="24">
        <f t="shared" si="79"/>
        <v>0.02</v>
      </c>
      <c r="N461" s="719"/>
      <c r="O461" s="24">
        <f t="shared" si="80"/>
        <v>1</v>
      </c>
      <c r="P461" s="719"/>
      <c r="Q461" s="24">
        <f t="shared" si="81"/>
        <v>1</v>
      </c>
      <c r="R461" s="715">
        <f t="shared" si="82"/>
        <v>0</v>
      </c>
      <c r="S461" s="361">
        <f t="shared" si="83"/>
        <v>0</v>
      </c>
    </row>
    <row r="462" spans="1:19">
      <c r="A462" s="159"/>
      <c r="B462" s="59"/>
      <c r="C462" s="24">
        <f t="shared" si="74"/>
        <v>1</v>
      </c>
      <c r="D462" s="719"/>
      <c r="E462" s="24">
        <f t="shared" si="75"/>
        <v>4.4999999999999998E-2</v>
      </c>
      <c r="F462" s="719"/>
      <c r="G462" s="24">
        <f t="shared" si="76"/>
        <v>0</v>
      </c>
      <c r="H462" s="719"/>
      <c r="I462" s="24">
        <f t="shared" si="77"/>
        <v>0.02</v>
      </c>
      <c r="J462" s="719"/>
      <c r="K462" s="24">
        <f t="shared" si="78"/>
        <v>0</v>
      </c>
      <c r="L462" s="719"/>
      <c r="M462" s="24">
        <f t="shared" si="79"/>
        <v>0.02</v>
      </c>
      <c r="N462" s="719"/>
      <c r="O462" s="24">
        <f t="shared" si="80"/>
        <v>1</v>
      </c>
      <c r="P462" s="719"/>
      <c r="Q462" s="24">
        <f t="shared" si="81"/>
        <v>1</v>
      </c>
      <c r="R462" s="715">
        <f t="shared" si="82"/>
        <v>0</v>
      </c>
      <c r="S462" s="361">
        <f t="shared" si="83"/>
        <v>0</v>
      </c>
    </row>
    <row r="463" spans="1:19">
      <c r="A463" s="159"/>
      <c r="B463" s="59"/>
      <c r="C463" s="24">
        <f t="shared" si="74"/>
        <v>1</v>
      </c>
      <c r="D463" s="719"/>
      <c r="E463" s="24">
        <f t="shared" si="75"/>
        <v>4.4999999999999998E-2</v>
      </c>
      <c r="F463" s="719"/>
      <c r="G463" s="24">
        <f t="shared" si="76"/>
        <v>0</v>
      </c>
      <c r="H463" s="719"/>
      <c r="I463" s="24">
        <f t="shared" si="77"/>
        <v>0.02</v>
      </c>
      <c r="J463" s="719"/>
      <c r="K463" s="24">
        <f t="shared" si="78"/>
        <v>0</v>
      </c>
      <c r="L463" s="719"/>
      <c r="M463" s="24">
        <f t="shared" si="79"/>
        <v>0.02</v>
      </c>
      <c r="N463" s="719"/>
      <c r="O463" s="24">
        <f t="shared" si="80"/>
        <v>1</v>
      </c>
      <c r="P463" s="719"/>
      <c r="Q463" s="24">
        <f t="shared" si="81"/>
        <v>1</v>
      </c>
      <c r="R463" s="715">
        <f t="shared" si="82"/>
        <v>0</v>
      </c>
      <c r="S463" s="361">
        <f t="shared" si="83"/>
        <v>0</v>
      </c>
    </row>
    <row r="464" spans="1:19">
      <c r="A464" s="159"/>
      <c r="B464" s="59"/>
      <c r="C464" s="24">
        <f t="shared" si="74"/>
        <v>1</v>
      </c>
      <c r="D464" s="719"/>
      <c r="E464" s="24">
        <f t="shared" si="75"/>
        <v>4.4999999999999998E-2</v>
      </c>
      <c r="F464" s="719"/>
      <c r="G464" s="24">
        <f t="shared" si="76"/>
        <v>0</v>
      </c>
      <c r="H464" s="719"/>
      <c r="I464" s="24">
        <f t="shared" si="77"/>
        <v>0.02</v>
      </c>
      <c r="J464" s="719"/>
      <c r="K464" s="24">
        <f t="shared" si="78"/>
        <v>0</v>
      </c>
      <c r="L464" s="719"/>
      <c r="M464" s="24">
        <f t="shared" si="79"/>
        <v>0.02</v>
      </c>
      <c r="N464" s="719"/>
      <c r="O464" s="24">
        <f t="shared" si="80"/>
        <v>1</v>
      </c>
      <c r="P464" s="719"/>
      <c r="Q464" s="24">
        <f t="shared" si="81"/>
        <v>1</v>
      </c>
      <c r="R464" s="715">
        <f t="shared" si="82"/>
        <v>0</v>
      </c>
      <c r="S464" s="361">
        <f t="shared" si="83"/>
        <v>0</v>
      </c>
    </row>
    <row r="465" spans="1:19">
      <c r="A465" s="159"/>
      <c r="B465" s="59"/>
      <c r="C465" s="24">
        <f t="shared" si="74"/>
        <v>1</v>
      </c>
      <c r="D465" s="719"/>
      <c r="E465" s="24">
        <f t="shared" si="75"/>
        <v>4.4999999999999998E-2</v>
      </c>
      <c r="F465" s="719"/>
      <c r="G465" s="24">
        <f t="shared" si="76"/>
        <v>0</v>
      </c>
      <c r="H465" s="719"/>
      <c r="I465" s="24">
        <f t="shared" si="77"/>
        <v>0.02</v>
      </c>
      <c r="J465" s="719"/>
      <c r="K465" s="24">
        <f t="shared" si="78"/>
        <v>0</v>
      </c>
      <c r="L465" s="719"/>
      <c r="M465" s="24">
        <f t="shared" si="79"/>
        <v>0.02</v>
      </c>
      <c r="N465" s="719"/>
      <c r="O465" s="24">
        <f t="shared" si="80"/>
        <v>1</v>
      </c>
      <c r="P465" s="719"/>
      <c r="Q465" s="24">
        <f t="shared" si="81"/>
        <v>1</v>
      </c>
      <c r="R465" s="715">
        <f t="shared" si="82"/>
        <v>0</v>
      </c>
      <c r="S465" s="361">
        <f t="shared" si="83"/>
        <v>0</v>
      </c>
    </row>
    <row r="466" spans="1:19">
      <c r="A466" s="159"/>
      <c r="B466" s="59"/>
      <c r="C466" s="24">
        <f t="shared" si="74"/>
        <v>1</v>
      </c>
      <c r="D466" s="719"/>
      <c r="E466" s="24">
        <f t="shared" si="75"/>
        <v>4.4999999999999998E-2</v>
      </c>
      <c r="F466" s="719"/>
      <c r="G466" s="24">
        <f t="shared" si="76"/>
        <v>0</v>
      </c>
      <c r="H466" s="719"/>
      <c r="I466" s="24">
        <f t="shared" si="77"/>
        <v>0.02</v>
      </c>
      <c r="J466" s="719"/>
      <c r="K466" s="24">
        <f t="shared" si="78"/>
        <v>0</v>
      </c>
      <c r="L466" s="719"/>
      <c r="M466" s="24">
        <f t="shared" si="79"/>
        <v>0.02</v>
      </c>
      <c r="N466" s="719"/>
      <c r="O466" s="24">
        <f t="shared" si="80"/>
        <v>1</v>
      </c>
      <c r="P466" s="719"/>
      <c r="Q466" s="24">
        <f t="shared" si="81"/>
        <v>1</v>
      </c>
      <c r="R466" s="715">
        <f t="shared" si="82"/>
        <v>0</v>
      </c>
      <c r="S466" s="361">
        <f t="shared" si="83"/>
        <v>0</v>
      </c>
    </row>
    <row r="467" spans="1:19">
      <c r="A467" s="159"/>
      <c r="B467" s="59"/>
      <c r="C467" s="24">
        <f t="shared" si="74"/>
        <v>1</v>
      </c>
      <c r="D467" s="719"/>
      <c r="E467" s="24">
        <f t="shared" si="75"/>
        <v>4.4999999999999998E-2</v>
      </c>
      <c r="F467" s="719"/>
      <c r="G467" s="24">
        <f t="shared" si="76"/>
        <v>0</v>
      </c>
      <c r="H467" s="719"/>
      <c r="I467" s="24">
        <f t="shared" si="77"/>
        <v>0.02</v>
      </c>
      <c r="J467" s="719"/>
      <c r="K467" s="24">
        <f t="shared" si="78"/>
        <v>0</v>
      </c>
      <c r="L467" s="719"/>
      <c r="M467" s="24">
        <f t="shared" si="79"/>
        <v>0.02</v>
      </c>
      <c r="N467" s="719"/>
      <c r="O467" s="24">
        <f t="shared" si="80"/>
        <v>1</v>
      </c>
      <c r="P467" s="719"/>
      <c r="Q467" s="24">
        <f t="shared" si="81"/>
        <v>1</v>
      </c>
      <c r="R467" s="715">
        <f t="shared" si="82"/>
        <v>0</v>
      </c>
      <c r="S467" s="361">
        <f t="shared" si="83"/>
        <v>0</v>
      </c>
    </row>
    <row r="468" spans="1:19">
      <c r="A468" s="159"/>
      <c r="B468" s="59"/>
      <c r="C468" s="24">
        <f t="shared" si="74"/>
        <v>1</v>
      </c>
      <c r="D468" s="719"/>
      <c r="E468" s="24">
        <f t="shared" si="75"/>
        <v>4.4999999999999998E-2</v>
      </c>
      <c r="F468" s="719"/>
      <c r="G468" s="24">
        <f t="shared" si="76"/>
        <v>0</v>
      </c>
      <c r="H468" s="719"/>
      <c r="I468" s="24">
        <f t="shared" si="77"/>
        <v>0.02</v>
      </c>
      <c r="J468" s="719"/>
      <c r="K468" s="24">
        <f t="shared" si="78"/>
        <v>0</v>
      </c>
      <c r="L468" s="719"/>
      <c r="M468" s="24">
        <f t="shared" si="79"/>
        <v>0.02</v>
      </c>
      <c r="N468" s="719"/>
      <c r="O468" s="24">
        <f t="shared" si="80"/>
        <v>1</v>
      </c>
      <c r="P468" s="719"/>
      <c r="Q468" s="24">
        <f t="shared" si="81"/>
        <v>1</v>
      </c>
      <c r="R468" s="715">
        <f t="shared" si="82"/>
        <v>0</v>
      </c>
      <c r="S468" s="361">
        <f t="shared" ref="S468:S497" si="84">ROUND(R468*B468/10000,0)</f>
        <v>0</v>
      </c>
    </row>
    <row r="469" spans="1:19">
      <c r="A469" s="159"/>
      <c r="B469" s="59"/>
      <c r="C469" s="24">
        <f t="shared" si="74"/>
        <v>1</v>
      </c>
      <c r="D469" s="719"/>
      <c r="E469" s="24">
        <f t="shared" si="75"/>
        <v>4.4999999999999998E-2</v>
      </c>
      <c r="F469" s="719"/>
      <c r="G469" s="24">
        <f t="shared" si="76"/>
        <v>0</v>
      </c>
      <c r="H469" s="719"/>
      <c r="I469" s="24">
        <f t="shared" si="77"/>
        <v>0.02</v>
      </c>
      <c r="J469" s="719"/>
      <c r="K469" s="24">
        <f t="shared" si="78"/>
        <v>0</v>
      </c>
      <c r="L469" s="719"/>
      <c r="M469" s="24">
        <f t="shared" si="79"/>
        <v>0.02</v>
      </c>
      <c r="N469" s="719"/>
      <c r="O469" s="24">
        <f t="shared" si="80"/>
        <v>1</v>
      </c>
      <c r="P469" s="719"/>
      <c r="Q469" s="24">
        <f t="shared" si="81"/>
        <v>1</v>
      </c>
      <c r="R469" s="715">
        <f t="shared" si="82"/>
        <v>0</v>
      </c>
      <c r="S469" s="361">
        <f t="shared" si="84"/>
        <v>0</v>
      </c>
    </row>
    <row r="470" spans="1:19">
      <c r="A470" s="159"/>
      <c r="B470" s="59"/>
      <c r="C470" s="24">
        <f t="shared" si="74"/>
        <v>1</v>
      </c>
      <c r="D470" s="719"/>
      <c r="E470" s="24">
        <f t="shared" si="75"/>
        <v>4.4999999999999998E-2</v>
      </c>
      <c r="F470" s="719"/>
      <c r="G470" s="24">
        <f t="shared" si="76"/>
        <v>0</v>
      </c>
      <c r="H470" s="719"/>
      <c r="I470" s="24">
        <f t="shared" si="77"/>
        <v>0.02</v>
      </c>
      <c r="J470" s="719"/>
      <c r="K470" s="24">
        <f t="shared" si="78"/>
        <v>0</v>
      </c>
      <c r="L470" s="719"/>
      <c r="M470" s="24">
        <f t="shared" si="79"/>
        <v>0.02</v>
      </c>
      <c r="N470" s="719"/>
      <c r="O470" s="24">
        <f t="shared" si="80"/>
        <v>1</v>
      </c>
      <c r="P470" s="719"/>
      <c r="Q470" s="24">
        <f t="shared" si="81"/>
        <v>1</v>
      </c>
      <c r="R470" s="715">
        <f t="shared" si="82"/>
        <v>0</v>
      </c>
      <c r="S470" s="361">
        <f t="shared" si="84"/>
        <v>0</v>
      </c>
    </row>
    <row r="471" spans="1:19">
      <c r="A471" s="159"/>
      <c r="B471" s="59"/>
      <c r="C471" s="24">
        <f t="shared" si="74"/>
        <v>1</v>
      </c>
      <c r="D471" s="719"/>
      <c r="E471" s="24">
        <f t="shared" si="75"/>
        <v>4.4999999999999998E-2</v>
      </c>
      <c r="F471" s="719"/>
      <c r="G471" s="24">
        <f t="shared" si="76"/>
        <v>0</v>
      </c>
      <c r="H471" s="719"/>
      <c r="I471" s="24">
        <f t="shared" si="77"/>
        <v>0.02</v>
      </c>
      <c r="J471" s="719"/>
      <c r="K471" s="24">
        <f t="shared" si="78"/>
        <v>0</v>
      </c>
      <c r="L471" s="719"/>
      <c r="M471" s="24">
        <f t="shared" si="79"/>
        <v>0.02</v>
      </c>
      <c r="N471" s="719"/>
      <c r="O471" s="24">
        <f t="shared" si="80"/>
        <v>1</v>
      </c>
      <c r="P471" s="719"/>
      <c r="Q471" s="24">
        <f t="shared" si="81"/>
        <v>1</v>
      </c>
      <c r="R471" s="715">
        <f t="shared" si="82"/>
        <v>0</v>
      </c>
      <c r="S471" s="361">
        <f t="shared" si="84"/>
        <v>0</v>
      </c>
    </row>
    <row r="472" spans="1:19">
      <c r="A472" s="159"/>
      <c r="B472" s="59"/>
      <c r="C472" s="24">
        <f t="shared" si="74"/>
        <v>1</v>
      </c>
      <c r="D472" s="719"/>
      <c r="E472" s="24">
        <f t="shared" si="75"/>
        <v>4.4999999999999998E-2</v>
      </c>
      <c r="F472" s="719"/>
      <c r="G472" s="24">
        <f t="shared" si="76"/>
        <v>0</v>
      </c>
      <c r="H472" s="719"/>
      <c r="I472" s="24">
        <f t="shared" si="77"/>
        <v>0.02</v>
      </c>
      <c r="J472" s="719"/>
      <c r="K472" s="24">
        <f t="shared" si="78"/>
        <v>0</v>
      </c>
      <c r="L472" s="719"/>
      <c r="M472" s="24">
        <f t="shared" si="79"/>
        <v>0.02</v>
      </c>
      <c r="N472" s="719"/>
      <c r="O472" s="24">
        <f t="shared" si="80"/>
        <v>1</v>
      </c>
      <c r="P472" s="719"/>
      <c r="Q472" s="24">
        <f t="shared" si="81"/>
        <v>1</v>
      </c>
      <c r="R472" s="715">
        <f t="shared" si="82"/>
        <v>0</v>
      </c>
      <c r="S472" s="361">
        <f t="shared" si="84"/>
        <v>0</v>
      </c>
    </row>
    <row r="473" spans="1:19">
      <c r="A473" s="159"/>
      <c r="B473" s="59"/>
      <c r="C473" s="24">
        <f t="shared" si="74"/>
        <v>1</v>
      </c>
      <c r="D473" s="719"/>
      <c r="E473" s="24">
        <f t="shared" si="75"/>
        <v>4.4999999999999998E-2</v>
      </c>
      <c r="F473" s="719"/>
      <c r="G473" s="24">
        <f t="shared" si="76"/>
        <v>0</v>
      </c>
      <c r="H473" s="719"/>
      <c r="I473" s="24">
        <f t="shared" si="77"/>
        <v>0.02</v>
      </c>
      <c r="J473" s="719"/>
      <c r="K473" s="24">
        <f t="shared" si="78"/>
        <v>0</v>
      </c>
      <c r="L473" s="719"/>
      <c r="M473" s="24">
        <f t="shared" si="79"/>
        <v>0.02</v>
      </c>
      <c r="N473" s="719"/>
      <c r="O473" s="24">
        <f t="shared" si="80"/>
        <v>1</v>
      </c>
      <c r="P473" s="719"/>
      <c r="Q473" s="24">
        <f t="shared" si="81"/>
        <v>1</v>
      </c>
      <c r="R473" s="715">
        <f t="shared" si="82"/>
        <v>0</v>
      </c>
      <c r="S473" s="361">
        <f t="shared" si="84"/>
        <v>0</v>
      </c>
    </row>
    <row r="474" spans="1:19">
      <c r="A474" s="159"/>
      <c r="B474" s="59"/>
      <c r="C474" s="24">
        <f t="shared" ref="C474:C524" si="85">IF(B474="",1,(LOOKUP(B474,$3:$3,$4:$4)-LOOKUP($B$24,$3:$3,$4:$4)+100)/100)</f>
        <v>1</v>
      </c>
      <c r="D474" s="719"/>
      <c r="E474" s="24">
        <f t="shared" ref="E474:E524" si="86">(SUMIF($5:$5,D474,$6:$6)-SUMIF($5:$5,$D$24,$6:$6)+100)/100</f>
        <v>4.4999999999999998E-2</v>
      </c>
      <c r="F474" s="719"/>
      <c r="G474" s="24">
        <f t="shared" ref="G474:G524" si="87">(SUMIF($7:$7,F474,$8:$8)-SUMIF($7:$7,$F$24,$8:$8)+100)/100</f>
        <v>0</v>
      </c>
      <c r="H474" s="719"/>
      <c r="I474" s="24">
        <f t="shared" ref="I474:I524" si="88">(SUMIF($9:$9,H474,$10:$10)-SUMIF($9:$9,$H$24,$10:$10)+100)/100</f>
        <v>0.02</v>
      </c>
      <c r="J474" s="719"/>
      <c r="K474" s="24">
        <f t="shared" ref="K474:K524" si="89">(SUMIF($11:$11,J474,$12:$12)-SUMIF($11:$11,$J$24,$12:$12)+100)/100</f>
        <v>0</v>
      </c>
      <c r="L474" s="719"/>
      <c r="M474" s="24">
        <f t="shared" ref="M474:M524" si="90">(SUMIF($13:$13,L474,$14:$14)-SUMIF($13:$13,$L$24,$14:$14)+100)/100</f>
        <v>0.02</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1">
        <f t="shared" si="84"/>
        <v>0</v>
      </c>
    </row>
    <row r="475" spans="1:19">
      <c r="A475" s="159"/>
      <c r="B475" s="59"/>
      <c r="C475" s="24">
        <f t="shared" si="85"/>
        <v>1</v>
      </c>
      <c r="D475" s="719"/>
      <c r="E475" s="24">
        <f t="shared" si="86"/>
        <v>4.4999999999999998E-2</v>
      </c>
      <c r="F475" s="719"/>
      <c r="G475" s="24">
        <f t="shared" si="87"/>
        <v>0</v>
      </c>
      <c r="H475" s="719"/>
      <c r="I475" s="24">
        <f t="shared" si="88"/>
        <v>0.02</v>
      </c>
      <c r="J475" s="719"/>
      <c r="K475" s="24">
        <f t="shared" si="89"/>
        <v>0</v>
      </c>
      <c r="L475" s="719"/>
      <c r="M475" s="24">
        <f t="shared" si="90"/>
        <v>0.02</v>
      </c>
      <c r="N475" s="719"/>
      <c r="O475" s="24">
        <f t="shared" si="91"/>
        <v>1</v>
      </c>
      <c r="P475" s="719"/>
      <c r="Q475" s="24">
        <f t="shared" si="92"/>
        <v>1</v>
      </c>
      <c r="R475" s="715">
        <f t="shared" si="93"/>
        <v>0</v>
      </c>
      <c r="S475" s="361">
        <f t="shared" si="84"/>
        <v>0</v>
      </c>
    </row>
    <row r="476" spans="1:19">
      <c r="A476" s="159"/>
      <c r="B476" s="59"/>
      <c r="C476" s="24">
        <f t="shared" si="85"/>
        <v>1</v>
      </c>
      <c r="D476" s="719"/>
      <c r="E476" s="24">
        <f t="shared" si="86"/>
        <v>4.4999999999999998E-2</v>
      </c>
      <c r="F476" s="719"/>
      <c r="G476" s="24">
        <f t="shared" si="87"/>
        <v>0</v>
      </c>
      <c r="H476" s="719"/>
      <c r="I476" s="24">
        <f t="shared" si="88"/>
        <v>0.02</v>
      </c>
      <c r="J476" s="719"/>
      <c r="K476" s="24">
        <f t="shared" si="89"/>
        <v>0</v>
      </c>
      <c r="L476" s="719"/>
      <c r="M476" s="24">
        <f t="shared" si="90"/>
        <v>0.02</v>
      </c>
      <c r="N476" s="719"/>
      <c r="O476" s="24">
        <f t="shared" si="91"/>
        <v>1</v>
      </c>
      <c r="P476" s="719"/>
      <c r="Q476" s="24">
        <f t="shared" si="92"/>
        <v>1</v>
      </c>
      <c r="R476" s="715">
        <f t="shared" si="93"/>
        <v>0</v>
      </c>
      <c r="S476" s="361">
        <f t="shared" si="84"/>
        <v>0</v>
      </c>
    </row>
    <row r="477" spans="1:19">
      <c r="A477" s="159"/>
      <c r="B477" s="59"/>
      <c r="C477" s="24">
        <f t="shared" si="85"/>
        <v>1</v>
      </c>
      <c r="D477" s="719"/>
      <c r="E477" s="24">
        <f t="shared" si="86"/>
        <v>4.4999999999999998E-2</v>
      </c>
      <c r="F477" s="719"/>
      <c r="G477" s="24">
        <f t="shared" si="87"/>
        <v>0</v>
      </c>
      <c r="H477" s="719"/>
      <c r="I477" s="24">
        <f t="shared" si="88"/>
        <v>0.02</v>
      </c>
      <c r="J477" s="719"/>
      <c r="K477" s="24">
        <f t="shared" si="89"/>
        <v>0</v>
      </c>
      <c r="L477" s="719"/>
      <c r="M477" s="24">
        <f t="shared" si="90"/>
        <v>0.02</v>
      </c>
      <c r="N477" s="719"/>
      <c r="O477" s="24">
        <f t="shared" si="91"/>
        <v>1</v>
      </c>
      <c r="P477" s="719"/>
      <c r="Q477" s="24">
        <f t="shared" si="92"/>
        <v>1</v>
      </c>
      <c r="R477" s="715">
        <f t="shared" si="93"/>
        <v>0</v>
      </c>
      <c r="S477" s="361">
        <f t="shared" si="84"/>
        <v>0</v>
      </c>
    </row>
    <row r="478" spans="1:19">
      <c r="A478" s="159"/>
      <c r="B478" s="59"/>
      <c r="C478" s="24">
        <f t="shared" si="85"/>
        <v>1</v>
      </c>
      <c r="D478" s="719"/>
      <c r="E478" s="24">
        <f t="shared" si="86"/>
        <v>4.4999999999999998E-2</v>
      </c>
      <c r="F478" s="719"/>
      <c r="G478" s="24">
        <f t="shared" si="87"/>
        <v>0</v>
      </c>
      <c r="H478" s="719"/>
      <c r="I478" s="24">
        <f t="shared" si="88"/>
        <v>0.02</v>
      </c>
      <c r="J478" s="719"/>
      <c r="K478" s="24">
        <f t="shared" si="89"/>
        <v>0</v>
      </c>
      <c r="L478" s="719"/>
      <c r="M478" s="24">
        <f t="shared" si="90"/>
        <v>0.02</v>
      </c>
      <c r="N478" s="719"/>
      <c r="O478" s="24">
        <f t="shared" si="91"/>
        <v>1</v>
      </c>
      <c r="P478" s="719"/>
      <c r="Q478" s="24">
        <f t="shared" si="92"/>
        <v>1</v>
      </c>
      <c r="R478" s="715">
        <f t="shared" si="93"/>
        <v>0</v>
      </c>
      <c r="S478" s="361">
        <f t="shared" si="84"/>
        <v>0</v>
      </c>
    </row>
    <row r="479" spans="1:19">
      <c r="A479" s="159"/>
      <c r="B479" s="59"/>
      <c r="C479" s="24">
        <f t="shared" si="85"/>
        <v>1</v>
      </c>
      <c r="D479" s="719"/>
      <c r="E479" s="24">
        <f t="shared" si="86"/>
        <v>4.4999999999999998E-2</v>
      </c>
      <c r="F479" s="719"/>
      <c r="G479" s="24">
        <f t="shared" si="87"/>
        <v>0</v>
      </c>
      <c r="H479" s="719"/>
      <c r="I479" s="24">
        <f t="shared" si="88"/>
        <v>0.02</v>
      </c>
      <c r="J479" s="719"/>
      <c r="K479" s="24">
        <f t="shared" si="89"/>
        <v>0</v>
      </c>
      <c r="L479" s="719"/>
      <c r="M479" s="24">
        <f t="shared" si="90"/>
        <v>0.02</v>
      </c>
      <c r="N479" s="719"/>
      <c r="O479" s="24">
        <f t="shared" si="91"/>
        <v>1</v>
      </c>
      <c r="P479" s="719"/>
      <c r="Q479" s="24">
        <f t="shared" si="92"/>
        <v>1</v>
      </c>
      <c r="R479" s="715">
        <f t="shared" si="93"/>
        <v>0</v>
      </c>
      <c r="S479" s="361">
        <f t="shared" si="84"/>
        <v>0</v>
      </c>
    </row>
    <row r="480" spans="1:19">
      <c r="A480" s="159"/>
      <c r="B480" s="59"/>
      <c r="C480" s="24">
        <f t="shared" si="85"/>
        <v>1</v>
      </c>
      <c r="D480" s="719"/>
      <c r="E480" s="24">
        <f t="shared" si="86"/>
        <v>4.4999999999999998E-2</v>
      </c>
      <c r="F480" s="719"/>
      <c r="G480" s="24">
        <f t="shared" si="87"/>
        <v>0</v>
      </c>
      <c r="H480" s="719"/>
      <c r="I480" s="24">
        <f t="shared" si="88"/>
        <v>0.02</v>
      </c>
      <c r="J480" s="719"/>
      <c r="K480" s="24">
        <f t="shared" si="89"/>
        <v>0</v>
      </c>
      <c r="L480" s="719"/>
      <c r="M480" s="24">
        <f t="shared" si="90"/>
        <v>0.02</v>
      </c>
      <c r="N480" s="719"/>
      <c r="O480" s="24">
        <f t="shared" si="91"/>
        <v>1</v>
      </c>
      <c r="P480" s="719"/>
      <c r="Q480" s="24">
        <f t="shared" si="92"/>
        <v>1</v>
      </c>
      <c r="R480" s="715">
        <f t="shared" si="93"/>
        <v>0</v>
      </c>
      <c r="S480" s="361">
        <f t="shared" si="84"/>
        <v>0</v>
      </c>
    </row>
    <row r="481" spans="1:19">
      <c r="A481" s="159"/>
      <c r="B481" s="59"/>
      <c r="C481" s="24">
        <f t="shared" si="85"/>
        <v>1</v>
      </c>
      <c r="D481" s="719"/>
      <c r="E481" s="24">
        <f t="shared" si="86"/>
        <v>4.4999999999999998E-2</v>
      </c>
      <c r="F481" s="719"/>
      <c r="G481" s="24">
        <f t="shared" si="87"/>
        <v>0</v>
      </c>
      <c r="H481" s="719"/>
      <c r="I481" s="24">
        <f t="shared" si="88"/>
        <v>0.02</v>
      </c>
      <c r="J481" s="719"/>
      <c r="K481" s="24">
        <f t="shared" si="89"/>
        <v>0</v>
      </c>
      <c r="L481" s="719"/>
      <c r="M481" s="24">
        <f t="shared" si="90"/>
        <v>0.02</v>
      </c>
      <c r="N481" s="719"/>
      <c r="O481" s="24">
        <f t="shared" si="91"/>
        <v>1</v>
      </c>
      <c r="P481" s="719"/>
      <c r="Q481" s="24">
        <f t="shared" si="92"/>
        <v>1</v>
      </c>
      <c r="R481" s="715">
        <f t="shared" si="93"/>
        <v>0</v>
      </c>
      <c r="S481" s="361">
        <f t="shared" si="84"/>
        <v>0</v>
      </c>
    </row>
    <row r="482" spans="1:19">
      <c r="A482" s="159"/>
      <c r="B482" s="59"/>
      <c r="C482" s="24">
        <f t="shared" si="85"/>
        <v>1</v>
      </c>
      <c r="D482" s="719"/>
      <c r="E482" s="24">
        <f t="shared" si="86"/>
        <v>4.4999999999999998E-2</v>
      </c>
      <c r="F482" s="719"/>
      <c r="G482" s="24">
        <f t="shared" si="87"/>
        <v>0</v>
      </c>
      <c r="H482" s="719"/>
      <c r="I482" s="24">
        <f t="shared" si="88"/>
        <v>0.02</v>
      </c>
      <c r="J482" s="719"/>
      <c r="K482" s="24">
        <f t="shared" si="89"/>
        <v>0</v>
      </c>
      <c r="L482" s="719"/>
      <c r="M482" s="24">
        <f t="shared" si="90"/>
        <v>0.02</v>
      </c>
      <c r="N482" s="719"/>
      <c r="O482" s="24">
        <f t="shared" si="91"/>
        <v>1</v>
      </c>
      <c r="P482" s="719"/>
      <c r="Q482" s="24">
        <f t="shared" si="92"/>
        <v>1</v>
      </c>
      <c r="R482" s="715">
        <f t="shared" si="93"/>
        <v>0</v>
      </c>
      <c r="S482" s="361">
        <f t="shared" si="84"/>
        <v>0</v>
      </c>
    </row>
    <row r="483" spans="1:19">
      <c r="A483" s="159"/>
      <c r="B483" s="59"/>
      <c r="C483" s="24">
        <f t="shared" si="85"/>
        <v>1</v>
      </c>
      <c r="D483" s="719"/>
      <c r="E483" s="24">
        <f t="shared" si="86"/>
        <v>4.4999999999999998E-2</v>
      </c>
      <c r="F483" s="719"/>
      <c r="G483" s="24">
        <f t="shared" si="87"/>
        <v>0</v>
      </c>
      <c r="H483" s="719"/>
      <c r="I483" s="24">
        <f t="shared" si="88"/>
        <v>0.02</v>
      </c>
      <c r="J483" s="719"/>
      <c r="K483" s="24">
        <f t="shared" si="89"/>
        <v>0</v>
      </c>
      <c r="L483" s="719"/>
      <c r="M483" s="24">
        <f t="shared" si="90"/>
        <v>0.02</v>
      </c>
      <c r="N483" s="719"/>
      <c r="O483" s="24">
        <f t="shared" si="91"/>
        <v>1</v>
      </c>
      <c r="P483" s="719"/>
      <c r="Q483" s="24">
        <f t="shared" si="92"/>
        <v>1</v>
      </c>
      <c r="R483" s="715">
        <f t="shared" si="93"/>
        <v>0</v>
      </c>
      <c r="S483" s="361">
        <f t="shared" si="84"/>
        <v>0</v>
      </c>
    </row>
    <row r="484" spans="1:19">
      <c r="A484" s="159"/>
      <c r="B484" s="59"/>
      <c r="C484" s="24">
        <f t="shared" si="85"/>
        <v>1</v>
      </c>
      <c r="D484" s="719"/>
      <c r="E484" s="24">
        <f t="shared" si="86"/>
        <v>4.4999999999999998E-2</v>
      </c>
      <c r="F484" s="719"/>
      <c r="G484" s="24">
        <f t="shared" si="87"/>
        <v>0</v>
      </c>
      <c r="H484" s="719"/>
      <c r="I484" s="24">
        <f t="shared" si="88"/>
        <v>0.02</v>
      </c>
      <c r="J484" s="719"/>
      <c r="K484" s="24">
        <f t="shared" si="89"/>
        <v>0</v>
      </c>
      <c r="L484" s="719"/>
      <c r="M484" s="24">
        <f t="shared" si="90"/>
        <v>0.02</v>
      </c>
      <c r="N484" s="719"/>
      <c r="O484" s="24">
        <f t="shared" si="91"/>
        <v>1</v>
      </c>
      <c r="P484" s="719"/>
      <c r="Q484" s="24">
        <f t="shared" si="92"/>
        <v>1</v>
      </c>
      <c r="R484" s="715">
        <f t="shared" si="93"/>
        <v>0</v>
      </c>
      <c r="S484" s="361">
        <f t="shared" si="84"/>
        <v>0</v>
      </c>
    </row>
    <row r="485" spans="1:19">
      <c r="A485" s="159"/>
      <c r="B485" s="59"/>
      <c r="C485" s="24">
        <f t="shared" si="85"/>
        <v>1</v>
      </c>
      <c r="D485" s="719"/>
      <c r="E485" s="24">
        <f t="shared" si="86"/>
        <v>4.4999999999999998E-2</v>
      </c>
      <c r="F485" s="719"/>
      <c r="G485" s="24">
        <f t="shared" si="87"/>
        <v>0</v>
      </c>
      <c r="H485" s="719"/>
      <c r="I485" s="24">
        <f t="shared" si="88"/>
        <v>0.02</v>
      </c>
      <c r="J485" s="719"/>
      <c r="K485" s="24">
        <f t="shared" si="89"/>
        <v>0</v>
      </c>
      <c r="L485" s="719"/>
      <c r="M485" s="24">
        <f t="shared" si="90"/>
        <v>0.02</v>
      </c>
      <c r="N485" s="719"/>
      <c r="O485" s="24">
        <f t="shared" si="91"/>
        <v>1</v>
      </c>
      <c r="P485" s="719"/>
      <c r="Q485" s="24">
        <f t="shared" si="92"/>
        <v>1</v>
      </c>
      <c r="R485" s="715">
        <f t="shared" si="93"/>
        <v>0</v>
      </c>
      <c r="S485" s="361">
        <f t="shared" si="84"/>
        <v>0</v>
      </c>
    </row>
    <row r="486" spans="1:19">
      <c r="A486" s="159"/>
      <c r="B486" s="59"/>
      <c r="C486" s="24">
        <f t="shared" si="85"/>
        <v>1</v>
      </c>
      <c r="D486" s="719"/>
      <c r="E486" s="24">
        <f t="shared" si="86"/>
        <v>4.4999999999999998E-2</v>
      </c>
      <c r="F486" s="719"/>
      <c r="G486" s="24">
        <f t="shared" si="87"/>
        <v>0</v>
      </c>
      <c r="H486" s="719"/>
      <c r="I486" s="24">
        <f t="shared" si="88"/>
        <v>0.02</v>
      </c>
      <c r="J486" s="719"/>
      <c r="K486" s="24">
        <f t="shared" si="89"/>
        <v>0</v>
      </c>
      <c r="L486" s="719"/>
      <c r="M486" s="24">
        <f t="shared" si="90"/>
        <v>0.02</v>
      </c>
      <c r="N486" s="719"/>
      <c r="O486" s="24">
        <f t="shared" si="91"/>
        <v>1</v>
      </c>
      <c r="P486" s="719"/>
      <c r="Q486" s="24">
        <f t="shared" si="92"/>
        <v>1</v>
      </c>
      <c r="R486" s="715">
        <f t="shared" si="93"/>
        <v>0</v>
      </c>
      <c r="S486" s="361">
        <f t="shared" si="84"/>
        <v>0</v>
      </c>
    </row>
    <row r="487" spans="1:19">
      <c r="A487" s="159"/>
      <c r="B487" s="59"/>
      <c r="C487" s="24">
        <f t="shared" si="85"/>
        <v>1</v>
      </c>
      <c r="D487" s="719"/>
      <c r="E487" s="24">
        <f t="shared" si="86"/>
        <v>4.4999999999999998E-2</v>
      </c>
      <c r="F487" s="719"/>
      <c r="G487" s="24">
        <f t="shared" si="87"/>
        <v>0</v>
      </c>
      <c r="H487" s="719"/>
      <c r="I487" s="24">
        <f t="shared" si="88"/>
        <v>0.02</v>
      </c>
      <c r="J487" s="719"/>
      <c r="K487" s="24">
        <f t="shared" si="89"/>
        <v>0</v>
      </c>
      <c r="L487" s="719"/>
      <c r="M487" s="24">
        <f t="shared" si="90"/>
        <v>0.02</v>
      </c>
      <c r="N487" s="719"/>
      <c r="O487" s="24">
        <f t="shared" si="91"/>
        <v>1</v>
      </c>
      <c r="P487" s="719"/>
      <c r="Q487" s="24">
        <f t="shared" si="92"/>
        <v>1</v>
      </c>
      <c r="R487" s="715">
        <f t="shared" si="93"/>
        <v>0</v>
      </c>
      <c r="S487" s="361">
        <f t="shared" si="84"/>
        <v>0</v>
      </c>
    </row>
    <row r="488" spans="1:19">
      <c r="A488" s="159"/>
      <c r="B488" s="59"/>
      <c r="C488" s="24">
        <f t="shared" si="85"/>
        <v>1</v>
      </c>
      <c r="D488" s="719"/>
      <c r="E488" s="24">
        <f t="shared" si="86"/>
        <v>4.4999999999999998E-2</v>
      </c>
      <c r="F488" s="719"/>
      <c r="G488" s="24">
        <f t="shared" si="87"/>
        <v>0</v>
      </c>
      <c r="H488" s="719"/>
      <c r="I488" s="24">
        <f t="shared" si="88"/>
        <v>0.02</v>
      </c>
      <c r="J488" s="719"/>
      <c r="K488" s="24">
        <f t="shared" si="89"/>
        <v>0</v>
      </c>
      <c r="L488" s="719"/>
      <c r="M488" s="24">
        <f t="shared" si="90"/>
        <v>0.02</v>
      </c>
      <c r="N488" s="719"/>
      <c r="O488" s="24">
        <f t="shared" si="91"/>
        <v>1</v>
      </c>
      <c r="P488" s="719"/>
      <c r="Q488" s="24">
        <f t="shared" si="92"/>
        <v>1</v>
      </c>
      <c r="R488" s="715">
        <f t="shared" si="93"/>
        <v>0</v>
      </c>
      <c r="S488" s="361">
        <f t="shared" si="84"/>
        <v>0</v>
      </c>
    </row>
    <row r="489" spans="1:19">
      <c r="A489" s="159"/>
      <c r="B489" s="59"/>
      <c r="C489" s="24">
        <f t="shared" si="85"/>
        <v>1</v>
      </c>
      <c r="D489" s="719"/>
      <c r="E489" s="24">
        <f t="shared" si="86"/>
        <v>4.4999999999999998E-2</v>
      </c>
      <c r="F489" s="719"/>
      <c r="G489" s="24">
        <f t="shared" si="87"/>
        <v>0</v>
      </c>
      <c r="H489" s="719"/>
      <c r="I489" s="24">
        <f t="shared" si="88"/>
        <v>0.02</v>
      </c>
      <c r="J489" s="719"/>
      <c r="K489" s="24">
        <f t="shared" si="89"/>
        <v>0</v>
      </c>
      <c r="L489" s="719"/>
      <c r="M489" s="24">
        <f t="shared" si="90"/>
        <v>0.02</v>
      </c>
      <c r="N489" s="719"/>
      <c r="O489" s="24">
        <f t="shared" si="91"/>
        <v>1</v>
      </c>
      <c r="P489" s="719"/>
      <c r="Q489" s="24">
        <f t="shared" si="92"/>
        <v>1</v>
      </c>
      <c r="R489" s="715">
        <f t="shared" si="93"/>
        <v>0</v>
      </c>
      <c r="S489" s="361">
        <f t="shared" si="84"/>
        <v>0</v>
      </c>
    </row>
    <row r="490" spans="1:19">
      <c r="A490" s="159"/>
      <c r="B490" s="59"/>
      <c r="C490" s="24">
        <f t="shared" si="85"/>
        <v>1</v>
      </c>
      <c r="D490" s="719"/>
      <c r="E490" s="24">
        <f t="shared" si="86"/>
        <v>4.4999999999999998E-2</v>
      </c>
      <c r="F490" s="719"/>
      <c r="G490" s="24">
        <f t="shared" si="87"/>
        <v>0</v>
      </c>
      <c r="H490" s="719"/>
      <c r="I490" s="24">
        <f t="shared" si="88"/>
        <v>0.02</v>
      </c>
      <c r="J490" s="719"/>
      <c r="K490" s="24">
        <f t="shared" si="89"/>
        <v>0</v>
      </c>
      <c r="L490" s="719"/>
      <c r="M490" s="24">
        <f t="shared" si="90"/>
        <v>0.02</v>
      </c>
      <c r="N490" s="719"/>
      <c r="O490" s="24">
        <f t="shared" si="91"/>
        <v>1</v>
      </c>
      <c r="P490" s="719"/>
      <c r="Q490" s="24">
        <f t="shared" si="92"/>
        <v>1</v>
      </c>
      <c r="R490" s="715">
        <f t="shared" si="93"/>
        <v>0</v>
      </c>
      <c r="S490" s="361">
        <f t="shared" si="84"/>
        <v>0</v>
      </c>
    </row>
    <row r="491" spans="1:19">
      <c r="A491" s="159"/>
      <c r="B491" s="59"/>
      <c r="C491" s="24">
        <f t="shared" si="85"/>
        <v>1</v>
      </c>
      <c r="D491" s="719"/>
      <c r="E491" s="24">
        <f t="shared" si="86"/>
        <v>4.4999999999999998E-2</v>
      </c>
      <c r="F491" s="719"/>
      <c r="G491" s="24">
        <f t="shared" si="87"/>
        <v>0</v>
      </c>
      <c r="H491" s="719"/>
      <c r="I491" s="24">
        <f t="shared" si="88"/>
        <v>0.02</v>
      </c>
      <c r="J491" s="719"/>
      <c r="K491" s="24">
        <f t="shared" si="89"/>
        <v>0</v>
      </c>
      <c r="L491" s="719"/>
      <c r="M491" s="24">
        <f t="shared" si="90"/>
        <v>0.02</v>
      </c>
      <c r="N491" s="719"/>
      <c r="O491" s="24">
        <f t="shared" si="91"/>
        <v>1</v>
      </c>
      <c r="P491" s="719"/>
      <c r="Q491" s="24">
        <f t="shared" si="92"/>
        <v>1</v>
      </c>
      <c r="R491" s="715">
        <f t="shared" si="93"/>
        <v>0</v>
      </c>
      <c r="S491" s="361">
        <f t="shared" si="84"/>
        <v>0</v>
      </c>
    </row>
    <row r="492" spans="1:19">
      <c r="A492" s="159"/>
      <c r="B492" s="59"/>
      <c r="C492" s="24">
        <f t="shared" si="85"/>
        <v>1</v>
      </c>
      <c r="D492" s="719"/>
      <c r="E492" s="24">
        <f t="shared" si="86"/>
        <v>4.4999999999999998E-2</v>
      </c>
      <c r="F492" s="719"/>
      <c r="G492" s="24">
        <f t="shared" si="87"/>
        <v>0</v>
      </c>
      <c r="H492" s="719"/>
      <c r="I492" s="24">
        <f t="shared" si="88"/>
        <v>0.02</v>
      </c>
      <c r="J492" s="719"/>
      <c r="K492" s="24">
        <f t="shared" si="89"/>
        <v>0</v>
      </c>
      <c r="L492" s="719"/>
      <c r="M492" s="24">
        <f t="shared" si="90"/>
        <v>0.02</v>
      </c>
      <c r="N492" s="719"/>
      <c r="O492" s="24">
        <f t="shared" si="91"/>
        <v>1</v>
      </c>
      <c r="P492" s="719"/>
      <c r="Q492" s="24">
        <f t="shared" si="92"/>
        <v>1</v>
      </c>
      <c r="R492" s="715">
        <f t="shared" si="93"/>
        <v>0</v>
      </c>
      <c r="S492" s="361">
        <f t="shared" si="84"/>
        <v>0</v>
      </c>
    </row>
    <row r="493" spans="1:19">
      <c r="A493" s="159"/>
      <c r="B493" s="59"/>
      <c r="C493" s="24">
        <f t="shared" si="85"/>
        <v>1</v>
      </c>
      <c r="D493" s="719"/>
      <c r="E493" s="24">
        <f t="shared" si="86"/>
        <v>4.4999999999999998E-2</v>
      </c>
      <c r="F493" s="719"/>
      <c r="G493" s="24">
        <f t="shared" si="87"/>
        <v>0</v>
      </c>
      <c r="H493" s="719"/>
      <c r="I493" s="24">
        <f t="shared" si="88"/>
        <v>0.02</v>
      </c>
      <c r="J493" s="719"/>
      <c r="K493" s="24">
        <f t="shared" si="89"/>
        <v>0</v>
      </c>
      <c r="L493" s="719"/>
      <c r="M493" s="24">
        <f t="shared" si="90"/>
        <v>0.02</v>
      </c>
      <c r="N493" s="719"/>
      <c r="O493" s="24">
        <f t="shared" si="91"/>
        <v>1</v>
      </c>
      <c r="P493" s="719"/>
      <c r="Q493" s="24">
        <f t="shared" si="92"/>
        <v>1</v>
      </c>
      <c r="R493" s="715">
        <f t="shared" si="93"/>
        <v>0</v>
      </c>
      <c r="S493" s="361">
        <f t="shared" si="84"/>
        <v>0</v>
      </c>
    </row>
    <row r="494" spans="1:19">
      <c r="A494" s="159"/>
      <c r="B494" s="59"/>
      <c r="C494" s="24">
        <f t="shared" si="85"/>
        <v>1</v>
      </c>
      <c r="D494" s="719"/>
      <c r="E494" s="24">
        <f t="shared" si="86"/>
        <v>4.4999999999999998E-2</v>
      </c>
      <c r="F494" s="719"/>
      <c r="G494" s="24">
        <f t="shared" si="87"/>
        <v>0</v>
      </c>
      <c r="H494" s="719"/>
      <c r="I494" s="24">
        <f t="shared" si="88"/>
        <v>0.02</v>
      </c>
      <c r="J494" s="719"/>
      <c r="K494" s="24">
        <f t="shared" si="89"/>
        <v>0</v>
      </c>
      <c r="L494" s="719"/>
      <c r="M494" s="24">
        <f t="shared" si="90"/>
        <v>0.02</v>
      </c>
      <c r="N494" s="719"/>
      <c r="O494" s="24">
        <f t="shared" si="91"/>
        <v>1</v>
      </c>
      <c r="P494" s="719"/>
      <c r="Q494" s="24">
        <f t="shared" si="92"/>
        <v>1</v>
      </c>
      <c r="R494" s="715">
        <f t="shared" si="93"/>
        <v>0</v>
      </c>
      <c r="S494" s="361">
        <f t="shared" si="84"/>
        <v>0</v>
      </c>
    </row>
    <row r="495" spans="1:19">
      <c r="A495" s="159"/>
      <c r="B495" s="59"/>
      <c r="C495" s="24">
        <f t="shared" si="85"/>
        <v>1</v>
      </c>
      <c r="D495" s="719"/>
      <c r="E495" s="24">
        <f t="shared" si="86"/>
        <v>4.4999999999999998E-2</v>
      </c>
      <c r="F495" s="719"/>
      <c r="G495" s="24">
        <f t="shared" si="87"/>
        <v>0</v>
      </c>
      <c r="H495" s="719"/>
      <c r="I495" s="24">
        <f t="shared" si="88"/>
        <v>0.02</v>
      </c>
      <c r="J495" s="719"/>
      <c r="K495" s="24">
        <f t="shared" si="89"/>
        <v>0</v>
      </c>
      <c r="L495" s="719"/>
      <c r="M495" s="24">
        <f t="shared" si="90"/>
        <v>0.02</v>
      </c>
      <c r="N495" s="719"/>
      <c r="O495" s="24">
        <f t="shared" si="91"/>
        <v>1</v>
      </c>
      <c r="P495" s="719"/>
      <c r="Q495" s="24">
        <f t="shared" si="92"/>
        <v>1</v>
      </c>
      <c r="R495" s="715">
        <f t="shared" si="93"/>
        <v>0</v>
      </c>
      <c r="S495" s="361">
        <f t="shared" si="84"/>
        <v>0</v>
      </c>
    </row>
    <row r="496" spans="1:19">
      <c r="A496" s="159"/>
      <c r="B496" s="59"/>
      <c r="C496" s="24">
        <f t="shared" si="85"/>
        <v>1</v>
      </c>
      <c r="D496" s="719"/>
      <c r="E496" s="24">
        <f t="shared" si="86"/>
        <v>4.4999999999999998E-2</v>
      </c>
      <c r="F496" s="719"/>
      <c r="G496" s="24">
        <f t="shared" si="87"/>
        <v>0</v>
      </c>
      <c r="H496" s="719"/>
      <c r="I496" s="24">
        <f t="shared" si="88"/>
        <v>0.02</v>
      </c>
      <c r="J496" s="719"/>
      <c r="K496" s="24">
        <f t="shared" si="89"/>
        <v>0</v>
      </c>
      <c r="L496" s="719"/>
      <c r="M496" s="24">
        <f t="shared" si="90"/>
        <v>0.02</v>
      </c>
      <c r="N496" s="719"/>
      <c r="O496" s="24">
        <f t="shared" si="91"/>
        <v>1</v>
      </c>
      <c r="P496" s="719"/>
      <c r="Q496" s="24">
        <f t="shared" si="92"/>
        <v>1</v>
      </c>
      <c r="R496" s="715">
        <f t="shared" si="93"/>
        <v>0</v>
      </c>
      <c r="S496" s="361">
        <f t="shared" si="84"/>
        <v>0</v>
      </c>
    </row>
    <row r="497" spans="1:19">
      <c r="A497" s="159"/>
      <c r="B497" s="59"/>
      <c r="C497" s="24">
        <f t="shared" si="85"/>
        <v>1</v>
      </c>
      <c r="D497" s="719"/>
      <c r="E497" s="24">
        <f t="shared" si="86"/>
        <v>4.4999999999999998E-2</v>
      </c>
      <c r="F497" s="719"/>
      <c r="G497" s="24">
        <f t="shared" si="87"/>
        <v>0</v>
      </c>
      <c r="H497" s="719"/>
      <c r="I497" s="24">
        <f t="shared" si="88"/>
        <v>0.02</v>
      </c>
      <c r="J497" s="719"/>
      <c r="K497" s="24">
        <f t="shared" si="89"/>
        <v>0</v>
      </c>
      <c r="L497" s="719"/>
      <c r="M497" s="24">
        <f t="shared" si="90"/>
        <v>0.02</v>
      </c>
      <c r="N497" s="719"/>
      <c r="O497" s="24">
        <f t="shared" si="91"/>
        <v>1</v>
      </c>
      <c r="P497" s="719"/>
      <c r="Q497" s="24">
        <f t="shared" si="92"/>
        <v>1</v>
      </c>
      <c r="R497" s="715">
        <f t="shared" si="93"/>
        <v>0</v>
      </c>
      <c r="S497" s="361">
        <f t="shared" si="84"/>
        <v>0</v>
      </c>
    </row>
    <row r="498" spans="1:19">
      <c r="A498" s="159"/>
      <c r="B498" s="59"/>
      <c r="C498" s="24">
        <f t="shared" si="85"/>
        <v>1</v>
      </c>
      <c r="D498" s="719"/>
      <c r="E498" s="24">
        <f t="shared" si="86"/>
        <v>4.4999999999999998E-2</v>
      </c>
      <c r="F498" s="719"/>
      <c r="G498" s="24">
        <f t="shared" si="87"/>
        <v>0</v>
      </c>
      <c r="H498" s="719"/>
      <c r="I498" s="24">
        <f t="shared" si="88"/>
        <v>0.02</v>
      </c>
      <c r="J498" s="719"/>
      <c r="K498" s="24">
        <f t="shared" si="89"/>
        <v>0</v>
      </c>
      <c r="L498" s="719"/>
      <c r="M498" s="24">
        <f t="shared" si="90"/>
        <v>0.02</v>
      </c>
      <c r="N498" s="719"/>
      <c r="O498" s="24">
        <f t="shared" si="91"/>
        <v>1</v>
      </c>
      <c r="P498" s="719"/>
      <c r="Q498" s="24">
        <f t="shared" si="92"/>
        <v>1</v>
      </c>
      <c r="R498" s="715">
        <f t="shared" si="93"/>
        <v>0</v>
      </c>
      <c r="S498" s="361">
        <f t="shared" ref="S498:S524" si="94">ROUND(R498*B498/10000,0)</f>
        <v>0</v>
      </c>
    </row>
    <row r="499" spans="1:19">
      <c r="A499" s="159"/>
      <c r="B499" s="59"/>
      <c r="C499" s="24">
        <f t="shared" si="85"/>
        <v>1</v>
      </c>
      <c r="D499" s="719"/>
      <c r="E499" s="24">
        <f t="shared" si="86"/>
        <v>4.4999999999999998E-2</v>
      </c>
      <c r="F499" s="719"/>
      <c r="G499" s="24">
        <f t="shared" si="87"/>
        <v>0</v>
      </c>
      <c r="H499" s="719"/>
      <c r="I499" s="24">
        <f t="shared" si="88"/>
        <v>0.02</v>
      </c>
      <c r="J499" s="719"/>
      <c r="K499" s="24">
        <f t="shared" si="89"/>
        <v>0</v>
      </c>
      <c r="L499" s="719"/>
      <c r="M499" s="24">
        <f t="shared" si="90"/>
        <v>0.02</v>
      </c>
      <c r="N499" s="719"/>
      <c r="O499" s="24">
        <f t="shared" si="91"/>
        <v>1</v>
      </c>
      <c r="P499" s="719"/>
      <c r="Q499" s="24">
        <f t="shared" si="92"/>
        <v>1</v>
      </c>
      <c r="R499" s="715">
        <f t="shared" si="93"/>
        <v>0</v>
      </c>
      <c r="S499" s="361">
        <f t="shared" si="94"/>
        <v>0</v>
      </c>
    </row>
    <row r="500" spans="1:19">
      <c r="A500" s="159"/>
      <c r="B500" s="59"/>
      <c r="C500" s="24">
        <f t="shared" si="85"/>
        <v>1</v>
      </c>
      <c r="D500" s="719"/>
      <c r="E500" s="24">
        <f t="shared" si="86"/>
        <v>4.4999999999999998E-2</v>
      </c>
      <c r="F500" s="719"/>
      <c r="G500" s="24">
        <f t="shared" si="87"/>
        <v>0</v>
      </c>
      <c r="H500" s="719"/>
      <c r="I500" s="24">
        <f t="shared" si="88"/>
        <v>0.02</v>
      </c>
      <c r="J500" s="719"/>
      <c r="K500" s="24">
        <f t="shared" si="89"/>
        <v>0</v>
      </c>
      <c r="L500" s="719"/>
      <c r="M500" s="24">
        <f t="shared" si="90"/>
        <v>0.02</v>
      </c>
      <c r="N500" s="719"/>
      <c r="O500" s="24">
        <f t="shared" si="91"/>
        <v>1</v>
      </c>
      <c r="P500" s="719"/>
      <c r="Q500" s="24">
        <f t="shared" si="92"/>
        <v>1</v>
      </c>
      <c r="R500" s="715">
        <f t="shared" si="93"/>
        <v>0</v>
      </c>
      <c r="S500" s="361">
        <f t="shared" si="94"/>
        <v>0</v>
      </c>
    </row>
    <row r="501" spans="1:19">
      <c r="A501" s="159"/>
      <c r="B501" s="59"/>
      <c r="C501" s="24">
        <f t="shared" si="85"/>
        <v>1</v>
      </c>
      <c r="D501" s="719"/>
      <c r="E501" s="24">
        <f t="shared" si="86"/>
        <v>4.4999999999999998E-2</v>
      </c>
      <c r="F501" s="719"/>
      <c r="G501" s="24">
        <f t="shared" si="87"/>
        <v>0</v>
      </c>
      <c r="H501" s="719"/>
      <c r="I501" s="24">
        <f t="shared" si="88"/>
        <v>0.02</v>
      </c>
      <c r="J501" s="719"/>
      <c r="K501" s="24">
        <f t="shared" si="89"/>
        <v>0</v>
      </c>
      <c r="L501" s="719"/>
      <c r="M501" s="24">
        <f t="shared" si="90"/>
        <v>0.02</v>
      </c>
      <c r="N501" s="719"/>
      <c r="O501" s="24">
        <f t="shared" si="91"/>
        <v>1</v>
      </c>
      <c r="P501" s="719"/>
      <c r="Q501" s="24">
        <f t="shared" si="92"/>
        <v>1</v>
      </c>
      <c r="R501" s="715">
        <f t="shared" si="93"/>
        <v>0</v>
      </c>
      <c r="S501" s="361">
        <f t="shared" si="94"/>
        <v>0</v>
      </c>
    </row>
    <row r="502" spans="1:19">
      <c r="A502" s="159"/>
      <c r="B502" s="59"/>
      <c r="C502" s="24">
        <f t="shared" si="85"/>
        <v>1</v>
      </c>
      <c r="D502" s="719"/>
      <c r="E502" s="24">
        <f t="shared" si="86"/>
        <v>4.4999999999999998E-2</v>
      </c>
      <c r="F502" s="719"/>
      <c r="G502" s="24">
        <f t="shared" si="87"/>
        <v>0</v>
      </c>
      <c r="H502" s="719"/>
      <c r="I502" s="24">
        <f t="shared" si="88"/>
        <v>0.02</v>
      </c>
      <c r="J502" s="719"/>
      <c r="K502" s="24">
        <f t="shared" si="89"/>
        <v>0</v>
      </c>
      <c r="L502" s="719"/>
      <c r="M502" s="24">
        <f t="shared" si="90"/>
        <v>0.02</v>
      </c>
      <c r="N502" s="719"/>
      <c r="O502" s="24">
        <f t="shared" si="91"/>
        <v>1</v>
      </c>
      <c r="P502" s="719"/>
      <c r="Q502" s="24">
        <f t="shared" si="92"/>
        <v>1</v>
      </c>
      <c r="R502" s="715">
        <f t="shared" si="93"/>
        <v>0</v>
      </c>
      <c r="S502" s="361">
        <f t="shared" si="94"/>
        <v>0</v>
      </c>
    </row>
    <row r="503" spans="1:19">
      <c r="A503" s="159"/>
      <c r="B503" s="59"/>
      <c r="C503" s="24">
        <f t="shared" si="85"/>
        <v>1</v>
      </c>
      <c r="D503" s="719"/>
      <c r="E503" s="24">
        <f t="shared" si="86"/>
        <v>4.4999999999999998E-2</v>
      </c>
      <c r="F503" s="719"/>
      <c r="G503" s="24">
        <f t="shared" si="87"/>
        <v>0</v>
      </c>
      <c r="H503" s="719"/>
      <c r="I503" s="24">
        <f t="shared" si="88"/>
        <v>0.02</v>
      </c>
      <c r="J503" s="719"/>
      <c r="K503" s="24">
        <f t="shared" si="89"/>
        <v>0</v>
      </c>
      <c r="L503" s="719"/>
      <c r="M503" s="24">
        <f t="shared" si="90"/>
        <v>0.02</v>
      </c>
      <c r="N503" s="719"/>
      <c r="O503" s="24">
        <f t="shared" si="91"/>
        <v>1</v>
      </c>
      <c r="P503" s="719"/>
      <c r="Q503" s="24">
        <f t="shared" si="92"/>
        <v>1</v>
      </c>
      <c r="R503" s="715">
        <f t="shared" si="93"/>
        <v>0</v>
      </c>
      <c r="S503" s="361">
        <f t="shared" si="94"/>
        <v>0</v>
      </c>
    </row>
    <row r="504" spans="1:19">
      <c r="A504" s="159"/>
      <c r="B504" s="59"/>
      <c r="C504" s="24">
        <f t="shared" si="85"/>
        <v>1</v>
      </c>
      <c r="D504" s="719"/>
      <c r="E504" s="24">
        <f t="shared" si="86"/>
        <v>4.4999999999999998E-2</v>
      </c>
      <c r="F504" s="719"/>
      <c r="G504" s="24">
        <f t="shared" si="87"/>
        <v>0</v>
      </c>
      <c r="H504" s="719"/>
      <c r="I504" s="24">
        <f t="shared" si="88"/>
        <v>0.02</v>
      </c>
      <c r="J504" s="719"/>
      <c r="K504" s="24">
        <f t="shared" si="89"/>
        <v>0</v>
      </c>
      <c r="L504" s="719"/>
      <c r="M504" s="24">
        <f t="shared" si="90"/>
        <v>0.02</v>
      </c>
      <c r="N504" s="719"/>
      <c r="O504" s="24">
        <f t="shared" si="91"/>
        <v>1</v>
      </c>
      <c r="P504" s="719"/>
      <c r="Q504" s="24">
        <f t="shared" si="92"/>
        <v>1</v>
      </c>
      <c r="R504" s="715">
        <f t="shared" si="93"/>
        <v>0</v>
      </c>
      <c r="S504" s="361">
        <f t="shared" si="94"/>
        <v>0</v>
      </c>
    </row>
    <row r="505" spans="1:19">
      <c r="A505" s="159"/>
      <c r="B505" s="59"/>
      <c r="C505" s="24">
        <f t="shared" si="85"/>
        <v>1</v>
      </c>
      <c r="D505" s="719"/>
      <c r="E505" s="24">
        <f t="shared" si="86"/>
        <v>4.4999999999999998E-2</v>
      </c>
      <c r="F505" s="719"/>
      <c r="G505" s="24">
        <f t="shared" si="87"/>
        <v>0</v>
      </c>
      <c r="H505" s="719"/>
      <c r="I505" s="24">
        <f t="shared" si="88"/>
        <v>0.02</v>
      </c>
      <c r="J505" s="719"/>
      <c r="K505" s="24">
        <f t="shared" si="89"/>
        <v>0</v>
      </c>
      <c r="L505" s="719"/>
      <c r="M505" s="24">
        <f t="shared" si="90"/>
        <v>0.02</v>
      </c>
      <c r="N505" s="719"/>
      <c r="O505" s="24">
        <f t="shared" si="91"/>
        <v>1</v>
      </c>
      <c r="P505" s="719"/>
      <c r="Q505" s="24">
        <f t="shared" si="92"/>
        <v>1</v>
      </c>
      <c r="R505" s="715">
        <f t="shared" si="93"/>
        <v>0</v>
      </c>
      <c r="S505" s="361">
        <f t="shared" si="94"/>
        <v>0</v>
      </c>
    </row>
    <row r="506" spans="1:19">
      <c r="A506" s="159"/>
      <c r="B506" s="59"/>
      <c r="C506" s="24">
        <f t="shared" si="85"/>
        <v>1</v>
      </c>
      <c r="D506" s="719"/>
      <c r="E506" s="24">
        <f t="shared" si="86"/>
        <v>4.4999999999999998E-2</v>
      </c>
      <c r="F506" s="719"/>
      <c r="G506" s="24">
        <f t="shared" si="87"/>
        <v>0</v>
      </c>
      <c r="H506" s="719"/>
      <c r="I506" s="24">
        <f t="shared" si="88"/>
        <v>0.02</v>
      </c>
      <c r="J506" s="719"/>
      <c r="K506" s="24">
        <f t="shared" si="89"/>
        <v>0</v>
      </c>
      <c r="L506" s="719"/>
      <c r="M506" s="24">
        <f t="shared" si="90"/>
        <v>0.02</v>
      </c>
      <c r="N506" s="719"/>
      <c r="O506" s="24">
        <f t="shared" si="91"/>
        <v>1</v>
      </c>
      <c r="P506" s="719"/>
      <c r="Q506" s="24">
        <f t="shared" si="92"/>
        <v>1</v>
      </c>
      <c r="R506" s="715">
        <f t="shared" si="93"/>
        <v>0</v>
      </c>
      <c r="S506" s="361">
        <f t="shared" si="94"/>
        <v>0</v>
      </c>
    </row>
    <row r="507" spans="1:19">
      <c r="A507" s="159"/>
      <c r="B507" s="59"/>
      <c r="C507" s="24">
        <f t="shared" si="85"/>
        <v>1</v>
      </c>
      <c r="D507" s="719"/>
      <c r="E507" s="24">
        <f t="shared" si="86"/>
        <v>4.4999999999999998E-2</v>
      </c>
      <c r="F507" s="719"/>
      <c r="G507" s="24">
        <f t="shared" si="87"/>
        <v>0</v>
      </c>
      <c r="H507" s="719"/>
      <c r="I507" s="24">
        <f t="shared" si="88"/>
        <v>0.02</v>
      </c>
      <c r="J507" s="719"/>
      <c r="K507" s="24">
        <f t="shared" si="89"/>
        <v>0</v>
      </c>
      <c r="L507" s="719"/>
      <c r="M507" s="24">
        <f t="shared" si="90"/>
        <v>0.02</v>
      </c>
      <c r="N507" s="719"/>
      <c r="O507" s="24">
        <f t="shared" si="91"/>
        <v>1</v>
      </c>
      <c r="P507" s="719"/>
      <c r="Q507" s="24">
        <f t="shared" si="92"/>
        <v>1</v>
      </c>
      <c r="R507" s="715">
        <f t="shared" si="93"/>
        <v>0</v>
      </c>
      <c r="S507" s="361">
        <f t="shared" si="94"/>
        <v>0</v>
      </c>
    </row>
    <row r="508" spans="1:19">
      <c r="A508" s="159"/>
      <c r="B508" s="59"/>
      <c r="C508" s="24">
        <f t="shared" si="85"/>
        <v>1</v>
      </c>
      <c r="D508" s="719"/>
      <c r="E508" s="24">
        <f t="shared" si="86"/>
        <v>4.4999999999999998E-2</v>
      </c>
      <c r="F508" s="719"/>
      <c r="G508" s="24">
        <f t="shared" si="87"/>
        <v>0</v>
      </c>
      <c r="H508" s="719"/>
      <c r="I508" s="24">
        <f t="shared" si="88"/>
        <v>0.02</v>
      </c>
      <c r="J508" s="719"/>
      <c r="K508" s="24">
        <f t="shared" si="89"/>
        <v>0</v>
      </c>
      <c r="L508" s="719"/>
      <c r="M508" s="24">
        <f t="shared" si="90"/>
        <v>0.02</v>
      </c>
      <c r="N508" s="719"/>
      <c r="O508" s="24">
        <f t="shared" si="91"/>
        <v>1</v>
      </c>
      <c r="P508" s="719"/>
      <c r="Q508" s="24">
        <f t="shared" si="92"/>
        <v>1</v>
      </c>
      <c r="R508" s="715">
        <f t="shared" si="93"/>
        <v>0</v>
      </c>
      <c r="S508" s="361">
        <f t="shared" si="94"/>
        <v>0</v>
      </c>
    </row>
    <row r="509" spans="1:19">
      <c r="A509" s="159"/>
      <c r="B509" s="59"/>
      <c r="C509" s="24">
        <f t="shared" si="85"/>
        <v>1</v>
      </c>
      <c r="D509" s="719"/>
      <c r="E509" s="24">
        <f t="shared" si="86"/>
        <v>4.4999999999999998E-2</v>
      </c>
      <c r="F509" s="719"/>
      <c r="G509" s="24">
        <f t="shared" si="87"/>
        <v>0</v>
      </c>
      <c r="H509" s="719"/>
      <c r="I509" s="24">
        <f t="shared" si="88"/>
        <v>0.02</v>
      </c>
      <c r="J509" s="719"/>
      <c r="K509" s="24">
        <f t="shared" si="89"/>
        <v>0</v>
      </c>
      <c r="L509" s="719"/>
      <c r="M509" s="24">
        <f t="shared" si="90"/>
        <v>0.02</v>
      </c>
      <c r="N509" s="719"/>
      <c r="O509" s="24">
        <f t="shared" si="91"/>
        <v>1</v>
      </c>
      <c r="P509" s="719"/>
      <c r="Q509" s="24">
        <f t="shared" si="92"/>
        <v>1</v>
      </c>
      <c r="R509" s="715">
        <f t="shared" si="93"/>
        <v>0</v>
      </c>
      <c r="S509" s="361">
        <f t="shared" si="94"/>
        <v>0</v>
      </c>
    </row>
    <row r="510" spans="1:19">
      <c r="A510" s="159"/>
      <c r="B510" s="59"/>
      <c r="C510" s="24">
        <f t="shared" si="85"/>
        <v>1</v>
      </c>
      <c r="D510" s="719"/>
      <c r="E510" s="24">
        <f t="shared" si="86"/>
        <v>4.4999999999999998E-2</v>
      </c>
      <c r="F510" s="719"/>
      <c r="G510" s="24">
        <f t="shared" si="87"/>
        <v>0</v>
      </c>
      <c r="H510" s="719"/>
      <c r="I510" s="24">
        <f t="shared" si="88"/>
        <v>0.02</v>
      </c>
      <c r="J510" s="719"/>
      <c r="K510" s="24">
        <f t="shared" si="89"/>
        <v>0</v>
      </c>
      <c r="L510" s="719"/>
      <c r="M510" s="24">
        <f t="shared" si="90"/>
        <v>0.02</v>
      </c>
      <c r="N510" s="719"/>
      <c r="O510" s="24">
        <f t="shared" si="91"/>
        <v>1</v>
      </c>
      <c r="P510" s="719"/>
      <c r="Q510" s="24">
        <f t="shared" si="92"/>
        <v>1</v>
      </c>
      <c r="R510" s="715">
        <f t="shared" si="93"/>
        <v>0</v>
      </c>
      <c r="S510" s="361">
        <f t="shared" si="94"/>
        <v>0</v>
      </c>
    </row>
    <row r="511" spans="1:19">
      <c r="A511" s="159"/>
      <c r="B511" s="59"/>
      <c r="C511" s="24">
        <f t="shared" si="85"/>
        <v>1</v>
      </c>
      <c r="D511" s="719"/>
      <c r="E511" s="24">
        <f t="shared" si="86"/>
        <v>4.4999999999999998E-2</v>
      </c>
      <c r="F511" s="719"/>
      <c r="G511" s="24">
        <f t="shared" si="87"/>
        <v>0</v>
      </c>
      <c r="H511" s="719"/>
      <c r="I511" s="24">
        <f t="shared" si="88"/>
        <v>0.02</v>
      </c>
      <c r="J511" s="719"/>
      <c r="K511" s="24">
        <f t="shared" si="89"/>
        <v>0</v>
      </c>
      <c r="L511" s="719"/>
      <c r="M511" s="24">
        <f t="shared" si="90"/>
        <v>0.02</v>
      </c>
      <c r="N511" s="719"/>
      <c r="O511" s="24">
        <f t="shared" si="91"/>
        <v>1</v>
      </c>
      <c r="P511" s="719"/>
      <c r="Q511" s="24">
        <f t="shared" si="92"/>
        <v>1</v>
      </c>
      <c r="R511" s="715">
        <f t="shared" si="93"/>
        <v>0</v>
      </c>
      <c r="S511" s="361">
        <f t="shared" si="94"/>
        <v>0</v>
      </c>
    </row>
    <row r="512" spans="1:19">
      <c r="A512" s="159"/>
      <c r="B512" s="59"/>
      <c r="C512" s="24">
        <f t="shared" si="85"/>
        <v>1</v>
      </c>
      <c r="D512" s="719"/>
      <c r="E512" s="24">
        <f t="shared" si="86"/>
        <v>4.4999999999999998E-2</v>
      </c>
      <c r="F512" s="719"/>
      <c r="G512" s="24">
        <f t="shared" si="87"/>
        <v>0</v>
      </c>
      <c r="H512" s="719"/>
      <c r="I512" s="24">
        <f t="shared" si="88"/>
        <v>0.02</v>
      </c>
      <c r="J512" s="719"/>
      <c r="K512" s="24">
        <f t="shared" si="89"/>
        <v>0</v>
      </c>
      <c r="L512" s="719"/>
      <c r="M512" s="24">
        <f t="shared" si="90"/>
        <v>0.02</v>
      </c>
      <c r="N512" s="719"/>
      <c r="O512" s="24">
        <f t="shared" si="91"/>
        <v>1</v>
      </c>
      <c r="P512" s="719"/>
      <c r="Q512" s="24">
        <f t="shared" si="92"/>
        <v>1</v>
      </c>
      <c r="R512" s="715">
        <f t="shared" si="93"/>
        <v>0</v>
      </c>
      <c r="S512" s="361">
        <f t="shared" si="94"/>
        <v>0</v>
      </c>
    </row>
    <row r="513" spans="1:19">
      <c r="A513" s="159"/>
      <c r="B513" s="59"/>
      <c r="C513" s="24">
        <f t="shared" si="85"/>
        <v>1</v>
      </c>
      <c r="D513" s="719"/>
      <c r="E513" s="24">
        <f t="shared" si="86"/>
        <v>4.4999999999999998E-2</v>
      </c>
      <c r="F513" s="719"/>
      <c r="G513" s="24">
        <f t="shared" si="87"/>
        <v>0</v>
      </c>
      <c r="H513" s="719"/>
      <c r="I513" s="24">
        <f t="shared" si="88"/>
        <v>0.02</v>
      </c>
      <c r="J513" s="719"/>
      <c r="K513" s="24">
        <f t="shared" si="89"/>
        <v>0</v>
      </c>
      <c r="L513" s="719"/>
      <c r="M513" s="24">
        <f t="shared" si="90"/>
        <v>0.02</v>
      </c>
      <c r="N513" s="719"/>
      <c r="O513" s="24">
        <f t="shared" si="91"/>
        <v>1</v>
      </c>
      <c r="P513" s="719"/>
      <c r="Q513" s="24">
        <f t="shared" si="92"/>
        <v>1</v>
      </c>
      <c r="R513" s="715">
        <f t="shared" si="93"/>
        <v>0</v>
      </c>
      <c r="S513" s="361">
        <f t="shared" si="94"/>
        <v>0</v>
      </c>
    </row>
    <row r="514" spans="1:19">
      <c r="A514" s="159"/>
      <c r="B514" s="59"/>
      <c r="C514" s="24">
        <f t="shared" si="85"/>
        <v>1</v>
      </c>
      <c r="D514" s="719"/>
      <c r="E514" s="24">
        <f t="shared" si="86"/>
        <v>4.4999999999999998E-2</v>
      </c>
      <c r="F514" s="719"/>
      <c r="G514" s="24">
        <f t="shared" si="87"/>
        <v>0</v>
      </c>
      <c r="H514" s="719"/>
      <c r="I514" s="24">
        <f t="shared" si="88"/>
        <v>0.02</v>
      </c>
      <c r="J514" s="719"/>
      <c r="K514" s="24">
        <f t="shared" si="89"/>
        <v>0</v>
      </c>
      <c r="L514" s="719"/>
      <c r="M514" s="24">
        <f t="shared" si="90"/>
        <v>0.02</v>
      </c>
      <c r="N514" s="719"/>
      <c r="O514" s="24">
        <f t="shared" si="91"/>
        <v>1</v>
      </c>
      <c r="P514" s="719"/>
      <c r="Q514" s="24">
        <f t="shared" si="92"/>
        <v>1</v>
      </c>
      <c r="R514" s="715">
        <f t="shared" si="93"/>
        <v>0</v>
      </c>
      <c r="S514" s="361">
        <f t="shared" si="94"/>
        <v>0</v>
      </c>
    </row>
    <row r="515" spans="1:19">
      <c r="A515" s="159"/>
      <c r="B515" s="59"/>
      <c r="C515" s="24">
        <f t="shared" si="85"/>
        <v>1</v>
      </c>
      <c r="D515" s="719"/>
      <c r="E515" s="24">
        <f t="shared" si="86"/>
        <v>4.4999999999999998E-2</v>
      </c>
      <c r="F515" s="719"/>
      <c r="G515" s="24">
        <f t="shared" si="87"/>
        <v>0</v>
      </c>
      <c r="H515" s="719"/>
      <c r="I515" s="24">
        <f t="shared" si="88"/>
        <v>0.02</v>
      </c>
      <c r="J515" s="719"/>
      <c r="K515" s="24">
        <f t="shared" si="89"/>
        <v>0</v>
      </c>
      <c r="L515" s="719"/>
      <c r="M515" s="24">
        <f t="shared" si="90"/>
        <v>0.02</v>
      </c>
      <c r="N515" s="719"/>
      <c r="O515" s="24">
        <f t="shared" si="91"/>
        <v>1</v>
      </c>
      <c r="P515" s="719"/>
      <c r="Q515" s="24">
        <f t="shared" si="92"/>
        <v>1</v>
      </c>
      <c r="R515" s="715">
        <f t="shared" si="93"/>
        <v>0</v>
      </c>
      <c r="S515" s="361">
        <f t="shared" si="94"/>
        <v>0</v>
      </c>
    </row>
    <row r="516" spans="1:19">
      <c r="A516" s="159"/>
      <c r="B516" s="59"/>
      <c r="C516" s="24">
        <f t="shared" si="85"/>
        <v>1</v>
      </c>
      <c r="D516" s="719"/>
      <c r="E516" s="24">
        <f t="shared" si="86"/>
        <v>4.4999999999999998E-2</v>
      </c>
      <c r="F516" s="719"/>
      <c r="G516" s="24">
        <f t="shared" si="87"/>
        <v>0</v>
      </c>
      <c r="H516" s="719"/>
      <c r="I516" s="24">
        <f t="shared" si="88"/>
        <v>0.02</v>
      </c>
      <c r="J516" s="719"/>
      <c r="K516" s="24">
        <f t="shared" si="89"/>
        <v>0</v>
      </c>
      <c r="L516" s="719"/>
      <c r="M516" s="24">
        <f t="shared" si="90"/>
        <v>0.02</v>
      </c>
      <c r="N516" s="719"/>
      <c r="O516" s="24">
        <f t="shared" si="91"/>
        <v>1</v>
      </c>
      <c r="P516" s="719"/>
      <c r="Q516" s="24">
        <f t="shared" si="92"/>
        <v>1</v>
      </c>
      <c r="R516" s="715">
        <f t="shared" si="93"/>
        <v>0</v>
      </c>
      <c r="S516" s="361">
        <f t="shared" si="94"/>
        <v>0</v>
      </c>
    </row>
    <row r="517" spans="1:19">
      <c r="A517" s="159"/>
      <c r="B517" s="59"/>
      <c r="C517" s="24">
        <f t="shared" si="85"/>
        <v>1</v>
      </c>
      <c r="D517" s="719"/>
      <c r="E517" s="24">
        <f t="shared" si="86"/>
        <v>4.4999999999999998E-2</v>
      </c>
      <c r="F517" s="719"/>
      <c r="G517" s="24">
        <f t="shared" si="87"/>
        <v>0</v>
      </c>
      <c r="H517" s="719"/>
      <c r="I517" s="24">
        <f t="shared" si="88"/>
        <v>0.02</v>
      </c>
      <c r="J517" s="719"/>
      <c r="K517" s="24">
        <f t="shared" si="89"/>
        <v>0</v>
      </c>
      <c r="L517" s="719"/>
      <c r="M517" s="24">
        <f t="shared" si="90"/>
        <v>0.02</v>
      </c>
      <c r="N517" s="719"/>
      <c r="O517" s="24">
        <f t="shared" si="91"/>
        <v>1</v>
      </c>
      <c r="P517" s="719"/>
      <c r="Q517" s="24">
        <f t="shared" si="92"/>
        <v>1</v>
      </c>
      <c r="R517" s="715">
        <f t="shared" si="93"/>
        <v>0</v>
      </c>
      <c r="S517" s="361">
        <f t="shared" si="94"/>
        <v>0</v>
      </c>
    </row>
    <row r="518" spans="1:19">
      <c r="A518" s="159"/>
      <c r="B518" s="59"/>
      <c r="C518" s="24">
        <f t="shared" si="85"/>
        <v>1</v>
      </c>
      <c r="D518" s="719"/>
      <c r="E518" s="24">
        <f t="shared" si="86"/>
        <v>4.4999999999999998E-2</v>
      </c>
      <c r="F518" s="719"/>
      <c r="G518" s="24">
        <f t="shared" si="87"/>
        <v>0</v>
      </c>
      <c r="H518" s="719"/>
      <c r="I518" s="24">
        <f t="shared" si="88"/>
        <v>0.02</v>
      </c>
      <c r="J518" s="719"/>
      <c r="K518" s="24">
        <f t="shared" si="89"/>
        <v>0</v>
      </c>
      <c r="L518" s="719"/>
      <c r="M518" s="24">
        <f t="shared" si="90"/>
        <v>0.02</v>
      </c>
      <c r="N518" s="719"/>
      <c r="O518" s="24">
        <f t="shared" si="91"/>
        <v>1</v>
      </c>
      <c r="P518" s="719"/>
      <c r="Q518" s="24">
        <f t="shared" si="92"/>
        <v>1</v>
      </c>
      <c r="R518" s="715">
        <f t="shared" si="93"/>
        <v>0</v>
      </c>
      <c r="S518" s="361">
        <f t="shared" si="94"/>
        <v>0</v>
      </c>
    </row>
    <row r="519" spans="1:19">
      <c r="A519" s="159"/>
      <c r="B519" s="59"/>
      <c r="C519" s="24">
        <f t="shared" si="85"/>
        <v>1</v>
      </c>
      <c r="D519" s="719"/>
      <c r="E519" s="24">
        <f t="shared" si="86"/>
        <v>4.4999999999999998E-2</v>
      </c>
      <c r="F519" s="719"/>
      <c r="G519" s="24">
        <f t="shared" si="87"/>
        <v>0</v>
      </c>
      <c r="H519" s="719"/>
      <c r="I519" s="24">
        <f t="shared" si="88"/>
        <v>0.02</v>
      </c>
      <c r="J519" s="719"/>
      <c r="K519" s="24">
        <f t="shared" si="89"/>
        <v>0</v>
      </c>
      <c r="L519" s="719"/>
      <c r="M519" s="24">
        <f t="shared" si="90"/>
        <v>0.02</v>
      </c>
      <c r="N519" s="719"/>
      <c r="O519" s="24">
        <f t="shared" si="91"/>
        <v>1</v>
      </c>
      <c r="P519" s="719"/>
      <c r="Q519" s="24">
        <f t="shared" si="92"/>
        <v>1</v>
      </c>
      <c r="R519" s="715">
        <f t="shared" si="93"/>
        <v>0</v>
      </c>
      <c r="S519" s="361">
        <f t="shared" si="94"/>
        <v>0</v>
      </c>
    </row>
    <row r="520" spans="1:19">
      <c r="A520" s="159"/>
      <c r="B520" s="59"/>
      <c r="C520" s="24">
        <f t="shared" si="85"/>
        <v>1</v>
      </c>
      <c r="D520" s="719"/>
      <c r="E520" s="24">
        <f t="shared" si="86"/>
        <v>4.4999999999999998E-2</v>
      </c>
      <c r="F520" s="719"/>
      <c r="G520" s="24">
        <f t="shared" si="87"/>
        <v>0</v>
      </c>
      <c r="H520" s="719"/>
      <c r="I520" s="24">
        <f t="shared" si="88"/>
        <v>0.02</v>
      </c>
      <c r="J520" s="719"/>
      <c r="K520" s="24">
        <f t="shared" si="89"/>
        <v>0</v>
      </c>
      <c r="L520" s="719"/>
      <c r="M520" s="24">
        <f t="shared" si="90"/>
        <v>0.02</v>
      </c>
      <c r="N520" s="719"/>
      <c r="O520" s="24">
        <f t="shared" si="91"/>
        <v>1</v>
      </c>
      <c r="P520" s="719"/>
      <c r="Q520" s="24">
        <f t="shared" si="92"/>
        <v>1</v>
      </c>
      <c r="R520" s="715">
        <f t="shared" si="93"/>
        <v>0</v>
      </c>
      <c r="S520" s="361">
        <f t="shared" si="94"/>
        <v>0</v>
      </c>
    </row>
    <row r="521" spans="1:19">
      <c r="A521" s="159"/>
      <c r="B521" s="59"/>
      <c r="C521" s="24">
        <f t="shared" si="85"/>
        <v>1</v>
      </c>
      <c r="D521" s="719"/>
      <c r="E521" s="24">
        <f t="shared" si="86"/>
        <v>4.4999999999999998E-2</v>
      </c>
      <c r="F521" s="719"/>
      <c r="G521" s="24">
        <f t="shared" si="87"/>
        <v>0</v>
      </c>
      <c r="H521" s="719"/>
      <c r="I521" s="24">
        <f t="shared" si="88"/>
        <v>0.02</v>
      </c>
      <c r="J521" s="719"/>
      <c r="K521" s="24">
        <f t="shared" si="89"/>
        <v>0</v>
      </c>
      <c r="L521" s="719"/>
      <c r="M521" s="24">
        <f t="shared" si="90"/>
        <v>0.02</v>
      </c>
      <c r="N521" s="719"/>
      <c r="O521" s="24">
        <f t="shared" si="91"/>
        <v>1</v>
      </c>
      <c r="P521" s="719"/>
      <c r="Q521" s="24">
        <f t="shared" si="92"/>
        <v>1</v>
      </c>
      <c r="R521" s="715">
        <f t="shared" si="93"/>
        <v>0</v>
      </c>
      <c r="S521" s="361">
        <f t="shared" si="94"/>
        <v>0</v>
      </c>
    </row>
    <row r="522" spans="1:19">
      <c r="A522" s="159"/>
      <c r="B522" s="59"/>
      <c r="C522" s="24">
        <f t="shared" si="85"/>
        <v>1</v>
      </c>
      <c r="D522" s="719"/>
      <c r="E522" s="24">
        <f t="shared" si="86"/>
        <v>4.4999999999999998E-2</v>
      </c>
      <c r="F522" s="719"/>
      <c r="G522" s="24">
        <f t="shared" si="87"/>
        <v>0</v>
      </c>
      <c r="H522" s="719"/>
      <c r="I522" s="24">
        <f t="shared" si="88"/>
        <v>0.02</v>
      </c>
      <c r="J522" s="719"/>
      <c r="K522" s="24">
        <f t="shared" si="89"/>
        <v>0</v>
      </c>
      <c r="L522" s="719"/>
      <c r="M522" s="24">
        <f t="shared" si="90"/>
        <v>0.02</v>
      </c>
      <c r="N522" s="719"/>
      <c r="O522" s="24">
        <f t="shared" si="91"/>
        <v>1</v>
      </c>
      <c r="P522" s="719"/>
      <c r="Q522" s="24">
        <f t="shared" si="92"/>
        <v>1</v>
      </c>
      <c r="R522" s="715">
        <f t="shared" si="93"/>
        <v>0</v>
      </c>
      <c r="S522" s="361">
        <f t="shared" si="94"/>
        <v>0</v>
      </c>
    </row>
    <row r="523" spans="1:19">
      <c r="A523" s="159"/>
      <c r="B523" s="59"/>
      <c r="C523" s="24">
        <f t="shared" si="85"/>
        <v>1</v>
      </c>
      <c r="D523" s="719"/>
      <c r="E523" s="24">
        <f t="shared" si="86"/>
        <v>4.4999999999999998E-2</v>
      </c>
      <c r="F523" s="719"/>
      <c r="G523" s="24">
        <f t="shared" si="87"/>
        <v>0</v>
      </c>
      <c r="H523" s="719"/>
      <c r="I523" s="24">
        <f t="shared" si="88"/>
        <v>0.02</v>
      </c>
      <c r="J523" s="719"/>
      <c r="K523" s="24">
        <f t="shared" si="89"/>
        <v>0</v>
      </c>
      <c r="L523" s="719"/>
      <c r="M523" s="24">
        <f t="shared" si="90"/>
        <v>0.02</v>
      </c>
      <c r="N523" s="719"/>
      <c r="O523" s="24">
        <f t="shared" si="91"/>
        <v>1</v>
      </c>
      <c r="P523" s="719"/>
      <c r="Q523" s="24">
        <f t="shared" si="92"/>
        <v>1</v>
      </c>
      <c r="R523" s="715">
        <f t="shared" si="93"/>
        <v>0</v>
      </c>
      <c r="S523" s="361">
        <f t="shared" si="94"/>
        <v>0</v>
      </c>
    </row>
    <row r="524" spans="1:19">
      <c r="A524" s="159"/>
      <c r="B524" s="59"/>
      <c r="C524" s="24">
        <f t="shared" si="85"/>
        <v>1</v>
      </c>
      <c r="D524" s="719"/>
      <c r="E524" s="24">
        <f t="shared" si="86"/>
        <v>4.4999999999999998E-2</v>
      </c>
      <c r="F524" s="719"/>
      <c r="G524" s="24">
        <f t="shared" si="87"/>
        <v>0</v>
      </c>
      <c r="H524" s="719"/>
      <c r="I524" s="24">
        <f t="shared" si="88"/>
        <v>0.02</v>
      </c>
      <c r="J524" s="719"/>
      <c r="K524" s="24">
        <f t="shared" si="89"/>
        <v>0</v>
      </c>
      <c r="L524" s="719"/>
      <c r="M524" s="24">
        <f t="shared" si="90"/>
        <v>0.02</v>
      </c>
      <c r="N524" s="719"/>
      <c r="O524" s="24">
        <f t="shared" si="91"/>
        <v>1</v>
      </c>
      <c r="P524" s="719"/>
      <c r="Q524" s="24">
        <f t="shared" si="92"/>
        <v>1</v>
      </c>
      <c r="R524" s="715">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pageSetup paperSize="9"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J56" sqref="J5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1589</v>
      </c>
      <c r="B1" s="781"/>
      <c r="C1" s="1835" t="s">
        <v>3053</v>
      </c>
      <c r="D1" s="1818" t="s">
        <v>70</v>
      </c>
      <c r="E1" s="1819" t="s">
        <v>1387</v>
      </c>
      <c r="F1" s="1282" t="e">
        <f ca="1">J53</f>
        <v>#N/A</v>
      </c>
      <c r="G1" s="1834" t="e">
        <f>MATCH(C1,'数据-取费表'!A6:A16,0)+5</f>
        <v>#N/A</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1590</v>
      </c>
      <c r="B2" s="1842" t="e">
        <f ca="1">ROUND(D2/10000,0)</f>
        <v>#N/A</v>
      </c>
      <c r="C2" s="1843" t="s">
        <v>1591</v>
      </c>
      <c r="D2" s="1936" t="e">
        <f ca="1">C40+J29+L46</f>
        <v>#N/A</v>
      </c>
      <c r="E2" s="1844" t="s">
        <v>1592</v>
      </c>
      <c r="F2" s="1845"/>
      <c r="G2" s="1846"/>
      <c r="H2" s="1838"/>
      <c r="I2" s="1838"/>
      <c r="J2" s="1838"/>
      <c r="K2" s="1839"/>
      <c r="L2" s="1838"/>
      <c r="M2" s="1838"/>
    </row>
    <row r="3" spans="1:37" ht="18" customHeight="1" thickBot="1">
      <c r="A3" s="1847" t="s">
        <v>1593</v>
      </c>
      <c r="B3" s="1848">
        <f ca="1">IF(ISERROR(D2/F43),0,ROUND(D2/F43,0))</f>
        <v>0</v>
      </c>
      <c r="C3" s="1843" t="s">
        <v>1594</v>
      </c>
      <c r="D3" s="1843"/>
      <c r="E3" s="1844"/>
      <c r="F3" s="1845"/>
      <c r="G3" s="1846"/>
      <c r="H3" s="743" t="s">
        <v>1588</v>
      </c>
      <c r="I3" s="1838"/>
      <c r="J3" s="1838"/>
      <c r="K3" s="1839"/>
      <c r="L3" s="1838"/>
      <c r="M3" s="1838"/>
    </row>
    <row r="4" spans="1:37" ht="18" customHeight="1">
      <c r="A4" s="340" t="s">
        <v>1595</v>
      </c>
      <c r="B4" s="341" t="s">
        <v>1596</v>
      </c>
      <c r="C4" s="341" t="s">
        <v>1597</v>
      </c>
      <c r="D4" s="341" t="s">
        <v>1598</v>
      </c>
      <c r="E4" s="342" t="s">
        <v>1599</v>
      </c>
      <c r="F4" s="343"/>
      <c r="G4" s="1849"/>
      <c r="H4" s="340" t="s">
        <v>1595</v>
      </c>
      <c r="I4" s="341" t="s">
        <v>1596</v>
      </c>
      <c r="J4" s="341" t="s">
        <v>1597</v>
      </c>
      <c r="K4" s="341" t="s">
        <v>1598</v>
      </c>
      <c r="L4" s="342" t="s">
        <v>1599</v>
      </c>
      <c r="M4" s="343"/>
    </row>
    <row r="5" spans="1:37" ht="18" customHeight="1">
      <c r="A5" s="344">
        <v>1</v>
      </c>
      <c r="B5" s="345" t="s">
        <v>1600</v>
      </c>
      <c r="C5" s="1291" t="e">
        <f ca="1">C6+C10+C12</f>
        <v>#N/A</v>
      </c>
      <c r="D5" s="1820" t="s">
        <v>1601</v>
      </c>
      <c r="E5" s="1292"/>
      <c r="F5" s="1293"/>
      <c r="G5" s="1849"/>
      <c r="H5" s="344">
        <v>1</v>
      </c>
      <c r="I5" s="345" t="s">
        <v>1600</v>
      </c>
      <c r="J5" s="1291" t="e">
        <f ca="1">J6+J10+J12</f>
        <v>#N/A</v>
      </c>
      <c r="K5" s="1820" t="s">
        <v>1601</v>
      </c>
      <c r="L5" s="1292"/>
      <c r="M5" s="1293"/>
    </row>
    <row r="6" spans="1:37" ht="18" customHeight="1">
      <c r="A6" s="1290" t="s">
        <v>1035</v>
      </c>
      <c r="B6" s="3255" t="s">
        <v>1403</v>
      </c>
      <c r="C6" s="1295" t="e">
        <f ca="1">ROUND(F6*F8*F7*(1-F9),0)</f>
        <v>#N/A</v>
      </c>
      <c r="D6" s="164" t="s">
        <v>3012</v>
      </c>
      <c r="E6" s="347" t="s">
        <v>1405</v>
      </c>
      <c r="F6" s="348" t="e">
        <f ca="1">INDIRECT("'数据-取费表'!u"&amp;$G$1)</f>
        <v>#N/A</v>
      </c>
      <c r="G6" s="1849"/>
      <c r="H6" s="1290" t="s">
        <v>1035</v>
      </c>
      <c r="I6" s="3255" t="s">
        <v>1403</v>
      </c>
      <c r="J6" s="346" t="e">
        <f ca="1">ROUND(M6*M8*M7*(1-M9),0)</f>
        <v>#N/A</v>
      </c>
      <c r="K6" s="1832" t="s">
        <v>3015</v>
      </c>
      <c r="L6" s="347" t="s">
        <v>1405</v>
      </c>
      <c r="M6" s="348" t="e">
        <f ca="1">INDIRECT("'数据-取费表'!z"&amp;$G$1)</f>
        <v>#N/A</v>
      </c>
    </row>
    <row r="7" spans="1:37" ht="18" customHeight="1">
      <c r="A7" s="1294"/>
      <c r="B7" s="3256"/>
      <c r="C7" s="1296"/>
      <c r="D7" s="352"/>
      <c r="E7" s="1297" t="s">
        <v>1406</v>
      </c>
      <c r="F7" s="348" t="e">
        <f ca="1">IF(INDIRECT("'数据-取费表'!ah"&amp;$G$1)="",INDIRECT("'数据-取费表'!k"&amp;$G$1),INDIRECT("'数据-取费表'!ah"&amp;$G$1))</f>
        <v>#N/A</v>
      </c>
      <c r="G7" s="1849"/>
      <c r="H7" s="349"/>
      <c r="I7" s="3256"/>
      <c r="J7" s="351"/>
      <c r="K7" s="352"/>
      <c r="L7" s="347" t="s">
        <v>1406</v>
      </c>
      <c r="M7" s="348" t="e">
        <f ca="1">F7</f>
        <v>#N/A</v>
      </c>
    </row>
    <row r="8" spans="1:37" ht="18" customHeight="1">
      <c r="A8" s="349"/>
      <c r="B8" s="3256"/>
      <c r="C8" s="351"/>
      <c r="D8" s="352"/>
      <c r="E8" s="347" t="s">
        <v>1407</v>
      </c>
      <c r="F8" s="348" t="e">
        <f ca="1">INDIRECT("'数据-取费表'!ai"&amp;$G$1)</f>
        <v>#N/A</v>
      </c>
      <c r="G8" s="1849"/>
      <c r="H8" s="349"/>
      <c r="I8" s="3256"/>
      <c r="J8" s="351"/>
      <c r="K8" s="352"/>
      <c r="L8" s="347" t="s">
        <v>1407</v>
      </c>
      <c r="M8" s="348" t="e">
        <f ca="1">INDIRECT("'数据-取费表'!ai"&amp;$G$1)</f>
        <v>#N/A</v>
      </c>
    </row>
    <row r="9" spans="1:37" ht="18" customHeight="1">
      <c r="A9" s="349"/>
      <c r="B9" s="3257"/>
      <c r="C9" s="351"/>
      <c r="D9" s="352"/>
      <c r="E9" s="347" t="s">
        <v>1408</v>
      </c>
      <c r="F9" s="357" t="e">
        <f ca="1">INDIRECT("'数据-取费表'!w"&amp;$G$1)</f>
        <v>#N/A</v>
      </c>
      <c r="G9" s="1849"/>
      <c r="H9" s="349"/>
      <c r="I9" s="3257"/>
      <c r="J9" s="351"/>
      <c r="K9" s="352"/>
      <c r="L9" s="358" t="s">
        <v>1408</v>
      </c>
      <c r="M9" s="359" t="e">
        <f ca="1">INDIRECT("'数据-取费表'!ab"&amp;$G$1)</f>
        <v>#N/A</v>
      </c>
    </row>
    <row r="10" spans="1:37" ht="18" customHeight="1">
      <c r="A10" s="1290" t="s">
        <v>1039</v>
      </c>
      <c r="B10" s="1821" t="s">
        <v>1409</v>
      </c>
      <c r="C10" s="361" t="e">
        <f ca="1">ROUND(IF(F10="押一",F6*F8*F7/12*F11,IF(F10="押二",F6*F8*F7/12*2*F11,IF(F10="押三",F6*F8*F7/12*3*F11,C11*F11))),0)</f>
        <v>#N/A</v>
      </c>
      <c r="D10" s="1822" t="s">
        <v>3013</v>
      </c>
      <c r="E10" s="358" t="s">
        <v>1411</v>
      </c>
      <c r="F10" s="1365" t="s">
        <v>3105</v>
      </c>
      <c r="G10" s="1849"/>
      <c r="H10" s="1290" t="s">
        <v>1039</v>
      </c>
      <c r="I10" s="1821" t="s">
        <v>1409</v>
      </c>
      <c r="J10" s="346">
        <f ca="1">ROUND(IF(M10="押一",M6*M8*M7/12*M11,IF(M10="押二",M6*M8*M7/12*2*M11,IF(M10="押三",M6*M8*M7/12*3*M11,J11*M11))),0)</f>
        <v>0</v>
      </c>
      <c r="K10" s="1833" t="s">
        <v>3014</v>
      </c>
      <c r="L10" s="358" t="s">
        <v>1411</v>
      </c>
      <c r="M10" s="1365"/>
    </row>
    <row r="11" spans="1:37" ht="18" customHeight="1">
      <c r="A11" s="353"/>
      <c r="B11" s="1823" t="s">
        <v>1602</v>
      </c>
      <c r="C11" s="1177"/>
      <c r="D11" s="352"/>
      <c r="E11" s="358" t="s">
        <v>1412</v>
      </c>
      <c r="F11" s="359">
        <f ca="1">'数据-取费表'!B39</f>
        <v>1.4999999999999999E-2</v>
      </c>
      <c r="G11" s="1849"/>
      <c r="H11" s="1298"/>
      <c r="I11" s="1823" t="s">
        <v>1603</v>
      </c>
      <c r="J11" s="1177"/>
      <c r="K11" s="747"/>
      <c r="L11" s="358" t="s">
        <v>1412</v>
      </c>
      <c r="M11" s="1056">
        <f ca="1">'数据-取费表'!B39</f>
        <v>1.4999999999999999E-2</v>
      </c>
    </row>
    <row r="12" spans="1:37" ht="18" customHeight="1" thickBot="1">
      <c r="A12" s="1332" t="s">
        <v>1075</v>
      </c>
      <c r="B12" s="1825" t="s">
        <v>1413</v>
      </c>
      <c r="C12" s="1333"/>
      <c r="D12" s="1334"/>
      <c r="E12" s="1339"/>
      <c r="F12" s="1335"/>
      <c r="G12" s="1849"/>
      <c r="H12" s="1332" t="s">
        <v>1075</v>
      </c>
      <c r="I12" s="1825" t="s">
        <v>1413</v>
      </c>
      <c r="J12" s="1333"/>
      <c r="K12" s="1347"/>
      <c r="L12" s="1339"/>
      <c r="M12" s="1348"/>
    </row>
    <row r="13" spans="1:37" ht="18" customHeight="1" thickTop="1">
      <c r="A13" s="1328">
        <v>2</v>
      </c>
      <c r="B13" s="1329" t="s">
        <v>1414</v>
      </c>
      <c r="C13" s="355" t="e">
        <f ca="1">ROUND(C29*F13,0)</f>
        <v>#N/A</v>
      </c>
      <c r="D13" s="1330" t="s">
        <v>1415</v>
      </c>
      <c r="E13" s="1330" t="s">
        <v>1416</v>
      </c>
      <c r="F13" s="1331" t="e">
        <f ca="1">INDIRECT("'数据-取费表'!y"&amp;$G$1)</f>
        <v>#N/A</v>
      </c>
      <c r="G13" s="1849"/>
      <c r="H13" s="1328">
        <v>2</v>
      </c>
      <c r="I13" s="1329" t="s">
        <v>1414</v>
      </c>
      <c r="J13" s="1289" t="e">
        <f ca="1">ROUND(J14*J15,0)</f>
        <v>#N/A</v>
      </c>
      <c r="K13" s="1336" t="s">
        <v>1415</v>
      </c>
      <c r="L13" s="1850"/>
      <c r="M13" s="1851"/>
    </row>
    <row r="14" spans="1:37" ht="18" customHeight="1">
      <c r="A14" s="1200" t="s">
        <v>1034</v>
      </c>
      <c r="B14" s="347" t="s">
        <v>1417</v>
      </c>
      <c r="C14" s="363" t="e">
        <f ca="1">ROUND(INDIRECT("'数据-取费表'!l"&amp;$G$1)*F43+'数据-取费表'!L14*INDIRECT("'数据-取费表'!S"&amp;$G$1),0)</f>
        <v>#N/A</v>
      </c>
      <c r="D14" s="1798" t="s">
        <v>1418</v>
      </c>
      <c r="E14" s="1792"/>
      <c r="F14" s="364"/>
      <c r="G14" s="1849"/>
      <c r="H14" s="1200" t="s">
        <v>1035</v>
      </c>
      <c r="I14" s="347" t="s">
        <v>1419</v>
      </c>
      <c r="J14" s="24" t="e">
        <f ca="1">C29</f>
        <v>#N/A</v>
      </c>
      <c r="K14" s="15"/>
      <c r="L14" s="981"/>
      <c r="M14" s="982"/>
    </row>
    <row r="15" spans="1:37" s="1856" customFormat="1" ht="18" customHeight="1" thickBot="1">
      <c r="A15" s="1200" t="s">
        <v>1036</v>
      </c>
      <c r="B15" s="347" t="s">
        <v>1420</v>
      </c>
      <c r="C15" s="24" t="e">
        <f ca="1">ROUND(C14*F15,0)</f>
        <v>#N/A</v>
      </c>
      <c r="D15" s="365" t="s">
        <v>1421</v>
      </c>
      <c r="E15" s="365" t="s">
        <v>1422</v>
      </c>
      <c r="F15" s="366">
        <f>'数据-取费表'!B33</f>
        <v>0.05</v>
      </c>
      <c r="G15" s="1852"/>
      <c r="H15" s="1338" t="s">
        <v>1039</v>
      </c>
      <c r="I15" s="1339" t="s">
        <v>1416</v>
      </c>
      <c r="J15" s="1348" t="e">
        <f ca="1">INDIRECT("'数据-取费表'!ad"&amp;$G$1)</f>
        <v>#N/A</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1389</v>
      </c>
      <c r="B16" s="347" t="s">
        <v>1423</v>
      </c>
      <c r="C16" s="24" t="e">
        <f ca="1">ROUND(INDIRECT("'数据-取费表'!l"&amp;$G$1)*F43*F16,0)</f>
        <v>#N/A</v>
      </c>
      <c r="D16" s="347" t="s">
        <v>1421</v>
      </c>
      <c r="E16" s="347" t="s">
        <v>1422</v>
      </c>
      <c r="F16" s="367" t="e">
        <f ca="1">IF(INDIRECT("'数据-取费表'!c"&amp;$G$1)="住宅",'数据-取费表'!B34,0)</f>
        <v>#N/A</v>
      </c>
      <c r="G16" s="1849"/>
      <c r="H16" s="1328" t="s">
        <v>1030</v>
      </c>
      <c r="I16" s="1329" t="s">
        <v>1424</v>
      </c>
      <c r="J16" s="355" t="e">
        <f ca="1">ROUND(J17+J22+J23+J24,0)</f>
        <v>#N/A</v>
      </c>
      <c r="K16" s="1336" t="s">
        <v>1425</v>
      </c>
      <c r="L16" s="1337"/>
      <c r="M16" s="1293"/>
    </row>
    <row r="17" spans="1:37" s="1856" customFormat="1" ht="18" customHeight="1">
      <c r="A17" s="1200" t="s">
        <v>1390</v>
      </c>
      <c r="B17" s="347" t="s">
        <v>1426</v>
      </c>
      <c r="C17" s="24" t="e">
        <f ca="1">ROUND(F17*(F43+INDIRECT("'数据-取费表'!S"&amp;$G$1)),0)</f>
        <v>#N/A</v>
      </c>
      <c r="D17" s="347" t="s">
        <v>1427</v>
      </c>
      <c r="E17" s="347" t="s">
        <v>1428</v>
      </c>
      <c r="F17" s="26">
        <f>'数据-取费表'!B35</f>
        <v>200</v>
      </c>
      <c r="G17" s="1852"/>
      <c r="H17" s="1200" t="s">
        <v>1035</v>
      </c>
      <c r="I17" s="347" t="s">
        <v>1429</v>
      </c>
      <c r="J17" s="24" t="e">
        <f ca="1">ROUND(IF(项目基本情况!B11="自然人",J5*M17,J18+J19+J20),0)</f>
        <v>#N/A</v>
      </c>
      <c r="K17" s="1798" t="s">
        <v>1430</v>
      </c>
      <c r="L17" s="1796" t="s">
        <v>1431</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1391</v>
      </c>
      <c r="B18" s="347" t="s">
        <v>1432</v>
      </c>
      <c r="C18" s="24" t="e">
        <f ca="1">ROUND(C14*F18,0)</f>
        <v>#N/A</v>
      </c>
      <c r="D18" s="347" t="s">
        <v>1421</v>
      </c>
      <c r="E18" s="347" t="s">
        <v>1422</v>
      </c>
      <c r="F18" s="367">
        <f>'数据-取费表'!B36</f>
        <v>1.4999999999999999E-2</v>
      </c>
      <c r="G18" s="1852"/>
      <c r="H18" s="1200" t="s">
        <v>1034</v>
      </c>
      <c r="I18" s="347" t="s">
        <v>1433</v>
      </c>
      <c r="J18" s="24" t="e">
        <f ca="1">ROUND(J5*M18/(1+'数据-取费表'!C42),0)</f>
        <v>#N/A</v>
      </c>
      <c r="K18" s="1796" t="s">
        <v>1434</v>
      </c>
      <c r="L18" s="347" t="s">
        <v>1422</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1035</v>
      </c>
      <c r="B19" s="347" t="s">
        <v>1435</v>
      </c>
      <c r="C19" s="24" t="e">
        <f ca="1">SUM(C14:C18)</f>
        <v>#N/A</v>
      </c>
      <c r="D19" s="140" t="s">
        <v>1436</v>
      </c>
      <c r="E19" s="1816"/>
      <c r="F19" s="26"/>
      <c r="G19" s="1849"/>
      <c r="H19" s="1200" t="s">
        <v>1036</v>
      </c>
      <c r="I19" s="347" t="s">
        <v>1437</v>
      </c>
      <c r="J19" s="24" t="e">
        <f ca="1">IF(K19="按租金收入计税",ROUND(J5*M19,0),ROUND(C29*M19*0.7,0))</f>
        <v>#N/A</v>
      </c>
      <c r="K19" s="1826" t="s">
        <v>1438</v>
      </c>
      <c r="L19" s="347" t="s">
        <v>1422</v>
      </c>
      <c r="M19" s="367">
        <f>IF(K19="按租金收入计税",'数据-取费表'!B51,'数据-取费表'!B50)</f>
        <v>1.2E-2</v>
      </c>
    </row>
    <row r="20" spans="1:37" s="1856" customFormat="1" ht="18" customHeight="1">
      <c r="A20" s="1200" t="s">
        <v>1039</v>
      </c>
      <c r="B20" s="347" t="s">
        <v>1439</v>
      </c>
      <c r="C20" s="24" t="e">
        <f ca="1">ROUND(C19*F20,0)</f>
        <v>#N/A</v>
      </c>
      <c r="D20" s="369" t="s">
        <v>1440</v>
      </c>
      <c r="E20" s="347" t="s">
        <v>1422</v>
      </c>
      <c r="F20" s="367">
        <f>'数据-取费表'!B37</f>
        <v>0.01</v>
      </c>
      <c r="G20" s="1852"/>
      <c r="H20" s="1200" t="s">
        <v>1389</v>
      </c>
      <c r="I20" s="164" t="s">
        <v>1441</v>
      </c>
      <c r="J20" s="25" t="e">
        <f ca="1">ROUND(M20*M21,0)</f>
        <v>#N/A</v>
      </c>
      <c r="K20" s="370" t="s">
        <v>1442</v>
      </c>
      <c r="L20" s="347" t="s">
        <v>1443</v>
      </c>
      <c r="M20" s="371">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1075</v>
      </c>
      <c r="B21" s="347" t="s">
        <v>1444</v>
      </c>
      <c r="C21" s="24" t="s">
        <v>1</v>
      </c>
      <c r="D21" s="369" t="s">
        <v>1445</v>
      </c>
      <c r="E21" s="347" t="s">
        <v>1446</v>
      </c>
      <c r="F21" s="367">
        <f>'数据-取费表'!B38</f>
        <v>0.01</v>
      </c>
      <c r="G21" s="1852"/>
      <c r="H21" s="372"/>
      <c r="I21" s="356"/>
      <c r="J21" s="29"/>
      <c r="K21" s="373"/>
      <c r="L21" s="347" t="s">
        <v>1447</v>
      </c>
      <c r="M21" s="348" t="e">
        <f ca="1">INDIRECT("'数据-取费表'!r"&amp;$G$1)</f>
        <v>#N/A</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1392</v>
      </c>
      <c r="B22" s="347" t="s">
        <v>1448</v>
      </c>
      <c r="C22" s="24"/>
      <c r="D22" s="140" t="str">
        <f>IF(F23&lt;=1,"单利计息。","复利计息。")&amp;"建造成本、管理费用、销售费用产生的利息。"</f>
        <v>复利计息。建造成本、管理费用、销售费用产生的利息。</v>
      </c>
      <c r="E22" s="1816"/>
      <c r="F22" s="26"/>
      <c r="G22" s="1849"/>
      <c r="H22" s="1200" t="s">
        <v>1039</v>
      </c>
      <c r="I22" s="347" t="s">
        <v>1449</v>
      </c>
      <c r="J22" s="24" t="e">
        <f ca="1">ROUND(J14*M22,0)</f>
        <v>#N/A</v>
      </c>
      <c r="K22" s="1796" t="s">
        <v>1450</v>
      </c>
      <c r="L22" s="347" t="s">
        <v>1422</v>
      </c>
      <c r="M22" s="374" t="e">
        <f ca="1">INDIRECT("'数据-取费表'!Ak"&amp;$G$1)</f>
        <v>#N/A</v>
      </c>
    </row>
    <row r="23" spans="1:37" s="1856" customFormat="1" ht="18" customHeight="1">
      <c r="A23" s="1200" t="s">
        <v>1034</v>
      </c>
      <c r="B23" s="347" t="s">
        <v>1451</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1452</v>
      </c>
      <c r="F23" s="371">
        <f>'数据-取费表'!B20</f>
        <v>2</v>
      </c>
      <c r="G23" s="1852"/>
      <c r="H23" s="1200" t="s">
        <v>1075</v>
      </c>
      <c r="I23" s="347" t="s">
        <v>1453</v>
      </c>
      <c r="J23" s="24" t="e">
        <f ca="1">ROUND(J13*M23,0)</f>
        <v>#N/A</v>
      </c>
      <c r="K23" s="1796" t="s">
        <v>1454</v>
      </c>
      <c r="L23" s="347" t="s">
        <v>1455</v>
      </c>
      <c r="M23" s="376" t="e">
        <f ca="1">INDIRECT("'数据-取费表'!Al"&amp;$G$1)</f>
        <v>#N/A</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1456</v>
      </c>
      <c r="B24" s="347" t="s">
        <v>1457</v>
      </c>
      <c r="C24" s="24">
        <f ca="1">ROUND(IF('数据-取费表'!B22&lt;=1,F21*F24*F23/2,F21*(POWER((1+F24),F23/2)-1)),4)</f>
        <v>5.0000000000000001E-4</v>
      </c>
      <c r="D24" s="375" t="str">
        <f>IF(F23&lt;=1,"销售费用×利率×(建设周期÷2)","销售费用×((1+利率)^(建设周期÷2)-1)")</f>
        <v>销售费用×((1+利率)^(建设周期÷2)-1)</v>
      </c>
      <c r="E24" s="347" t="s">
        <v>1458</v>
      </c>
      <c r="F24" s="377">
        <f ca="1">'数据-取费表'!B40</f>
        <v>4.7500000000000001E-2</v>
      </c>
      <c r="G24" s="1852"/>
      <c r="H24" s="1338" t="s">
        <v>1393</v>
      </c>
      <c r="I24" s="1339" t="s">
        <v>1439</v>
      </c>
      <c r="J24" s="1340" t="e">
        <f ca="1">ROUND(J5*M24,0)</f>
        <v>#N/A</v>
      </c>
      <c r="K24" s="1341" t="s">
        <v>1459</v>
      </c>
      <c r="L24" s="1339" t="s">
        <v>1455</v>
      </c>
      <c r="M24" s="1335" t="e">
        <f ca="1">INDIRECT("'数据-取费表'!Am"&amp;$G$1)</f>
        <v>#N/A</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0" t="s">
        <v>1460</v>
      </c>
      <c r="B25" s="347" t="s">
        <v>1461</v>
      </c>
      <c r="C25" s="24"/>
      <c r="D25" s="140" t="s">
        <v>1462</v>
      </c>
      <c r="E25" s="1816"/>
      <c r="F25" s="26"/>
      <c r="G25" s="1849"/>
      <c r="H25" s="1328" t="s">
        <v>1031</v>
      </c>
      <c r="I25" s="1343" t="s">
        <v>1463</v>
      </c>
      <c r="J25" s="355" t="e">
        <f ca="1">J5-J16</f>
        <v>#N/A</v>
      </c>
      <c r="K25" s="1344" t="s">
        <v>1464</v>
      </c>
      <c r="L25" s="1345"/>
      <c r="M25" s="1346"/>
    </row>
    <row r="26" spans="1:37" ht="18" customHeight="1">
      <c r="A26" s="1200" t="s">
        <v>1034</v>
      </c>
      <c r="B26" s="347" t="s">
        <v>1465</v>
      </c>
      <c r="C26" s="24" t="e">
        <f ca="1">ROUND((C19+C20)*F26,0)</f>
        <v>#N/A</v>
      </c>
      <c r="D26" s="369" t="s">
        <v>1466</v>
      </c>
      <c r="E26" s="358" t="s">
        <v>1467</v>
      </c>
      <c r="F26" s="357" t="e">
        <f ca="1">INDIRECT("'数据-取费表'!q"&amp;$G$1)</f>
        <v>#N/A</v>
      </c>
      <c r="G26" s="1849"/>
      <c r="H26" s="344" t="s">
        <v>1032</v>
      </c>
      <c r="I26" s="345" t="s">
        <v>1468</v>
      </c>
      <c r="J26" s="346" t="e">
        <f ca="1">IF(J5&lt;&gt;0,ROUND(J25*(1-((1+M28)/(1+M26))^M27)/(M26-M28),0),0)</f>
        <v>#N/A</v>
      </c>
      <c r="K26" s="370" t="s">
        <v>1469</v>
      </c>
      <c r="L26" s="347" t="s">
        <v>1470</v>
      </c>
      <c r="M26" s="357" t="e">
        <f ca="1">INDIRECT("'数据-取费表'!I"&amp;$G$1)</f>
        <v>#N/A</v>
      </c>
    </row>
    <row r="27" spans="1:37" ht="18" customHeight="1">
      <c r="A27" s="1200" t="s">
        <v>1036</v>
      </c>
      <c r="B27" s="347" t="s">
        <v>1471</v>
      </c>
      <c r="C27" s="24" t="e">
        <f ca="1">ROUND(F21*F26,4)</f>
        <v>#N/A</v>
      </c>
      <c r="D27" s="369" t="s">
        <v>1472</v>
      </c>
      <c r="E27" s="365"/>
      <c r="F27" s="366"/>
      <c r="G27" s="1849"/>
      <c r="H27" s="349"/>
      <c r="I27" s="350"/>
      <c r="J27" s="351"/>
      <c r="K27" s="378" t="s">
        <v>1473</v>
      </c>
      <c r="L27" s="347" t="s">
        <v>1474</v>
      </c>
      <c r="M27" s="379" t="e">
        <f ca="1">INDIRECT("'数据-取费表'!ag"&amp;$G$1)</f>
        <v>#N/A</v>
      </c>
    </row>
    <row r="28" spans="1:37" s="1856" customFormat="1" ht="18" customHeight="1">
      <c r="A28" s="1200" t="s">
        <v>1037</v>
      </c>
      <c r="B28" s="347" t="s">
        <v>1475</v>
      </c>
      <c r="C28" s="24">
        <f>ROUND(F28/(1+'数据-取费表'!C42),4)</f>
        <v>5.33E-2</v>
      </c>
      <c r="D28" s="369" t="s">
        <v>1476</v>
      </c>
      <c r="E28" s="347" t="s">
        <v>1422</v>
      </c>
      <c r="F28" s="367">
        <f>'数据-取费表'!B41</f>
        <v>5.6000000000000001E-2</v>
      </c>
      <c r="G28" s="1852"/>
      <c r="H28" s="353"/>
      <c r="I28" s="354"/>
      <c r="J28" s="355"/>
      <c r="K28" s="373"/>
      <c r="L28" s="347" t="s">
        <v>1477</v>
      </c>
      <c r="M28" s="357" t="e">
        <f ca="1">INDIRECT("'数据-取费表'!aa"&amp;$G$1)</f>
        <v>#N/A</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1478</v>
      </c>
      <c r="C29" s="1340" t="e">
        <f ca="1">ROUND((C19+C20+C23+C26)/(1-F21-C24-C27-C28),0)</f>
        <v>#N/A</v>
      </c>
      <c r="D29" s="1341"/>
      <c r="E29" s="1339"/>
      <c r="F29" s="1342"/>
      <c r="G29" s="1852"/>
      <c r="H29" s="380" t="s">
        <v>1033</v>
      </c>
      <c r="I29" s="381" t="s">
        <v>1479</v>
      </c>
      <c r="J29" s="382" t="e">
        <f ca="1">ROUND(J26/(1+F40)^F41,0)</f>
        <v>#N/A</v>
      </c>
      <c r="K29" s="383" t="s">
        <v>1480</v>
      </c>
      <c r="L29" s="384"/>
      <c r="M29" s="385" t="e">
        <f ca="1">INDIRECT("'数据-取费表'!k"&amp;$G$1)</f>
        <v>#N/A</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1424</v>
      </c>
      <c r="C30" s="355" t="e">
        <f ca="1">ROUND(C31+C36+C37+C38,0)</f>
        <v>#N/A</v>
      </c>
      <c r="D30" s="1336" t="s">
        <v>1425</v>
      </c>
      <c r="E30" s="1337"/>
      <c r="F30" s="1293"/>
      <c r="G30" s="1849"/>
      <c r="H30" s="744"/>
      <c r="I30" s="745"/>
      <c r="J30" s="746"/>
      <c r="K30" s="747"/>
      <c r="L30" s="748"/>
      <c r="M30" s="749"/>
    </row>
    <row r="31" spans="1:37" ht="18" customHeight="1">
      <c r="A31" s="1200" t="s">
        <v>1035</v>
      </c>
      <c r="B31" s="347" t="s">
        <v>1429</v>
      </c>
      <c r="C31" s="24" t="e">
        <f ca="1">ROUND(IF(项目基本情况!B11="自然人",C5*F31,C32+C33+C34),0)</f>
        <v>#N/A</v>
      </c>
      <c r="D31" s="1798" t="s">
        <v>1430</v>
      </c>
      <c r="E31" s="1796" t="s">
        <v>1481</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1034</v>
      </c>
      <c r="B32" s="347" t="s">
        <v>1433</v>
      </c>
      <c r="C32" s="24" t="e">
        <f ca="1">IF(项目基本情况!B11="自然人","——",ROUND(C5*F32/(1+'数据-取费表'!C42),0))</f>
        <v>#N/A</v>
      </c>
      <c r="D32" s="1796" t="s">
        <v>1434</v>
      </c>
      <c r="E32" s="347" t="s">
        <v>1422</v>
      </c>
      <c r="F32" s="377">
        <f>'数据-取费表'!B41</f>
        <v>5.6000000000000001E-2</v>
      </c>
      <c r="G32" s="1849"/>
      <c r="H32" s="744"/>
      <c r="I32" s="745"/>
      <c r="J32" s="746"/>
      <c r="K32" s="747"/>
      <c r="L32" s="748"/>
      <c r="M32" s="749"/>
    </row>
    <row r="33" spans="1:18" ht="18" customHeight="1">
      <c r="A33" s="1200" t="s">
        <v>1036</v>
      </c>
      <c r="B33" s="347" t="s">
        <v>1437</v>
      </c>
      <c r="C33" s="24" t="e">
        <f ca="1">IF(项目基本情况!B11="自然人","——",IF(D33="按租金收入计税",ROUND(C5*F33,0),IF(D33="按房产原值计税",ROUND(C29*F33*0.7,0),INDIRECT("'数据-取费表'!Aj"&amp;$G$1))))</f>
        <v>#N/A</v>
      </c>
      <c r="D33" s="1826" t="s">
        <v>1438</v>
      </c>
      <c r="E33" s="347" t="s">
        <v>1422</v>
      </c>
      <c r="F33" s="367">
        <f>IF(D33="按票据","——",IF(D33="按租金收入计税",'数据-取费表'!B51,'数据-取费表'!B50))</f>
        <v>1.2E-2</v>
      </c>
      <c r="G33" s="1849"/>
      <c r="H33" s="1857"/>
      <c r="I33" s="1858"/>
      <c r="J33" s="1859"/>
      <c r="K33" s="1860"/>
      <c r="L33" s="1857"/>
      <c r="M33" s="1857"/>
    </row>
    <row r="34" spans="1:18" ht="18" customHeight="1">
      <c r="A34" s="1290" t="s">
        <v>1389</v>
      </c>
      <c r="B34" s="164" t="s">
        <v>1441</v>
      </c>
      <c r="C34" s="25" t="e">
        <f ca="1">IF(项目基本情况!B11="自然人","——",ROUND(F34*F35,))</f>
        <v>#N/A</v>
      </c>
      <c r="D34" s="370" t="s">
        <v>1442</v>
      </c>
      <c r="E34" s="347" t="s">
        <v>1443</v>
      </c>
      <c r="F34" s="371">
        <f>'数据-取费表'!B52</f>
        <v>3</v>
      </c>
      <c r="G34" s="1849"/>
      <c r="H34" s="744"/>
      <c r="I34" s="1858"/>
      <c r="J34" s="1859"/>
      <c r="K34" s="1861"/>
      <c r="L34" s="1862"/>
      <c r="M34" s="1862"/>
    </row>
    <row r="35" spans="1:18" ht="18" customHeight="1">
      <c r="A35" s="1352"/>
      <c r="B35" s="1350"/>
      <c r="C35" s="29"/>
      <c r="D35" s="373"/>
      <c r="E35" s="347" t="s">
        <v>1447</v>
      </c>
      <c r="F35" s="348" t="e">
        <f ca="1">INDIRECT("'数据-取费表'!r"&amp;$G$1)</f>
        <v>#N/A</v>
      </c>
      <c r="G35" s="1849"/>
      <c r="H35" s="744"/>
      <c r="I35" s="1858"/>
      <c r="J35" s="1859"/>
      <c r="K35" s="1860"/>
      <c r="L35" s="1857"/>
      <c r="M35" s="1857"/>
    </row>
    <row r="36" spans="1:18" ht="18" customHeight="1">
      <c r="A36" s="1351" t="s">
        <v>1039</v>
      </c>
      <c r="B36" s="347" t="s">
        <v>1449</v>
      </c>
      <c r="C36" s="24" t="e">
        <f ca="1">ROUND(C29*F36,0)</f>
        <v>#N/A</v>
      </c>
      <c r="D36" s="1796" t="s">
        <v>1482</v>
      </c>
      <c r="E36" s="347" t="s">
        <v>1422</v>
      </c>
      <c r="F36" s="374" t="e">
        <f ca="1">INDIRECT("'数据-取费表'!Ak"&amp;$G$1)</f>
        <v>#N/A</v>
      </c>
      <c r="G36" s="1849"/>
      <c r="H36" s="1857"/>
      <c r="I36" s="1858"/>
      <c r="J36" s="1859"/>
      <c r="K36" s="750"/>
      <c r="L36" s="1857"/>
      <c r="M36" s="1857"/>
    </row>
    <row r="37" spans="1:18" ht="18" customHeight="1">
      <c r="A37" s="1200" t="s">
        <v>1075</v>
      </c>
      <c r="B37" s="347" t="s">
        <v>1453</v>
      </c>
      <c r="C37" s="24" t="e">
        <f ca="1">ROUND(C13*F37,0)</f>
        <v>#N/A</v>
      </c>
      <c r="D37" s="1796" t="s">
        <v>1454</v>
      </c>
      <c r="E37" s="347" t="s">
        <v>1455</v>
      </c>
      <c r="F37" s="376" t="e">
        <f ca="1">INDIRECT("'数据-取费表'!Al"&amp;$G$1)</f>
        <v>#N/A</v>
      </c>
      <c r="G37" s="1849"/>
      <c r="H37" s="1857"/>
      <c r="I37" s="1858"/>
      <c r="J37" s="1859"/>
      <c r="K37" s="750"/>
      <c r="L37" s="1857"/>
      <c r="M37" s="1857"/>
    </row>
    <row r="38" spans="1:18" ht="18" customHeight="1" thickBot="1">
      <c r="A38" s="1338" t="s">
        <v>1393</v>
      </c>
      <c r="B38" s="1339" t="s">
        <v>1439</v>
      </c>
      <c r="C38" s="1340" t="e">
        <f ca="1">ROUND(C5*F38,1)</f>
        <v>#N/A</v>
      </c>
      <c r="D38" s="1341" t="s">
        <v>1459</v>
      </c>
      <c r="E38" s="1339" t="s">
        <v>1455</v>
      </c>
      <c r="F38" s="1335" t="e">
        <f ca="1">INDIRECT("'数据-取费表'!Am"&amp;$G$1)</f>
        <v>#N/A</v>
      </c>
      <c r="G38" s="1849"/>
      <c r="H38" s="1857"/>
      <c r="I38" s="1858"/>
      <c r="J38" s="1859"/>
      <c r="K38" s="1863"/>
      <c r="L38" s="1857"/>
      <c r="M38" s="1857"/>
    </row>
    <row r="39" spans="1:18" ht="24.6" customHeight="1" thickTop="1">
      <c r="A39" s="1328" t="s">
        <v>1031</v>
      </c>
      <c r="B39" s="1343" t="s">
        <v>1483</v>
      </c>
      <c r="C39" s="355" t="e">
        <f ca="1">C5-C30</f>
        <v>#N/A</v>
      </c>
      <c r="D39" s="1344" t="s">
        <v>1484</v>
      </c>
      <c r="E39" s="1345"/>
      <c r="F39" s="1346"/>
      <c r="G39" s="1849"/>
      <c r="H39" s="1857"/>
      <c r="I39" s="1858"/>
      <c r="J39" s="1859"/>
      <c r="K39" s="1863"/>
      <c r="L39" s="1857"/>
      <c r="M39" s="1857"/>
    </row>
    <row r="40" spans="1:18" ht="18" customHeight="1">
      <c r="A40" s="344" t="s">
        <v>1032</v>
      </c>
      <c r="B40" s="345" t="s">
        <v>1485</v>
      </c>
      <c r="C40" s="346" t="e">
        <f ca="1">ROUND(C39*(1-((1+F42)/(1+F40))^F41)/(F40-F42),0)</f>
        <v>#N/A</v>
      </c>
      <c r="D40" s="370" t="s">
        <v>1469</v>
      </c>
      <c r="E40" s="347" t="s">
        <v>1470</v>
      </c>
      <c r="F40" s="357" t="e">
        <f ca="1">INDIRECT("'数据-取费表'!I"&amp;$G$1)</f>
        <v>#N/A</v>
      </c>
      <c r="G40" s="1849"/>
      <c r="H40" s="1837"/>
      <c r="I40" s="1858"/>
      <c r="J40" s="1859"/>
      <c r="K40" s="1863"/>
      <c r="L40" s="1837"/>
      <c r="M40" s="1837"/>
    </row>
    <row r="41" spans="1:18" ht="18" customHeight="1">
      <c r="A41" s="349"/>
      <c r="B41" s="350"/>
      <c r="C41" s="351"/>
      <c r="D41" s="378" t="s">
        <v>1486</v>
      </c>
      <c r="E41" s="347" t="s">
        <v>1474</v>
      </c>
      <c r="F41" s="379" t="e">
        <f ca="1">IF(INDIRECT("'数据-取费表'!af"&amp;$G$1)=0,INDIRECT("'数据-取费表'!ae"&amp;$G$1),INDIRECT("'数据-取费表'!af"&amp;$G$1))</f>
        <v>#N/A</v>
      </c>
      <c r="G41" s="1849"/>
      <c r="H41" s="731"/>
      <c r="I41" s="1858"/>
      <c r="J41" s="1859"/>
      <c r="K41" s="750"/>
      <c r="L41" s="731"/>
      <c r="M41" s="731"/>
    </row>
    <row r="42" spans="1:18" ht="18" customHeight="1">
      <c r="A42" s="353"/>
      <c r="B42" s="354"/>
      <c r="C42" s="355"/>
      <c r="D42" s="373"/>
      <c r="E42" s="347" t="s">
        <v>1477</v>
      </c>
      <c r="F42" s="357" t="e">
        <f ca="1">INDIRECT("'数据-取费表'!v"&amp;$G$1)</f>
        <v>#N/A</v>
      </c>
      <c r="G42" s="1849"/>
      <c r="H42" s="731"/>
      <c r="I42" s="1858"/>
      <c r="J42" s="1859"/>
      <c r="K42" s="750"/>
      <c r="L42" s="731"/>
      <c r="M42" s="731"/>
    </row>
    <row r="43" spans="1:18" ht="18" customHeight="1" thickBot="1">
      <c r="A43" s="380" t="s">
        <v>1033</v>
      </c>
      <c r="B43" s="381" t="s">
        <v>1487</v>
      </c>
      <c r="C43" s="382" t="e">
        <f ca="1">ROUND(C40/F43,0)</f>
        <v>#N/A</v>
      </c>
      <c r="D43" s="383" t="s">
        <v>1488</v>
      </c>
      <c r="E43" s="384" t="s">
        <v>1489</v>
      </c>
      <c r="F43" s="385" t="e">
        <f ca="1">INDIRECT("'数据-取费表'!k"&amp;$G$1)</f>
        <v>#N/A</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937" t="e">
        <f ca="1">C68-C40</f>
        <v>#N/A</v>
      </c>
      <c r="D45" s="1938" t="s">
        <v>1604</v>
      </c>
      <c r="E45" s="1864"/>
      <c r="F45" s="1864"/>
      <c r="O45" s="1867" t="s">
        <v>1519</v>
      </c>
      <c r="P45" s="1837"/>
      <c r="Q45" s="1837"/>
      <c r="R45" s="1837"/>
    </row>
    <row r="46" spans="1:18" s="1840" customFormat="1" ht="13.5" thickBot="1">
      <c r="A46" s="1868" t="s">
        <v>1520</v>
      </c>
      <c r="C46" s="1869" t="e">
        <f ca="1">ROUND(C45/10000,0)</f>
        <v>#N/A</v>
      </c>
      <c r="D46" s="1870" t="str">
        <f>C2</f>
        <v>万元</v>
      </c>
      <c r="I46" s="1871" t="s">
        <v>1521</v>
      </c>
      <c r="J46" s="1872"/>
      <c r="K46" s="1873"/>
      <c r="L46" s="1874" t="e">
        <f ca="1">IF(M47="住宅",0,IF(L48&gt;J51,L60,J60))</f>
        <v>#N/A</v>
      </c>
      <c r="O46" s="1875" t="s">
        <v>1522</v>
      </c>
      <c r="P46" s="1876" t="s">
        <v>1523</v>
      </c>
      <c r="Q46" s="1877" t="s">
        <v>1524</v>
      </c>
      <c r="R46" s="1877" t="s">
        <v>1525</v>
      </c>
    </row>
    <row r="47" spans="1:18" s="1840" customFormat="1" ht="13.5" thickBot="1">
      <c r="A47" s="1164" t="s">
        <v>1396</v>
      </c>
      <c r="B47" s="1196" t="s">
        <v>1397</v>
      </c>
      <c r="C47" s="1196" t="s">
        <v>1398</v>
      </c>
      <c r="D47" s="1196" t="s">
        <v>1399</v>
      </c>
      <c r="E47" s="1278" t="s">
        <v>1400</v>
      </c>
      <c r="F47" s="1279"/>
      <c r="G47" s="791"/>
      <c r="I47" s="1878" t="s">
        <v>1526</v>
      </c>
      <c r="J47" s="1879" t="s">
        <v>3075</v>
      </c>
      <c r="K47" s="1880" t="s">
        <v>1527</v>
      </c>
      <c r="L47" s="1881" t="e">
        <f ca="1">INDIRECT("'数据-取费表'!d"&amp;$G$1)</f>
        <v>#N/A</v>
      </c>
      <c r="M47" s="1836" t="str">
        <f>IF(ISNUMBER(FIND("住宅",C1)),"住宅","非住宅")</f>
        <v>非住宅</v>
      </c>
      <c r="O47" s="1882" t="s">
        <v>1040</v>
      </c>
      <c r="P47" s="1883" t="s">
        <v>1528</v>
      </c>
      <c r="Q47" s="1884" t="e">
        <f ca="1">C40+J29</f>
        <v>#N/A</v>
      </c>
      <c r="R47" s="1884" t="s">
        <v>1529</v>
      </c>
    </row>
    <row r="48" spans="1:18" s="1840" customFormat="1" ht="28.5" thickBot="1">
      <c r="A48" s="1359" t="s">
        <v>1135</v>
      </c>
      <c r="B48" s="345" t="s">
        <v>1401</v>
      </c>
      <c r="C48" s="1815" t="e">
        <f ca="1">C49+C53+C55</f>
        <v>#N/A</v>
      </c>
      <c r="D48" s="1361"/>
      <c r="E48" s="1362"/>
      <c r="F48" s="1180"/>
      <c r="G48" s="791"/>
      <c r="H48" s="792"/>
      <c r="I48" s="1885" t="s">
        <v>1530</v>
      </c>
      <c r="J48" s="1886" t="s">
        <v>3106</v>
      </c>
      <c r="K48" s="1887" t="s">
        <v>1531</v>
      </c>
      <c r="L48" s="1888" t="e">
        <f ca="1">INDIRECT("'数据-取费表'!f"&amp;$G$1)</f>
        <v>#N/A</v>
      </c>
      <c r="O48" s="1882" t="s">
        <v>1041</v>
      </c>
      <c r="P48" s="1883" t="s">
        <v>1532</v>
      </c>
      <c r="Q48" s="1884" t="e">
        <f ca="1">J60</f>
        <v>#N/A</v>
      </c>
      <c r="R48" s="1884" t="s">
        <v>1533</v>
      </c>
    </row>
    <row r="49" spans="1:18" s="1840" customFormat="1" ht="13.5" thickBot="1">
      <c r="A49" s="1193" t="s">
        <v>1136</v>
      </c>
      <c r="B49" s="1827" t="s">
        <v>1490</v>
      </c>
      <c r="C49" s="1363" t="e">
        <f ca="1">ROUND(F49*F51*F50*(1-F52),0)</f>
        <v>#N/A</v>
      </c>
      <c r="D49" s="1275" t="s">
        <v>1404</v>
      </c>
      <c r="E49" s="1828" t="s">
        <v>1491</v>
      </c>
      <c r="F49" s="1280"/>
      <c r="G49" s="1889"/>
      <c r="H49" s="792"/>
      <c r="I49" s="1885" t="s">
        <v>1534</v>
      </c>
      <c r="J49" s="1890">
        <v>2010</v>
      </c>
      <c r="K49" s="1887" t="s">
        <v>1535</v>
      </c>
      <c r="L49" s="1891"/>
      <c r="O49" s="1892" t="s">
        <v>1042</v>
      </c>
      <c r="P49" s="1883" t="s">
        <v>1536</v>
      </c>
      <c r="Q49" s="1884" t="e">
        <f ca="1">C29</f>
        <v>#N/A</v>
      </c>
      <c r="R49" s="1884" t="s">
        <v>1529</v>
      </c>
    </row>
    <row r="50" spans="1:18" s="1840" customFormat="1" ht="13.5" thickBot="1">
      <c r="A50" s="1194"/>
      <c r="B50" s="1197"/>
      <c r="C50" s="1198"/>
      <c r="D50" s="1171"/>
      <c r="E50" s="1276" t="s">
        <v>1406</v>
      </c>
      <c r="F50" s="1277" t="e">
        <f ca="1">F7</f>
        <v>#N/A</v>
      </c>
      <c r="H50" s="792"/>
      <c r="I50" s="1885" t="s">
        <v>1537</v>
      </c>
      <c r="J50" s="1893">
        <f>SUMPRODUCT((I63:I65=J47)*(J62:L62=J48)*(J63:L65))</f>
        <v>60</v>
      </c>
      <c r="K50" s="1887" t="s">
        <v>1538</v>
      </c>
      <c r="L50" s="1891"/>
      <c r="M50" s="1894"/>
      <c r="O50" s="1892" t="s">
        <v>1043</v>
      </c>
      <c r="P50" s="1883" t="s">
        <v>1539</v>
      </c>
      <c r="Q50" s="1895" t="e">
        <f ca="1">J58</f>
        <v>#N/A</v>
      </c>
      <c r="R50" s="1884"/>
    </row>
    <row r="51" spans="1:18" s="1840" customFormat="1" ht="13.5" thickBot="1">
      <c r="A51" s="1195"/>
      <c r="B51" s="1197"/>
      <c r="C51" s="1198"/>
      <c r="D51" s="1171"/>
      <c r="E51" s="1199" t="s">
        <v>1407</v>
      </c>
      <c r="F51" s="348" t="e">
        <f ca="1">F8</f>
        <v>#N/A</v>
      </c>
      <c r="I51" s="1896" t="s">
        <v>1540</v>
      </c>
      <c r="J51" s="1897">
        <f>IF(J49="",J50,J49+J50-YEAR('数据-取费表'!B2))</f>
        <v>52</v>
      </c>
      <c r="K51" s="1898" t="s">
        <v>1541</v>
      </c>
      <c r="L51" s="1899" t="e">
        <f ca="1">ROUND(-PV(INDIRECT("'数据-取费表'!h"&amp;$G$1),L48,(C39-C13*C76),0),0)</f>
        <v>#N/A</v>
      </c>
      <c r="M51" s="1900"/>
      <c r="O51" s="1892" t="s">
        <v>1044</v>
      </c>
      <c r="P51" s="1883" t="s">
        <v>1542</v>
      </c>
      <c r="Q51" s="1895">
        <f>J52</f>
        <v>0</v>
      </c>
      <c r="R51" s="1884"/>
    </row>
    <row r="52" spans="1:18" s="1840" customFormat="1" ht="13.5" thickBot="1">
      <c r="A52" s="1195"/>
      <c r="B52" s="1197"/>
      <c r="C52" s="1198"/>
      <c r="D52" s="1171"/>
      <c r="E52" s="1199" t="s">
        <v>1408</v>
      </c>
      <c r="F52" s="1274"/>
      <c r="I52" s="1901" t="s">
        <v>1543</v>
      </c>
      <c r="J52" s="1902"/>
      <c r="K52" s="1901" t="s">
        <v>1544</v>
      </c>
      <c r="L52" s="1902"/>
      <c r="O52" s="1892" t="s">
        <v>1045</v>
      </c>
      <c r="P52" s="1883" t="s">
        <v>1545</v>
      </c>
      <c r="Q52" s="1884" t="e">
        <f ca="1">J53</f>
        <v>#N/A</v>
      </c>
      <c r="R52" s="1884" t="s">
        <v>1546</v>
      </c>
    </row>
    <row r="53" spans="1:18" s="1840" customFormat="1" ht="30.75" customHeight="1" thickBot="1">
      <c r="A53" s="1360" t="s">
        <v>1137</v>
      </c>
      <c r="B53" s="369" t="s">
        <v>1409</v>
      </c>
      <c r="C53" s="361">
        <f ca="1">ROUND(IF(F53="押一",F49*F51*F50/12*F11,IF(F53="押二",F49*F51*F50/12*2*F11,IF(F53="押三",F49*F51*F50/12*3*F11,C54*F11))),0)</f>
        <v>0</v>
      </c>
      <c r="D53" s="1822" t="s">
        <v>1410</v>
      </c>
      <c r="E53" s="358" t="s">
        <v>1411</v>
      </c>
      <c r="F53" s="1365"/>
      <c r="I53" s="1903" t="s">
        <v>1547</v>
      </c>
      <c r="J53" s="1904" t="e">
        <f ca="1">IF(M47="住宅",J51,IF(D1="——",MIN(J51,L48),IF(D1="在建（套用方法）",MIN(J51,L48-'数据-取费表'!B24),IF(D1="土地（套用方法）",MIN(J51,L48-'数据-取费表'!B20)))))</f>
        <v>#N/A</v>
      </c>
      <c r="K53" s="3258" t="s">
        <v>1548</v>
      </c>
      <c r="L53" s="3259"/>
      <c r="O53" s="1882" t="s">
        <v>1046</v>
      </c>
      <c r="P53" s="1883" t="s">
        <v>1549</v>
      </c>
      <c r="Q53" s="1884" t="e">
        <f ca="1">Q47+Q48</f>
        <v>#N/A</v>
      </c>
      <c r="R53" s="1884" t="s">
        <v>1047</v>
      </c>
    </row>
    <row r="54" spans="1:18" s="1840" customFormat="1" ht="13.5" thickBot="1">
      <c r="A54" s="1193"/>
      <c r="B54" s="1939" t="s">
        <v>1603</v>
      </c>
      <c r="C54" s="1177"/>
      <c r="D54" s="1822"/>
      <c r="E54" s="1830"/>
      <c r="F54" s="1905"/>
      <c r="I54" s="190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7"/>
      <c r="K54" s="1907"/>
      <c r="L54" s="1907"/>
      <c r="M54" s="1889"/>
      <c r="O54" s="1867" t="s">
        <v>1550</v>
      </c>
      <c r="P54" s="1837"/>
      <c r="Q54" s="1837"/>
      <c r="R54" s="1837"/>
    </row>
    <row r="55" spans="1:18" s="1840" customFormat="1" ht="13.5" thickBot="1">
      <c r="A55" s="1332" t="s">
        <v>1075</v>
      </c>
      <c r="B55" s="1825" t="s">
        <v>1413</v>
      </c>
      <c r="C55" s="1333"/>
      <c r="D55" s="1822"/>
      <c r="E55" s="1830"/>
      <c r="F55" s="1905"/>
      <c r="I55" s="1908" t="s">
        <v>1551</v>
      </c>
      <c r="J55" s="1909" t="e">
        <f ca="1">ROUND(IF(J47="钢混",J57/J50,1-(1-2%)*(J50-J57)/J50),3)</f>
        <v>#N/A</v>
      </c>
      <c r="K55" s="1910" t="s">
        <v>1552</v>
      </c>
      <c r="L55" s="1911"/>
      <c r="O55" s="1875" t="s">
        <v>1522</v>
      </c>
      <c r="P55" s="1876" t="s">
        <v>1523</v>
      </c>
      <c r="Q55" s="1877" t="s">
        <v>1524</v>
      </c>
      <c r="R55" s="1877" t="s">
        <v>1525</v>
      </c>
    </row>
    <row r="56" spans="1:18" s="1840" customFormat="1" ht="36" customHeight="1" thickTop="1" thickBot="1">
      <c r="A56" s="1175">
        <v>2</v>
      </c>
      <c r="B56" s="1176" t="s">
        <v>1414</v>
      </c>
      <c r="C56" s="276" t="e">
        <f ca="1">C13</f>
        <v>#N/A</v>
      </c>
      <c r="D56" s="1912"/>
      <c r="E56" s="1913"/>
      <c r="F56" s="1905"/>
      <c r="I56" s="1914" t="s">
        <v>1554</v>
      </c>
      <c r="J56" s="1915" t="s">
        <v>3037</v>
      </c>
      <c r="K56" s="1885" t="s">
        <v>1555</v>
      </c>
      <c r="L56" s="1888" t="e">
        <f ca="1">IF(L48&lt;J51,"——",L48-J51)</f>
        <v>#N/A</v>
      </c>
      <c r="O56" s="1882" t="s">
        <v>1040</v>
      </c>
      <c r="P56" s="1883" t="s">
        <v>1528</v>
      </c>
      <c r="Q56" s="1884" t="e">
        <f ca="1">C40+J29</f>
        <v>#N/A</v>
      </c>
      <c r="R56" s="1884" t="s">
        <v>1529</v>
      </c>
    </row>
    <row r="57" spans="1:18" s="1840" customFormat="1" ht="24.75" thickBot="1">
      <c r="A57" s="1916"/>
      <c r="B57" s="1168" t="s">
        <v>1478</v>
      </c>
      <c r="C57" s="282" t="e">
        <f ca="1">C29</f>
        <v>#N/A</v>
      </c>
      <c r="D57" s="1917"/>
      <c r="E57" s="1918"/>
      <c r="F57" s="1919"/>
      <c r="I57" s="1920" t="s">
        <v>1556</v>
      </c>
      <c r="J57" s="1921" t="e">
        <f ca="1">IF(OR(M47="住宅",J51&lt;L48,J56="是"),"——",J51-L48)</f>
        <v>#N/A</v>
      </c>
      <c r="K57" s="1885" t="s">
        <v>1605</v>
      </c>
      <c r="L57" s="1888" t="e">
        <f ca="1">IF(L48&lt;J51,"——",IF(L55="比较法",L49,IF(L55="基准地价",L50,L51)))</f>
        <v>#N/A</v>
      </c>
      <c r="O57" s="1882" t="s">
        <v>1041</v>
      </c>
      <c r="P57" s="1883" t="s">
        <v>1606</v>
      </c>
      <c r="Q57" s="1884" t="e">
        <f ca="1">L60</f>
        <v>#N/A</v>
      </c>
      <c r="R57" s="1884" t="s">
        <v>1607</v>
      </c>
    </row>
    <row r="58" spans="1:18" s="1840" customFormat="1" ht="24.75" thickBot="1">
      <c r="A58" s="360" t="s">
        <v>1030</v>
      </c>
      <c r="B58" s="1176" t="s">
        <v>1424</v>
      </c>
      <c r="C58" s="361" t="e">
        <f ca="1">ROUND(C59+C64+C65+C66,0)</f>
        <v>#N/A</v>
      </c>
      <c r="D58" s="1178" t="s">
        <v>1425</v>
      </c>
      <c r="E58" s="1179"/>
      <c r="F58" s="1180"/>
      <c r="I58" s="1920" t="s">
        <v>1560</v>
      </c>
      <c r="J58" s="1922" t="e">
        <f ca="1">IF(J55&lt;0.4,0.4,J55)</f>
        <v>#N/A</v>
      </c>
      <c r="K58" s="1898" t="s">
        <v>1608</v>
      </c>
      <c r="L58" s="1888" t="e">
        <f ca="1">ROUND(POWER(1+L52,L47-L48)*(POWER(1+L52,L48)-1)/(POWER(1+L52,L47)-1),4)</f>
        <v>#N/A</v>
      </c>
      <c r="O58" s="1892" t="s">
        <v>1042</v>
      </c>
      <c r="P58" s="1883" t="s">
        <v>1562</v>
      </c>
      <c r="Q58" s="1884">
        <f>IF(L55="比较法",L49,IF(L55="基准地价",L50,0))</f>
        <v>0</v>
      </c>
      <c r="R58" s="1884" t="s">
        <v>1529</v>
      </c>
    </row>
    <row r="59" spans="1:18" s="1840" customFormat="1" ht="24.75" thickBot="1">
      <c r="A59" s="1200" t="s">
        <v>1035</v>
      </c>
      <c r="B59" s="1168" t="s">
        <v>1429</v>
      </c>
      <c r="C59" s="24" t="e">
        <f ca="1">ROUND(IF(项目基本情况!B11="自然人",C48*F59,C60+C61+C62),0)</f>
        <v>#N/A</v>
      </c>
      <c r="D59" s="1181" t="s">
        <v>1430</v>
      </c>
      <c r="E59" s="1182" t="s">
        <v>1431</v>
      </c>
      <c r="F59" s="368" t="str">
        <f ca="1">IF(项目基本情况!B11="企业","",IF(INDIRECT("'数据-取费表'!c"&amp;$G$1)="住宅",5%,IF(F49*F50*F51/12/(1+'数据-取费表'!C42)&gt;20000,12%,7%)))</f>
        <v/>
      </c>
      <c r="I59" s="1920" t="s">
        <v>1563</v>
      </c>
      <c r="J59" s="1921" t="e">
        <f ca="1">IF(OR(M47="住宅",J51&lt;L48,J56="是"),"——",ROUND(C29*J58,0))</f>
        <v>#N/A</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#N/A</v>
      </c>
      <c r="M59" s="1837" t="e">
        <f ca="1">ROUND(POWER(1+L52,L47-(J51+'数据-取费表'!B24))*(POWER(1+L52,(J51+'数据-取费表'!B24))-1)/(POWER(1+L52,L47)-1),4)</f>
        <v>#N/A</v>
      </c>
      <c r="N59" s="1837" t="e">
        <f ca="1">ROUND(POWER(1+L52,L47-(J51+'数据-取费表'!B20))*(POWER(1+L52,(J51+'数据-取费表'!B20))-1)/(POWER(1+L52,L47)-1),4)</f>
        <v>#N/A</v>
      </c>
      <c r="O59" s="1892" t="s">
        <v>1043</v>
      </c>
      <c r="P59" s="1883" t="s">
        <v>1564</v>
      </c>
      <c r="Q59" s="1895">
        <f>L52</f>
        <v>0</v>
      </c>
      <c r="R59" s="1884"/>
    </row>
    <row r="60" spans="1:18" s="1840" customFormat="1" ht="16.5" thickBot="1">
      <c r="A60" s="1200" t="s">
        <v>1034</v>
      </c>
      <c r="B60" s="1168" t="s">
        <v>1433</v>
      </c>
      <c r="C60" s="24" t="e">
        <f ca="1">IF(项目基本情况!B11="自然人","——",ROUND(C48*F60/(1+'数据-取费表'!C42),0))</f>
        <v>#N/A</v>
      </c>
      <c r="D60" s="1182" t="s">
        <v>1434</v>
      </c>
      <c r="E60" s="1168" t="s">
        <v>1422</v>
      </c>
      <c r="F60" s="377">
        <f t="shared" ref="F60:F66" si="0">F32</f>
        <v>5.6000000000000001E-2</v>
      </c>
      <c r="I60" s="1923" t="s">
        <v>1565</v>
      </c>
      <c r="J60" s="1924" t="e">
        <f ca="1">IF(OR(M47="住宅",J51&lt;L48,J56="是"),"0",ROUND(J59/(1+J52)^J53,0))</f>
        <v>#N/A</v>
      </c>
      <c r="K60" s="1925" t="s">
        <v>1566</v>
      </c>
      <c r="L60" s="1924" t="e">
        <f ca="1">IF(OR(M47="住宅",L48&lt;J51),0,ROUND(L57*(L58/L59-1),0))</f>
        <v>#N/A</v>
      </c>
      <c r="O60" s="1892" t="s">
        <v>1044</v>
      </c>
      <c r="P60" s="1883" t="s">
        <v>1567</v>
      </c>
      <c r="Q60" s="1884" t="e">
        <f ca="1">L58</f>
        <v>#N/A</v>
      </c>
      <c r="R60" s="1884" t="s">
        <v>1568</v>
      </c>
    </row>
    <row r="61" spans="1:18" s="1840" customFormat="1" ht="13.5" thickBot="1">
      <c r="A61" s="1200" t="s">
        <v>1492</v>
      </c>
      <c r="B61" s="1168" t="s">
        <v>1493</v>
      </c>
      <c r="C61" s="24" t="e">
        <f ca="1">IF(项目基本情况!B11="自然人","——",IF(D61="按租金收入计税",ROUND(C48*F61,0),IF(D61="按房产原值计税",ROUND(C57*F61*0.7,0),INDIRECT("'数据-取费表'!Aj"&amp;$G$1))))</f>
        <v>#N/A</v>
      </c>
      <c r="D61" s="1826" t="s">
        <v>1438</v>
      </c>
      <c r="E61" s="1168" t="s">
        <v>1494</v>
      </c>
      <c r="F61" s="367">
        <f t="shared" si="0"/>
        <v>1.2E-2</v>
      </c>
      <c r="I61" s="1926"/>
      <c r="J61" s="1926"/>
      <c r="K61" s="1926"/>
      <c r="L61" s="1926"/>
      <c r="O61" s="1892" t="s">
        <v>1045</v>
      </c>
      <c r="P61" s="1883" t="str">
        <f>K59</f>
        <v>建筑物剩余耐用年限下的土地年期修正系数Kn</v>
      </c>
      <c r="Q61" s="1884" t="e">
        <f ca="1">L59</f>
        <v>#N/A</v>
      </c>
      <c r="R61" s="1884" t="s">
        <v>1569</v>
      </c>
    </row>
    <row r="62" spans="1:18" s="1840" customFormat="1" ht="13.5" thickBot="1">
      <c r="A62" s="1200" t="s">
        <v>1495</v>
      </c>
      <c r="B62" s="1167" t="s">
        <v>1496</v>
      </c>
      <c r="C62" s="25" t="e">
        <f ca="1">IF(项目基本情况!B11="自然人","——",ROUND(F62*F63,0))</f>
        <v>#N/A</v>
      </c>
      <c r="D62" s="1183" t="s">
        <v>1497</v>
      </c>
      <c r="E62" s="1168" t="s">
        <v>1498</v>
      </c>
      <c r="F62" s="371">
        <f t="shared" si="0"/>
        <v>3</v>
      </c>
      <c r="I62" s="1927" t="s">
        <v>1570</v>
      </c>
      <c r="J62" s="1928" t="s">
        <v>1571</v>
      </c>
      <c r="K62" s="1928" t="s">
        <v>1572</v>
      </c>
      <c r="L62" s="1928" t="s">
        <v>1573</v>
      </c>
      <c r="M62" s="1929" t="s">
        <v>1574</v>
      </c>
      <c r="O62" s="1882" t="s">
        <v>1046</v>
      </c>
      <c r="P62" s="1883" t="s">
        <v>1575</v>
      </c>
      <c r="Q62" s="1884" t="e">
        <f ca="1">Q56+Q57</f>
        <v>#N/A</v>
      </c>
      <c r="R62" s="1884" t="s">
        <v>1047</v>
      </c>
    </row>
    <row r="63" spans="1:18" s="1840" customFormat="1" ht="13.5" thickBot="1">
      <c r="A63" s="372"/>
      <c r="B63" s="1174"/>
      <c r="C63" s="29"/>
      <c r="D63" s="1184"/>
      <c r="E63" s="1168" t="s">
        <v>1499</v>
      </c>
      <c r="F63" s="348" t="e">
        <f t="shared" ca="1" si="0"/>
        <v>#N/A</v>
      </c>
      <c r="I63" s="1927" t="s">
        <v>1576</v>
      </c>
      <c r="J63" s="1928">
        <v>70</v>
      </c>
      <c r="K63" s="1928">
        <v>50</v>
      </c>
      <c r="L63" s="1928">
        <v>80</v>
      </c>
      <c r="M63" s="1930">
        <v>0.02</v>
      </c>
      <c r="O63" s="1867" t="s">
        <v>1577</v>
      </c>
      <c r="P63" s="1837"/>
      <c r="Q63" s="1837"/>
      <c r="R63" s="1837"/>
    </row>
    <row r="64" spans="1:18" s="1840" customFormat="1" ht="13.5" thickBot="1">
      <c r="A64" s="1200" t="s">
        <v>1500</v>
      </c>
      <c r="B64" s="1168" t="s">
        <v>1501</v>
      </c>
      <c r="C64" s="24" t="e">
        <f ca="1">ROUND(C57*F64,0)</f>
        <v>#N/A</v>
      </c>
      <c r="D64" s="1182" t="s">
        <v>1502</v>
      </c>
      <c r="E64" s="1168" t="s">
        <v>1494</v>
      </c>
      <c r="F64" s="374" t="e">
        <f t="shared" ca="1" si="0"/>
        <v>#N/A</v>
      </c>
      <c r="I64" s="1927" t="s">
        <v>1578</v>
      </c>
      <c r="J64" s="1928">
        <v>50</v>
      </c>
      <c r="K64" s="1928">
        <v>35</v>
      </c>
      <c r="L64" s="1928">
        <v>60</v>
      </c>
      <c r="M64" s="1929">
        <v>0</v>
      </c>
      <c r="O64" s="1875" t="s">
        <v>1522</v>
      </c>
      <c r="P64" s="1876" t="s">
        <v>1523</v>
      </c>
      <c r="Q64" s="1877" t="s">
        <v>1524</v>
      </c>
      <c r="R64" s="1877" t="s">
        <v>1525</v>
      </c>
    </row>
    <row r="65" spans="1:18" s="1840" customFormat="1" ht="13.5" thickBot="1">
      <c r="A65" s="1200" t="s">
        <v>1503</v>
      </c>
      <c r="B65" s="1168" t="s">
        <v>1453</v>
      </c>
      <c r="C65" s="24" t="e">
        <f ca="1">ROUND(C56*F65,0)</f>
        <v>#N/A</v>
      </c>
      <c r="D65" s="1182" t="s">
        <v>1454</v>
      </c>
      <c r="E65" s="1168" t="s">
        <v>1455</v>
      </c>
      <c r="F65" s="376" t="e">
        <f t="shared" ca="1" si="0"/>
        <v>#N/A</v>
      </c>
      <c r="I65" s="1927" t="s">
        <v>1579</v>
      </c>
      <c r="J65" s="1928">
        <v>40</v>
      </c>
      <c r="K65" s="1928">
        <v>30</v>
      </c>
      <c r="L65" s="1928">
        <v>50</v>
      </c>
      <c r="M65" s="1930">
        <v>0.02</v>
      </c>
      <c r="O65" s="1882" t="s">
        <v>1040</v>
      </c>
      <c r="P65" s="1883" t="s">
        <v>1580</v>
      </c>
      <c r="Q65" s="1884" t="e">
        <f ca="1">C40+J29</f>
        <v>#N/A</v>
      </c>
      <c r="R65" s="1884" t="s">
        <v>1529</v>
      </c>
    </row>
    <row r="66" spans="1:18" s="1840" customFormat="1" ht="16.5" thickBot="1">
      <c r="A66" s="1200" t="s">
        <v>1504</v>
      </c>
      <c r="B66" s="1168" t="s">
        <v>1439</v>
      </c>
      <c r="C66" s="24" t="e">
        <f ca="1">ROUND(C48*F66,0)</f>
        <v>#N/A</v>
      </c>
      <c r="D66" s="1182" t="s">
        <v>1505</v>
      </c>
      <c r="E66" s="1168" t="s">
        <v>1422</v>
      </c>
      <c r="F66" s="357" t="e">
        <f t="shared" ca="1" si="0"/>
        <v>#N/A</v>
      </c>
      <c r="O66" s="1882" t="s">
        <v>1041</v>
      </c>
      <c r="P66" s="1883" t="s">
        <v>1558</v>
      </c>
      <c r="Q66" s="1884" t="e">
        <f ca="1">L60</f>
        <v>#N/A</v>
      </c>
      <c r="R66" s="1884" t="s">
        <v>1581</v>
      </c>
    </row>
    <row r="67" spans="1:18" s="1840" customFormat="1" ht="16.5" thickBot="1">
      <c r="A67" s="1175" t="s">
        <v>1031</v>
      </c>
      <c r="B67" s="1185" t="s">
        <v>1463</v>
      </c>
      <c r="C67" s="361" t="e">
        <f ca="1">C48-C58</f>
        <v>#N/A</v>
      </c>
      <c r="D67" s="1181" t="s">
        <v>1464</v>
      </c>
      <c r="E67" s="1186"/>
      <c r="F67" s="1187"/>
      <c r="O67" s="1892" t="s">
        <v>1042</v>
      </c>
      <c r="P67" s="1883" t="s">
        <v>1562</v>
      </c>
      <c r="Q67" s="1931" t="e">
        <f ca="1">L51</f>
        <v>#N/A</v>
      </c>
      <c r="R67" s="1884" t="s">
        <v>1582</v>
      </c>
    </row>
    <row r="68" spans="1:18" s="1840" customFormat="1" ht="16.5" thickBot="1">
      <c r="A68" s="1165" t="s">
        <v>1032</v>
      </c>
      <c r="B68" s="1166" t="s">
        <v>1485</v>
      </c>
      <c r="C68" s="346" t="e">
        <f ca="1">ROUND(C67*(1-((1+F70)/(1+F68))^F69)/(F68-F70),0)</f>
        <v>#N/A</v>
      </c>
      <c r="D68" s="1183" t="s">
        <v>1469</v>
      </c>
      <c r="E68" s="1168" t="s">
        <v>1470</v>
      </c>
      <c r="F68" s="357" t="e">
        <f ca="1">F40</f>
        <v>#N/A</v>
      </c>
      <c r="O68" s="1892" t="s">
        <v>1043</v>
      </c>
      <c r="P68" s="1932" t="s">
        <v>1583</v>
      </c>
      <c r="Q68" s="1884" t="e">
        <f ca="1">ROUND(Q69-Q70*Q71,0)</f>
        <v>#N/A</v>
      </c>
      <c r="R68" s="1884" t="s">
        <v>1051</v>
      </c>
    </row>
    <row r="69" spans="1:18" s="1840" customFormat="1" ht="13.5" thickBot="1">
      <c r="A69" s="1169"/>
      <c r="B69" s="1170"/>
      <c r="C69" s="351"/>
      <c r="D69" s="1188" t="s">
        <v>1473</v>
      </c>
      <c r="E69" s="1168" t="s">
        <v>1474</v>
      </c>
      <c r="F69" s="379" t="e">
        <f ca="1">F41</f>
        <v>#N/A</v>
      </c>
      <c r="O69" s="1892" t="s">
        <v>1048</v>
      </c>
      <c r="P69" s="1932" t="s">
        <v>1584</v>
      </c>
      <c r="Q69" s="1884" t="e">
        <f ca="1">C39</f>
        <v>#N/A</v>
      </c>
      <c r="R69" s="1884" t="s">
        <v>1529</v>
      </c>
    </row>
    <row r="70" spans="1:18" s="1840" customFormat="1" ht="13.5" thickBot="1">
      <c r="A70" s="1172"/>
      <c r="B70" s="1173"/>
      <c r="C70" s="355"/>
      <c r="D70" s="1184"/>
      <c r="E70" s="1168" t="s">
        <v>1477</v>
      </c>
      <c r="F70" s="1274" t="e">
        <f ca="1">F42</f>
        <v>#N/A</v>
      </c>
      <c r="O70" s="1892" t="s">
        <v>1049</v>
      </c>
      <c r="P70" s="1932" t="s">
        <v>1585</v>
      </c>
      <c r="Q70" s="1884" t="e">
        <f ca="1">C13</f>
        <v>#N/A</v>
      </c>
      <c r="R70" s="1884" t="s">
        <v>1529</v>
      </c>
    </row>
    <row r="71" spans="1:18" s="1840" customFormat="1" ht="13.5" thickBot="1">
      <c r="A71" s="1189" t="s">
        <v>1033</v>
      </c>
      <c r="B71" s="1190" t="s">
        <v>1487</v>
      </c>
      <c r="C71" s="382" t="e">
        <f ca="1">ROUND(C68/F71,0)</f>
        <v>#N/A</v>
      </c>
      <c r="D71" s="1191" t="s">
        <v>1488</v>
      </c>
      <c r="E71" s="1192" t="s">
        <v>1489</v>
      </c>
      <c r="F71" s="385" t="e">
        <f ca="1">F43</f>
        <v>#N/A</v>
      </c>
      <c r="O71" s="1892" t="s">
        <v>1050</v>
      </c>
      <c r="P71" s="1932" t="s">
        <v>1586</v>
      </c>
      <c r="Q71" s="1895" t="e">
        <f ca="1">C76</f>
        <v>#N/A</v>
      </c>
      <c r="R71" s="1884"/>
    </row>
    <row r="72" spans="1:18" s="1840" customFormat="1" ht="13.5" thickBot="1">
      <c r="B72" s="795"/>
      <c r="C72" s="795"/>
      <c r="O72" s="1892" t="s">
        <v>1044</v>
      </c>
      <c r="P72" s="1883" t="s">
        <v>1564</v>
      </c>
      <c r="Q72" s="1895">
        <f>L52</f>
        <v>0</v>
      </c>
      <c r="R72" s="1884"/>
    </row>
    <row r="73" spans="1:18" ht="16.5" thickBot="1">
      <c r="A73" s="1840"/>
      <c r="B73" s="795"/>
      <c r="C73" s="795"/>
      <c r="D73" s="1840"/>
      <c r="E73" s="1840"/>
      <c r="F73" s="1840"/>
      <c r="O73" s="1892" t="s">
        <v>1045</v>
      </c>
      <c r="P73" s="1883" t="s">
        <v>1567</v>
      </c>
      <c r="Q73" s="1884" t="e">
        <f ca="1">L58</f>
        <v>#N/A</v>
      </c>
      <c r="R73" s="1884" t="s">
        <v>1568</v>
      </c>
    </row>
    <row r="74" spans="1:18" ht="13.5" thickBot="1">
      <c r="A74" s="1840"/>
      <c r="B74" s="317" t="s">
        <v>1587</v>
      </c>
      <c r="C74" s="1934"/>
      <c r="D74" s="1840"/>
      <c r="E74" s="1840"/>
      <c r="F74" s="1840"/>
      <c r="O74" s="1892" t="s">
        <v>1052</v>
      </c>
      <c r="P74" s="1883" t="str">
        <f>K59</f>
        <v>建筑物剩余耐用年限下的土地年期修正系数Kn</v>
      </c>
      <c r="Q74" s="1884" t="e">
        <f ca="1">L59</f>
        <v>#N/A</v>
      </c>
      <c r="R74" s="1884" t="s">
        <v>1569</v>
      </c>
    </row>
    <row r="75" spans="1:18" ht="13.5" thickBot="1">
      <c r="A75" s="1840"/>
      <c r="B75" s="386" t="s">
        <v>1506</v>
      </c>
      <c r="C75" s="387" t="e">
        <f ca="1">ROUND(C13*C76,0)</f>
        <v>#N/A</v>
      </c>
      <c r="D75" s="1840"/>
      <c r="E75" s="1840"/>
      <c r="F75" s="1840"/>
      <c r="K75" s="1866"/>
      <c r="L75" s="1840"/>
      <c r="O75" s="1882" t="s">
        <v>1046</v>
      </c>
      <c r="P75" s="1883" t="s">
        <v>1549</v>
      </c>
      <c r="Q75" s="1884" t="e">
        <f ca="1">Q65+Q66</f>
        <v>#N/A</v>
      </c>
      <c r="R75" s="1884" t="s">
        <v>1047</v>
      </c>
    </row>
    <row r="76" spans="1:18">
      <c r="B76" s="388" t="s">
        <v>1507</v>
      </c>
      <c r="C76" s="389" t="e">
        <f ca="1">INDIRECT("'数据-取费表'!j"&amp;$G$1)</f>
        <v>#N/A</v>
      </c>
      <c r="I76" s="1840"/>
      <c r="J76" s="1840"/>
      <c r="K76" s="1866"/>
      <c r="L76" s="1840"/>
    </row>
    <row r="77" spans="1:18">
      <c r="B77" s="390" t="s">
        <v>1508</v>
      </c>
      <c r="C77" s="391"/>
      <c r="I77" s="1840"/>
      <c r="J77" s="1840"/>
      <c r="K77" s="1866"/>
      <c r="L77" s="1840"/>
    </row>
    <row r="78" spans="1:18">
      <c r="B78" s="314" t="s">
        <v>1509</v>
      </c>
      <c r="C78" s="392"/>
    </row>
    <row r="79" spans="1:18">
      <c r="B79" s="386" t="s">
        <v>1510</v>
      </c>
      <c r="C79" s="318" t="e">
        <f ca="1">1-C80</f>
        <v>#N/A</v>
      </c>
    </row>
    <row r="80" spans="1:18">
      <c r="B80" s="386" t="s">
        <v>1511</v>
      </c>
      <c r="C80" s="318" t="e">
        <f ca="1">ROUND(C75/C39,3)</f>
        <v>#N/A</v>
      </c>
    </row>
    <row r="81" spans="2:3">
      <c r="B81" s="314" t="s">
        <v>1512</v>
      </c>
      <c r="C81" s="282"/>
    </row>
    <row r="82" spans="2:3">
      <c r="B82" s="317" t="s">
        <v>1513</v>
      </c>
      <c r="C82" s="319" t="e">
        <f ca="1">1-C83</f>
        <v>#N/A</v>
      </c>
    </row>
    <row r="83" spans="2:3">
      <c r="B83" s="317" t="s">
        <v>1514</v>
      </c>
      <c r="C83" s="318" t="e">
        <f ca="1">ROUND(C13/C40,3)</f>
        <v>#N/A</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2" sqref="B2"/>
    </sheetView>
  </sheetViews>
  <sheetFormatPr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6" t="s">
        <v>2514</v>
      </c>
      <c r="B1" s="2557"/>
      <c r="C1" s="2557"/>
      <c r="D1" s="2557"/>
      <c r="E1" s="2558"/>
    </row>
    <row r="2" spans="1:6" ht="15.75">
      <c r="A2" s="2559" t="s">
        <v>2315</v>
      </c>
      <c r="B2" s="2560">
        <f ca="1">SUMIF(B6:B13,"&lt;&gt;#ref!",B6:B13)</f>
        <v>13538</v>
      </c>
      <c r="C2" s="2561" t="s">
        <v>2507</v>
      </c>
      <c r="D2" s="2562" t="s">
        <v>2508</v>
      </c>
      <c r="E2" s="2563">
        <f>SUM(E6:E13)</f>
        <v>4163.47</v>
      </c>
    </row>
    <row r="3" spans="1:6" ht="15.75">
      <c r="A3" s="2559" t="s">
        <v>1395</v>
      </c>
      <c r="B3" s="2560">
        <f ca="1">ROUND(B2*10000/E2,0)</f>
        <v>32516</v>
      </c>
      <c r="C3" s="2561" t="s">
        <v>2515</v>
      </c>
      <c r="D3" s="2564"/>
      <c r="E3" s="2565"/>
    </row>
    <row r="4" spans="1:6" ht="15.75">
      <c r="A4" s="2566"/>
      <c r="B4" s="2564"/>
      <c r="C4" s="2564"/>
      <c r="D4" s="2564"/>
      <c r="E4" s="2565"/>
    </row>
    <row r="5" spans="1:6" ht="15">
      <c r="A5" s="2567" t="s">
        <v>2509</v>
      </c>
      <c r="B5" s="3260" t="s">
        <v>2510</v>
      </c>
      <c r="C5" s="3260"/>
      <c r="D5" s="2568"/>
      <c r="E5" s="2569" t="s">
        <v>2511</v>
      </c>
      <c r="F5" s="2570" t="s">
        <v>2512</v>
      </c>
    </row>
    <row r="6" spans="1:6">
      <c r="A6" s="2571" t="str">
        <f>'数据-取费表'!AN6</f>
        <v>收益法-已出租</v>
      </c>
      <c r="B6" s="2570">
        <f ca="1">IF(F6="是",'数据-取费表'!AO6,0)</f>
        <v>4429</v>
      </c>
      <c r="C6" s="2561" t="s">
        <v>2507</v>
      </c>
      <c r="D6" s="2564"/>
      <c r="E6" s="2572">
        <f>IF(OR(A6=0,F6="否"),0,'数据-取费表'!K6+'数据-取费表'!S6)</f>
        <v>1489.8899999999999</v>
      </c>
      <c r="F6" s="2573" t="s">
        <v>2513</v>
      </c>
    </row>
    <row r="7" spans="1:6">
      <c r="A7" s="2571" t="str">
        <f>'数据-取费表'!AN7</f>
        <v>收益法-未出租</v>
      </c>
      <c r="B7" s="2570">
        <f ca="1">IF(F7="是",'数据-取费表'!AO7,0)</f>
        <v>9109</v>
      </c>
      <c r="C7" s="2561" t="s">
        <v>2507</v>
      </c>
      <c r="D7" s="2564"/>
      <c r="E7" s="2572">
        <f>IF(OR(A7=0,F7="否"),0,'数据-取费表'!K7+'数据-取费表'!S7)</f>
        <v>2673.5800000000004</v>
      </c>
      <c r="F7" s="2573" t="s">
        <v>2513</v>
      </c>
    </row>
    <row r="8" spans="1:6">
      <c r="A8" s="2571">
        <f>'数据-取费表'!AN8</f>
        <v>0</v>
      </c>
      <c r="B8" s="2570">
        <f>IF(F8="是",'数据-取费表'!AO8,0)</f>
        <v>0</v>
      </c>
      <c r="C8" s="2561" t="s">
        <v>2507</v>
      </c>
      <c r="D8" s="2564"/>
      <c r="E8" s="2572">
        <f>IF(OR(A8=0,F8="否"),0,'数据-取费表'!K8+'数据-取费表'!S8)</f>
        <v>0</v>
      </c>
      <c r="F8" s="2573"/>
    </row>
    <row r="9" spans="1:6">
      <c r="A9" s="2571">
        <f>'数据-取费表'!AN9</f>
        <v>0</v>
      </c>
      <c r="B9" s="2570">
        <f>IF(F9="是",'数据-取费表'!AO9,0)</f>
        <v>0</v>
      </c>
      <c r="C9" s="2561" t="s">
        <v>2507</v>
      </c>
      <c r="D9" s="2564"/>
      <c r="E9" s="2572">
        <f>IF(OR(A9=0,F9="否"),0,'数据-取费表'!K9+'数据-取费表'!S9)</f>
        <v>0</v>
      </c>
      <c r="F9" s="2573"/>
    </row>
    <row r="10" spans="1:6">
      <c r="A10" s="2571">
        <f>'数据-取费表'!AN10</f>
        <v>0</v>
      </c>
      <c r="B10" s="2570">
        <f>IF(F10="是",'数据-取费表'!AO10,0)</f>
        <v>0</v>
      </c>
      <c r="C10" s="2561" t="s">
        <v>2507</v>
      </c>
      <c r="D10" s="2564"/>
      <c r="E10" s="2572">
        <f>IF(OR(A10=0,F10="否"),0,'数据-取费表'!K10+'数据-取费表'!S10)</f>
        <v>0</v>
      </c>
      <c r="F10" s="2573"/>
    </row>
    <row r="11" spans="1:6">
      <c r="A11" s="2571">
        <f>'数据-取费表'!AN11</f>
        <v>0</v>
      </c>
      <c r="B11" s="2570">
        <f>IF(F11="是",'数据-取费表'!AO11,0)</f>
        <v>0</v>
      </c>
      <c r="C11" s="2561" t="s">
        <v>2507</v>
      </c>
      <c r="D11" s="2564"/>
      <c r="E11" s="2572">
        <f>IF(OR(A11=0,F11="否"),0,'数据-取费表'!K11+'数据-取费表'!S11)</f>
        <v>0</v>
      </c>
      <c r="F11" s="2573"/>
    </row>
    <row r="12" spans="1:6">
      <c r="A12" s="2571">
        <f>'数据-取费表'!AN12</f>
        <v>0</v>
      </c>
      <c r="B12" s="2570">
        <f>IF(F12="是",'数据-取费表'!AO12,0)</f>
        <v>0</v>
      </c>
      <c r="C12" s="2561" t="s">
        <v>2507</v>
      </c>
      <c r="D12" s="2564"/>
      <c r="E12" s="2572">
        <f>IF(OR(A12=0,F12="否"),0,'数据-取费表'!K12+'数据-取费表'!S12)</f>
        <v>0</v>
      </c>
      <c r="F12" s="2573"/>
    </row>
    <row r="13" spans="1:6" ht="15" thickBot="1">
      <c r="A13" s="2574">
        <f>'数据-取费表'!AN13</f>
        <v>0</v>
      </c>
      <c r="B13" s="2570">
        <f>IF(F13="是",'数据-取费表'!AO13,0)</f>
        <v>0</v>
      </c>
      <c r="C13" s="2575" t="s">
        <v>2507</v>
      </c>
      <c r="D13" s="2576"/>
      <c r="E13" s="2572">
        <f>IF(OR(A13=0,F13="否"),0,'数据-取费表'!K13+'数据-取费表'!S13)</f>
        <v>0</v>
      </c>
      <c r="F13" s="2573"/>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61" t="s">
        <v>1076</v>
      </c>
      <c r="B1" s="3262"/>
      <c r="C1" s="3263"/>
      <c r="D1" s="3264">
        <f>SUM(I10,I15,I20,I21,I23)</f>
        <v>0</v>
      </c>
      <c r="E1" s="3264"/>
      <c r="F1" s="3264"/>
      <c r="G1" s="3264"/>
      <c r="H1" s="3264"/>
      <c r="I1" s="3265"/>
    </row>
    <row r="2" spans="1:9">
      <c r="A2" s="3266" t="s">
        <v>1077</v>
      </c>
      <c r="B2" s="3267" t="s">
        <v>1078</v>
      </c>
      <c r="C2" s="3267"/>
      <c r="D2" s="1300" t="s">
        <v>1079</v>
      </c>
      <c r="E2" s="1300" t="s">
        <v>1080</v>
      </c>
      <c r="F2" s="1300" t="s">
        <v>1081</v>
      </c>
      <c r="G2" s="1300" t="s">
        <v>1082</v>
      </c>
      <c r="H2" s="1300" t="s">
        <v>1083</v>
      </c>
      <c r="I2" s="1301" t="s">
        <v>1084</v>
      </c>
    </row>
    <row r="3" spans="1:9">
      <c r="A3" s="3266"/>
      <c r="B3" s="3267" t="s">
        <v>1085</v>
      </c>
      <c r="C3" s="3267"/>
      <c r="D3" s="1302"/>
      <c r="E3" s="1300"/>
      <c r="F3" s="1303"/>
      <c r="G3" s="1303"/>
      <c r="H3" s="1304"/>
      <c r="I3" s="1305">
        <f>ROUND(D3*E3*F3*G3*H3/10000,0)</f>
        <v>0</v>
      </c>
    </row>
    <row r="4" spans="1:9">
      <c r="A4" s="3266"/>
      <c r="B4" s="3267" t="s">
        <v>1086</v>
      </c>
      <c r="C4" s="3267"/>
      <c r="D4" s="1302"/>
      <c r="E4" s="1300"/>
      <c r="F4" s="1303"/>
      <c r="G4" s="1303"/>
      <c r="H4" s="1304"/>
      <c r="I4" s="1305">
        <f t="shared" ref="I4:I9" si="0">ROUND(D4*E4*F4*G4*H4/10000,0)</f>
        <v>0</v>
      </c>
    </row>
    <row r="5" spans="1:9">
      <c r="A5" s="3266"/>
      <c r="B5" s="3267" t="s">
        <v>1087</v>
      </c>
      <c r="C5" s="3267"/>
      <c r="D5" s="1302"/>
      <c r="E5" s="1300"/>
      <c r="F5" s="1303"/>
      <c r="G5" s="1303"/>
      <c r="H5" s="1304"/>
      <c r="I5" s="1305">
        <f t="shared" si="0"/>
        <v>0</v>
      </c>
    </row>
    <row r="6" spans="1:9">
      <c r="A6" s="3266"/>
      <c r="B6" s="3267" t="s">
        <v>1088</v>
      </c>
      <c r="C6" s="3267"/>
      <c r="D6" s="1302"/>
      <c r="E6" s="1300"/>
      <c r="F6" s="1303"/>
      <c r="G6" s="1303"/>
      <c r="H6" s="1304"/>
      <c r="I6" s="1305">
        <f t="shared" si="0"/>
        <v>0</v>
      </c>
    </row>
    <row r="7" spans="1:9">
      <c r="A7" s="3266"/>
      <c r="B7" s="3267" t="s">
        <v>1089</v>
      </c>
      <c r="C7" s="3267"/>
      <c r="D7" s="1302"/>
      <c r="E7" s="1300"/>
      <c r="F7" s="1303"/>
      <c r="G7" s="1303"/>
      <c r="H7" s="1304"/>
      <c r="I7" s="1305">
        <f t="shared" si="0"/>
        <v>0</v>
      </c>
    </row>
    <row r="8" spans="1:9">
      <c r="A8" s="3266"/>
      <c r="B8" s="3267" t="s">
        <v>1090</v>
      </c>
      <c r="C8" s="3267"/>
      <c r="D8" s="1302"/>
      <c r="E8" s="1300"/>
      <c r="F8" s="1303"/>
      <c r="G8" s="1303"/>
      <c r="H8" s="1304"/>
      <c r="I8" s="1305">
        <f t="shared" si="0"/>
        <v>0</v>
      </c>
    </row>
    <row r="9" spans="1:9">
      <c r="A9" s="3266"/>
      <c r="B9" s="3267" t="s">
        <v>1091</v>
      </c>
      <c r="C9" s="3267"/>
      <c r="D9" s="1302"/>
      <c r="E9" s="1300"/>
      <c r="F9" s="1303"/>
      <c r="G9" s="1303"/>
      <c r="H9" s="1304"/>
      <c r="I9" s="1305">
        <f t="shared" si="0"/>
        <v>0</v>
      </c>
    </row>
    <row r="10" spans="1:9">
      <c r="A10" s="3266"/>
      <c r="B10" s="3268" t="s">
        <v>1092</v>
      </c>
      <c r="C10" s="3268"/>
      <c r="D10" s="1306"/>
      <c r="E10" s="1306" t="e">
        <f>ROUND(D1*10000/D10/H9,0)</f>
        <v>#DIV/0!</v>
      </c>
      <c r="F10" s="1307"/>
      <c r="G10" s="1307"/>
      <c r="H10" s="1308"/>
      <c r="I10" s="1309">
        <f>SUM(I3:I9)</f>
        <v>0</v>
      </c>
    </row>
    <row r="11" spans="1:9" ht="14.25">
      <c r="A11" s="3266" t="s">
        <v>1093</v>
      </c>
      <c r="B11" s="3267" t="s">
        <v>1094</v>
      </c>
      <c r="C11" s="3267"/>
      <c r="D11" s="1302" t="s">
        <v>1095</v>
      </c>
      <c r="E11" s="1302" t="s">
        <v>1096</v>
      </c>
      <c r="F11" s="1303" t="s">
        <v>1097</v>
      </c>
      <c r="G11" s="1303" t="s">
        <v>1083</v>
      </c>
      <c r="H11" s="1310" t="s">
        <v>1098</v>
      </c>
      <c r="I11" s="1301" t="s">
        <v>1084</v>
      </c>
    </row>
    <row r="12" spans="1:9">
      <c r="A12" s="3266"/>
      <c r="B12" s="3267" t="s">
        <v>1099</v>
      </c>
      <c r="C12" s="3267"/>
      <c r="D12" s="1302"/>
      <c r="E12" s="1302"/>
      <c r="F12" s="1303"/>
      <c r="G12" s="1304"/>
      <c r="H12" s="1311"/>
      <c r="I12" s="1301">
        <f>ROUND(D12*E12*F12*G12/10000,0)</f>
        <v>0</v>
      </c>
    </row>
    <row r="13" spans="1:9">
      <c r="A13" s="3266"/>
      <c r="B13" s="3267" t="s">
        <v>1100</v>
      </c>
      <c r="C13" s="3267"/>
      <c r="D13" s="1302"/>
      <c r="E13" s="1302"/>
      <c r="F13" s="1303"/>
      <c r="G13" s="1304"/>
      <c r="H13" s="1311"/>
      <c r="I13" s="1301">
        <f>ROUND(D13*E13*F13*G13/10000,0)</f>
        <v>0</v>
      </c>
    </row>
    <row r="14" spans="1:9">
      <c r="A14" s="3266"/>
      <c r="B14" s="3267" t="s">
        <v>1101</v>
      </c>
      <c r="C14" s="3267"/>
      <c r="D14" s="1302"/>
      <c r="E14" s="1302"/>
      <c r="F14" s="1303"/>
      <c r="G14" s="1304"/>
      <c r="H14" s="1311"/>
      <c r="I14" s="1301">
        <f>ROUND(D14*E14*F14*G14/10000,0)</f>
        <v>0</v>
      </c>
    </row>
    <row r="15" spans="1:9">
      <c r="A15" s="3266"/>
      <c r="B15" s="3268" t="s">
        <v>1092</v>
      </c>
      <c r="C15" s="3268"/>
      <c r="D15" s="1306"/>
      <c r="E15" s="1306">
        <f>SUM(E12:E14)</f>
        <v>0</v>
      </c>
      <c r="F15" s="1307"/>
      <c r="G15" s="1304"/>
      <c r="H15" s="1311"/>
      <c r="I15" s="1312">
        <f>SUM(I12:I14)</f>
        <v>0</v>
      </c>
    </row>
    <row r="16" spans="1:9" ht="24">
      <c r="A16" s="3266" t="s">
        <v>1102</v>
      </c>
      <c r="B16" s="3267" t="s">
        <v>1103</v>
      </c>
      <c r="C16" s="3267"/>
      <c r="D16" s="1302" t="s">
        <v>1079</v>
      </c>
      <c r="E16" s="1313" t="s">
        <v>1104</v>
      </c>
      <c r="F16" s="1303" t="s">
        <v>1105</v>
      </c>
      <c r="G16" s="1304" t="s">
        <v>1083</v>
      </c>
      <c r="H16" s="1310" t="s">
        <v>1098</v>
      </c>
      <c r="I16" s="1301" t="s">
        <v>1084</v>
      </c>
    </row>
    <row r="17" spans="1:9" ht="14.25">
      <c r="A17" s="3266"/>
      <c r="B17" s="3267" t="s">
        <v>1106</v>
      </c>
      <c r="C17" s="3267"/>
      <c r="D17" s="1302"/>
      <c r="E17" s="1302"/>
      <c r="F17" s="1303"/>
      <c r="G17" s="1304"/>
      <c r="H17" s="1314"/>
      <c r="I17" s="1315">
        <f>ROUND(D17*E17*F17*G17/10000,0)</f>
        <v>0</v>
      </c>
    </row>
    <row r="18" spans="1:9" ht="14.25">
      <c r="A18" s="3266"/>
      <c r="B18" s="3267" t="s">
        <v>1107</v>
      </c>
      <c r="C18" s="3267"/>
      <c r="D18" s="1302"/>
      <c r="E18" s="1302"/>
      <c r="F18" s="1303"/>
      <c r="G18" s="1304"/>
      <c r="H18" s="1314"/>
      <c r="I18" s="1315">
        <f>ROUND(D18*E18*F18*G18/10000,0)</f>
        <v>0</v>
      </c>
    </row>
    <row r="19" spans="1:9" ht="14.25">
      <c r="A19" s="3266"/>
      <c r="B19" s="3267" t="s">
        <v>1108</v>
      </c>
      <c r="C19" s="3267"/>
      <c r="D19" s="1302"/>
      <c r="E19" s="1302"/>
      <c r="F19" s="1303"/>
      <c r="G19" s="1304"/>
      <c r="H19" s="1314"/>
      <c r="I19" s="1315">
        <f>ROUND(D19*E19*F19*G19/10000,0)</f>
        <v>0</v>
      </c>
    </row>
    <row r="20" spans="1:9">
      <c r="A20" s="3266"/>
      <c r="B20" s="3268" t="s">
        <v>1092</v>
      </c>
      <c r="C20" s="3268"/>
      <c r="D20" s="1306">
        <f>SUM(D17:D19)</f>
        <v>0</v>
      </c>
      <c r="E20" s="1306"/>
      <c r="F20" s="1307"/>
      <c r="G20" s="1304"/>
      <c r="H20" s="1311"/>
      <c r="I20" s="1312">
        <f>SUM(I17:I19)</f>
        <v>0</v>
      </c>
    </row>
    <row r="21" spans="1:9">
      <c r="A21" s="3266" t="s">
        <v>1109</v>
      </c>
      <c r="B21" s="3270"/>
      <c r="C21" s="3270"/>
      <c r="D21" s="3270"/>
      <c r="E21" s="3270"/>
      <c r="F21" s="3270"/>
      <c r="G21" s="3270"/>
      <c r="H21" s="1764">
        <v>0.1</v>
      </c>
      <c r="I21" s="1309">
        <f>ROUND(I10*H21,0)</f>
        <v>0</v>
      </c>
    </row>
    <row r="22" spans="1:9" ht="14.25">
      <c r="A22" s="3271" t="s">
        <v>1110</v>
      </c>
      <c r="B22" s="3272"/>
      <c r="C22" s="3273"/>
      <c r="D22" s="1316" t="s">
        <v>1111</v>
      </c>
      <c r="E22" s="1316" t="s">
        <v>1112</v>
      </c>
      <c r="F22" s="1317" t="s">
        <v>1113</v>
      </c>
      <c r="G22" s="1317" t="s">
        <v>1114</v>
      </c>
      <c r="H22" s="1310" t="s">
        <v>1115</v>
      </c>
      <c r="I22" s="1301" t="s">
        <v>1116</v>
      </c>
    </row>
    <row r="23" spans="1:9" ht="14.25" thickBot="1">
      <c r="A23" s="3274"/>
      <c r="B23" s="3275"/>
      <c r="C23" s="3276"/>
      <c r="D23" s="1318"/>
      <c r="E23" s="1318"/>
      <c r="F23" s="1318"/>
      <c r="G23" s="1319"/>
      <c r="H23" s="1320"/>
      <c r="I23" s="1321">
        <f>ROUND(E23*D23*F23*(1-G23)/10000,0)</f>
        <v>0</v>
      </c>
    </row>
    <row r="26" spans="1:9">
      <c r="A26" s="1322" t="s">
        <v>1117</v>
      </c>
      <c r="B26" s="1322"/>
      <c r="C26" s="1322"/>
      <c r="D26" s="1322"/>
      <c r="E26" s="3277">
        <f>C27-C30-C31-C32</f>
        <v>0</v>
      </c>
      <c r="F26" s="3277"/>
      <c r="G26" s="3277"/>
      <c r="H26" s="1736" t="s">
        <v>1340</v>
      </c>
    </row>
    <row r="27" spans="1:9">
      <c r="A27" s="1323">
        <v>1</v>
      </c>
      <c r="B27" s="1324" t="s">
        <v>1118</v>
      </c>
      <c r="C27" s="1324">
        <f>C28+C29</f>
        <v>0</v>
      </c>
      <c r="D27" s="1324"/>
      <c r="E27" s="3278"/>
      <c r="F27" s="3278"/>
      <c r="G27" s="3278"/>
    </row>
    <row r="28" spans="1:9">
      <c r="A28" s="1325" t="s">
        <v>1119</v>
      </c>
      <c r="B28" s="1324" t="s">
        <v>1120</v>
      </c>
      <c r="C28" s="1324"/>
      <c r="D28" s="1324"/>
      <c r="E28" s="3278"/>
      <c r="F28" s="3278"/>
      <c r="G28" s="3278"/>
    </row>
    <row r="29" spans="1:9">
      <c r="A29" s="1325" t="s">
        <v>1121</v>
      </c>
      <c r="B29" s="1324" t="s">
        <v>1122</v>
      </c>
      <c r="C29" s="1324"/>
      <c r="D29" s="1324"/>
      <c r="E29" s="1324" t="s">
        <v>1123</v>
      </c>
      <c r="F29" s="1324"/>
      <c r="G29" s="1324"/>
    </row>
    <row r="30" spans="1:9">
      <c r="A30" s="1323">
        <v>2</v>
      </c>
      <c r="B30" s="1324" t="s">
        <v>1124</v>
      </c>
      <c r="C30" s="1324">
        <f>C27*D30</f>
        <v>0</v>
      </c>
      <c r="D30" s="1326">
        <v>0.2</v>
      </c>
      <c r="E30" s="1324" t="s">
        <v>1125</v>
      </c>
      <c r="F30" s="1324"/>
      <c r="G30" s="1324"/>
    </row>
    <row r="31" spans="1:9">
      <c r="A31" s="1323">
        <v>3</v>
      </c>
      <c r="B31" s="1324" t="s">
        <v>1126</v>
      </c>
      <c r="C31" s="1324">
        <f>C25*D31</f>
        <v>0</v>
      </c>
      <c r="D31" s="1326">
        <v>0.15</v>
      </c>
      <c r="E31" s="1324" t="s">
        <v>1127</v>
      </c>
      <c r="F31" s="1324"/>
      <c r="G31" s="1324"/>
    </row>
    <row r="32" spans="1:9">
      <c r="A32" s="1323">
        <v>4</v>
      </c>
      <c r="B32" s="1324" t="s">
        <v>1128</v>
      </c>
      <c r="C32" s="1324">
        <f>C27*D32</f>
        <v>0</v>
      </c>
      <c r="D32" s="1326">
        <v>0.05</v>
      </c>
      <c r="E32" s="3269"/>
      <c r="F32" s="3269"/>
      <c r="G32" s="3269"/>
    </row>
    <row r="33" spans="1:7" hidden="1">
      <c r="A33" s="3279" t="s">
        <v>1129</v>
      </c>
      <c r="B33" s="3280"/>
      <c r="C33" s="3280"/>
      <c r="D33" s="3281"/>
      <c r="E33" s="3277"/>
      <c r="F33" s="3277"/>
      <c r="G33" s="3277"/>
    </row>
    <row r="34" spans="1:7" hidden="1">
      <c r="A34" s="1327">
        <v>1</v>
      </c>
      <c r="B34" s="1324" t="s">
        <v>1130</v>
      </c>
      <c r="C34" s="1324"/>
      <c r="D34" s="1324"/>
      <c r="E34" s="3278"/>
      <c r="F34" s="3278"/>
      <c r="G34" s="3278"/>
    </row>
    <row r="35" spans="1:7" hidden="1">
      <c r="A35" s="1327">
        <v>2</v>
      </c>
      <c r="B35" s="1324" t="s">
        <v>1131</v>
      </c>
      <c r="C35" s="1324"/>
      <c r="D35" s="1324"/>
      <c r="E35" s="3278"/>
      <c r="F35" s="3278"/>
      <c r="G35" s="3278"/>
    </row>
    <row r="36" spans="1:7" hidden="1">
      <c r="A36" s="1327">
        <v>3</v>
      </c>
      <c r="B36" s="1324" t="s">
        <v>1132</v>
      </c>
      <c r="C36" s="1324"/>
      <c r="D36" s="1324"/>
      <c r="E36" s="3278"/>
      <c r="F36" s="3278"/>
      <c r="G36" s="3278"/>
    </row>
    <row r="37" spans="1:7" hidden="1">
      <c r="A37" s="1327">
        <v>4</v>
      </c>
      <c r="B37" s="1324" t="s">
        <v>1133</v>
      </c>
      <c r="C37" s="1324"/>
      <c r="D37" s="1324"/>
      <c r="E37" s="3278"/>
      <c r="F37" s="3278"/>
      <c r="G37" s="3278"/>
    </row>
    <row r="38" spans="1:7" hidden="1">
      <c r="A38" s="3279" t="s">
        <v>1134</v>
      </c>
      <c r="B38" s="3280"/>
      <c r="C38" s="3280"/>
      <c r="D38" s="3281"/>
      <c r="E38" s="3277"/>
      <c r="F38" s="3277"/>
      <c r="G38" s="3277"/>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2516</v>
      </c>
      <c r="B1" s="2577" t="s">
        <v>2517</v>
      </c>
      <c r="C1" s="1633" t="s">
        <v>2518</v>
      </c>
      <c r="D1" s="1620"/>
      <c r="E1" s="2578"/>
      <c r="F1" s="2579" t="s">
        <v>2519</v>
      </c>
      <c r="G1" s="1630" t="s">
        <v>2520</v>
      </c>
      <c r="H1" s="1629"/>
      <c r="I1" s="1629"/>
      <c r="J1" s="1629"/>
      <c r="K1" s="1631"/>
      <c r="L1" s="1632"/>
      <c r="M1" s="1633"/>
      <c r="N1" s="1633"/>
      <c r="O1" s="1633"/>
      <c r="P1" s="2580"/>
      <c r="Q1" s="1619"/>
      <c r="R1" s="1619"/>
      <c r="S1" s="1619"/>
      <c r="T1" s="1619"/>
      <c r="U1" s="1619"/>
      <c r="V1" s="1619"/>
      <c r="W1" s="1619"/>
      <c r="X1" s="1619"/>
      <c r="Y1" s="1619"/>
      <c r="Z1" s="1619"/>
      <c r="AA1" s="1619"/>
      <c r="AB1" s="1619"/>
      <c r="AC1" s="1627"/>
    </row>
    <row r="2" spans="1:29" s="393" customFormat="1" ht="28.5" customHeight="1" thickTop="1">
      <c r="A2" s="1616" t="s">
        <v>1394</v>
      </c>
      <c r="B2" s="1417" t="e">
        <f ca="1">IF(C2="——",ROUND(C49*D3/10000,0),ROUND(C49*D3/10000,0)-D2)</f>
        <v>#DIV/0!</v>
      </c>
      <c r="C2" s="2581"/>
      <c r="D2" s="1364" t="e">
        <f ca="1">SUMIF(INDIRECT("'"&amp;F2&amp;"'"&amp;"!A:A"),"承租人权益价值",INDIRECT("'"&amp;F2&amp;"'"&amp;"!c:c"))</f>
        <v>#REF!</v>
      </c>
      <c r="E2" s="2582" t="s">
        <v>2521</v>
      </c>
      <c r="F2" s="2583"/>
      <c r="G2" s="1123"/>
      <c r="H2" s="1123"/>
      <c r="I2" s="1123"/>
      <c r="J2" s="1123"/>
      <c r="K2" s="2584"/>
      <c r="L2" s="2585"/>
      <c r="M2" s="2586"/>
      <c r="N2" s="2586"/>
      <c r="O2" s="2586"/>
      <c r="P2" s="2587"/>
      <c r="Q2" s="2588"/>
      <c r="R2" s="2588"/>
      <c r="S2" s="2588"/>
      <c r="T2" s="2588"/>
      <c r="U2" s="2588"/>
      <c r="V2" s="2588"/>
      <c r="W2" s="2588"/>
      <c r="X2" s="2588"/>
      <c r="Y2" s="2588"/>
      <c r="Z2" s="2588"/>
      <c r="AA2" s="2588"/>
      <c r="AB2" s="2588"/>
      <c r="AC2" s="2589"/>
    </row>
    <row r="3" spans="1:29" s="393" customFormat="1" ht="28.5" customHeight="1" thickBot="1">
      <c r="A3" s="247" t="s">
        <v>1395</v>
      </c>
      <c r="B3" s="399" t="e">
        <f ca="1">IF(C2="——",C49,ROUND(B2*10000/D3,0))</f>
        <v>#DIV/0!</v>
      </c>
      <c r="C3" s="400" t="s">
        <v>2522</v>
      </c>
      <c r="D3" s="399">
        <f>IF(D1="",'数据-汇总表'!E3,SUMIF('数据-汇总表'!$C19:$C33,D1,'数据-汇总表'!$E19:$E33))</f>
        <v>4163.47</v>
      </c>
      <c r="E3" s="1123"/>
      <c r="F3" s="2590"/>
      <c r="G3" s="1123"/>
      <c r="H3" s="1123"/>
      <c r="I3" s="1123"/>
      <c r="J3" s="1123"/>
      <c r="K3" s="2584"/>
      <c r="L3" s="2585"/>
      <c r="M3" s="2586"/>
      <c r="N3" s="2586"/>
      <c r="O3" s="2586"/>
      <c r="P3" s="2587"/>
      <c r="Q3" s="2588"/>
      <c r="R3" s="2588"/>
      <c r="S3" s="2588"/>
      <c r="T3" s="2588"/>
      <c r="U3" s="2588"/>
      <c r="V3" s="2588"/>
      <c r="W3" s="2588"/>
      <c r="X3" s="2588"/>
      <c r="Y3" s="2588"/>
      <c r="Z3" s="2588"/>
      <c r="AA3" s="2588"/>
      <c r="AB3" s="2588"/>
      <c r="AC3" s="1281"/>
    </row>
    <row r="4" spans="1:29" ht="15">
      <c r="A4" s="401" t="s">
        <v>2523</v>
      </c>
      <c r="B4" s="402"/>
      <c r="C4" s="3224" t="s">
        <v>2524</v>
      </c>
      <c r="D4" s="3225"/>
      <c r="E4" s="3226" t="s">
        <v>2525</v>
      </c>
      <c r="F4" s="3227"/>
      <c r="G4" s="3224" t="s">
        <v>2526</v>
      </c>
      <c r="H4" s="3225"/>
      <c r="I4" s="3224" t="s">
        <v>2527</v>
      </c>
      <c r="J4" s="3225"/>
      <c r="K4" s="2591" t="s">
        <v>2528</v>
      </c>
      <c r="L4" s="1129"/>
      <c r="M4" s="1130"/>
      <c r="N4" s="1130"/>
      <c r="O4" s="1130"/>
      <c r="P4" s="3228" t="s">
        <v>2529</v>
      </c>
      <c r="Q4" s="3229"/>
      <c r="R4" s="3211" t="s">
        <v>2525</v>
      </c>
      <c r="S4" s="3212"/>
      <c r="T4" s="3211" t="s">
        <v>2526</v>
      </c>
      <c r="U4" s="3212"/>
      <c r="V4" s="3208" t="s">
        <v>2527</v>
      </c>
      <c r="W4" s="3208"/>
      <c r="X4" s="1811"/>
      <c r="Y4" s="3211" t="s">
        <v>2529</v>
      </c>
      <c r="Z4" s="3212"/>
      <c r="AA4" s="3205" t="s">
        <v>2525</v>
      </c>
      <c r="AB4" s="3205" t="s">
        <v>2526</v>
      </c>
      <c r="AC4" s="3205" t="s">
        <v>2527</v>
      </c>
    </row>
    <row r="5" spans="1:29" ht="15">
      <c r="A5" s="404"/>
      <c r="B5" s="405"/>
      <c r="C5" s="3283" t="s">
        <v>2530</v>
      </c>
      <c r="D5" s="3218"/>
      <c r="E5" s="3282" t="s">
        <v>2531</v>
      </c>
      <c r="F5" s="3216"/>
      <c r="G5" s="3283" t="s">
        <v>2532</v>
      </c>
      <c r="H5" s="3218"/>
      <c r="I5" s="3283" t="s">
        <v>2533</v>
      </c>
      <c r="J5" s="3218"/>
      <c r="K5" s="2592"/>
      <c r="L5" s="1129"/>
      <c r="M5" s="1130"/>
      <c r="N5" s="1130"/>
      <c r="O5" s="1130"/>
      <c r="P5" s="3230"/>
      <c r="Q5" s="3231"/>
      <c r="R5" s="3213"/>
      <c r="S5" s="3214"/>
      <c r="T5" s="3213"/>
      <c r="U5" s="3214"/>
      <c r="V5" s="3208"/>
      <c r="W5" s="3208"/>
      <c r="X5" s="1811"/>
      <c r="Y5" s="3213"/>
      <c r="Z5" s="3214"/>
      <c r="AA5" s="3206"/>
      <c r="AB5" s="3206"/>
      <c r="AC5" s="3206"/>
    </row>
    <row r="6" spans="1:29" ht="15.75" thickBot="1">
      <c r="A6" s="406"/>
      <c r="B6" s="407"/>
      <c r="C6" s="3219" t="s">
        <v>2534</v>
      </c>
      <c r="D6" s="3220"/>
      <c r="E6" s="3221" t="s">
        <v>2534</v>
      </c>
      <c r="F6" s="3222"/>
      <c r="G6" s="3219" t="s">
        <v>2534</v>
      </c>
      <c r="H6" s="3220"/>
      <c r="I6" s="3219" t="s">
        <v>2534</v>
      </c>
      <c r="J6" s="3220"/>
      <c r="K6" s="2592" t="s">
        <v>2535</v>
      </c>
      <c r="L6" s="1129"/>
      <c r="M6" s="1130"/>
      <c r="N6" s="1130"/>
      <c r="O6" s="1130"/>
      <c r="P6" s="3232"/>
      <c r="Q6" s="3233"/>
      <c r="R6" s="3213"/>
      <c r="S6" s="3214"/>
      <c r="T6" s="3234"/>
      <c r="U6" s="3235"/>
      <c r="V6" s="3208"/>
      <c r="W6" s="3208"/>
      <c r="X6" s="1811"/>
      <c r="Y6" s="3234"/>
      <c r="Z6" s="3235"/>
      <c r="AA6" s="3207"/>
      <c r="AB6" s="3207"/>
      <c r="AC6" s="3207"/>
    </row>
    <row r="7" spans="1:29" s="117" customFormat="1" ht="15.75" thickBot="1">
      <c r="A7" s="408" t="s">
        <v>2536</v>
      </c>
      <c r="B7" s="409"/>
      <c r="C7" s="410">
        <f>'数据-取费表'!B2</f>
        <v>43132</v>
      </c>
      <c r="D7" s="411">
        <v>100</v>
      </c>
      <c r="E7" s="412"/>
      <c r="F7" s="413">
        <f>SUMIF(58:58,YEAR(E7)&amp;"-"&amp;MONTH(E7),59:59)</f>
        <v>0</v>
      </c>
      <c r="G7" s="412"/>
      <c r="H7" s="411">
        <f>SUMIF(58:58,YEAR(G7)&amp;"-"&amp;MONTH(G7),59:59)</f>
        <v>0</v>
      </c>
      <c r="I7" s="412"/>
      <c r="J7" s="411">
        <f>SUMIF(58:58,YEAR(I7)&amp;"-"&amp;MONTH(I7),59:59)</f>
        <v>0</v>
      </c>
      <c r="K7" s="2593"/>
      <c r="L7" s="1131"/>
      <c r="M7" s="1132"/>
      <c r="N7" s="1132"/>
      <c r="O7" s="1132"/>
      <c r="P7" s="3209" t="s">
        <v>2537</v>
      </c>
      <c r="Q7" s="3236"/>
      <c r="R7" s="769" t="s">
        <v>23</v>
      </c>
      <c r="S7" s="770">
        <f t="shared" ref="S7:S15" si="0">F7</f>
        <v>0</v>
      </c>
      <c r="T7" s="769" t="s">
        <v>23</v>
      </c>
      <c r="U7" s="770">
        <f t="shared" ref="U7:U15" si="1">H7</f>
        <v>0</v>
      </c>
      <c r="V7" s="769" t="s">
        <v>23</v>
      </c>
      <c r="W7" s="770">
        <f t="shared" ref="W7:W15" si="2">J7</f>
        <v>0</v>
      </c>
      <c r="X7" s="771"/>
      <c r="Y7" s="3209" t="s">
        <v>2537</v>
      </c>
      <c r="Z7" s="3210"/>
      <c r="AA7" s="772" t="e">
        <f>D7/F7</f>
        <v>#DIV/0!</v>
      </c>
      <c r="AB7" s="772" t="e">
        <f>D7/H7</f>
        <v>#DIV/0!</v>
      </c>
      <c r="AC7" s="772" t="e">
        <f>D7/J7</f>
        <v>#DIV/0!</v>
      </c>
    </row>
    <row r="8" spans="1:29" s="117" customFormat="1" ht="15.75" thickBot="1">
      <c r="A8" s="408" t="s">
        <v>2538</v>
      </c>
      <c r="B8" s="409"/>
      <c r="C8" s="414" t="s">
        <v>2539</v>
      </c>
      <c r="D8" s="411">
        <v>100</v>
      </c>
      <c r="E8" s="2594"/>
      <c r="F8" s="413">
        <f>SUMIF(61:61,E8,62:62)-SUMIF(61:61,C8,62:62)+100</f>
        <v>0</v>
      </c>
      <c r="G8" s="414"/>
      <c r="H8" s="411">
        <f>SUMIF(61:61,G8,62:62)-SUMIF(61:61,C8,62:62)+100</f>
        <v>0</v>
      </c>
      <c r="I8" s="2594"/>
      <c r="J8" s="411">
        <f>SUMIF(61:61,I8,62:62)-SUMIF(61:61,C8,62:62)+100</f>
        <v>0</v>
      </c>
      <c r="K8" s="2593"/>
      <c r="L8" s="1131"/>
      <c r="M8" s="1132"/>
      <c r="N8" s="1132"/>
      <c r="O8" s="1132"/>
      <c r="P8" s="3209" t="s">
        <v>2540</v>
      </c>
      <c r="Q8" s="3210"/>
      <c r="R8" s="769" t="s">
        <v>23</v>
      </c>
      <c r="S8" s="770">
        <f t="shared" si="0"/>
        <v>0</v>
      </c>
      <c r="T8" s="769" t="s">
        <v>23</v>
      </c>
      <c r="U8" s="770">
        <f t="shared" si="1"/>
        <v>0</v>
      </c>
      <c r="V8" s="769" t="s">
        <v>23</v>
      </c>
      <c r="W8" s="770">
        <f t="shared" si="2"/>
        <v>0</v>
      </c>
      <c r="X8" s="771"/>
      <c r="Y8" s="3209" t="s">
        <v>2540</v>
      </c>
      <c r="Z8" s="3210"/>
      <c r="AA8" s="772" t="e">
        <f t="shared" ref="AA8:AA19" si="3">D8/F8</f>
        <v>#DIV/0!</v>
      </c>
      <c r="AB8" s="772" t="e">
        <f t="shared" ref="AB8:AB19" si="4">D8/H8</f>
        <v>#DIV/0!</v>
      </c>
      <c r="AC8" s="772" t="e">
        <f t="shared" ref="AC8:AC19" si="5">D8/J8</f>
        <v>#DIV/0!</v>
      </c>
    </row>
    <row r="9" spans="1:29" s="117" customFormat="1">
      <c r="A9" s="415" t="s">
        <v>2541</v>
      </c>
      <c r="B9" s="71" t="s">
        <v>2542</v>
      </c>
      <c r="C9" s="416"/>
      <c r="D9" s="135">
        <v>100</v>
      </c>
      <c r="E9" s="417"/>
      <c r="F9" s="418">
        <f>SUMIF(63:63,E9,64:64)-SUMIF(63:63,C9,64:64)+100</f>
        <v>100</v>
      </c>
      <c r="G9" s="419"/>
      <c r="H9" s="135">
        <f>SUMIF(63:63,G9,64:64)-SUMIF(63:63,C9,64:64)+100</f>
        <v>100</v>
      </c>
      <c r="I9" s="419"/>
      <c r="J9" s="135">
        <f>SUMIF(63:63,I9,64:64)-SUMIF(63:63,C9,64:64)+100</f>
        <v>100</v>
      </c>
      <c r="K9" s="2593"/>
      <c r="L9" s="1131"/>
      <c r="M9" s="1132"/>
      <c r="N9" s="1132"/>
      <c r="O9" s="1132"/>
      <c r="P9" s="3223" t="s">
        <v>2543</v>
      </c>
      <c r="Q9" s="1793" t="str">
        <f t="shared" ref="Q9:Q15" si="6">B9</f>
        <v>用途</v>
      </c>
      <c r="R9" s="769" t="s">
        <v>17</v>
      </c>
      <c r="S9" s="770">
        <f t="shared" si="0"/>
        <v>100</v>
      </c>
      <c r="T9" s="769" t="s">
        <v>17</v>
      </c>
      <c r="U9" s="770">
        <f t="shared" si="1"/>
        <v>100</v>
      </c>
      <c r="V9" s="769" t="s">
        <v>17</v>
      </c>
      <c r="W9" s="770">
        <f t="shared" si="2"/>
        <v>100</v>
      </c>
      <c r="X9" s="771"/>
      <c r="Y9" s="3082" t="s">
        <v>2544</v>
      </c>
      <c r="Z9" s="55" t="str">
        <f t="shared" ref="Z9:Z15" si="7">Q9</f>
        <v>用途</v>
      </c>
      <c r="AA9" s="772">
        <f t="shared" si="3"/>
        <v>1</v>
      </c>
      <c r="AB9" s="772">
        <f t="shared" si="4"/>
        <v>1</v>
      </c>
      <c r="AC9" s="772">
        <f t="shared" si="5"/>
        <v>1</v>
      </c>
    </row>
    <row r="10" spans="1:29" s="427" customFormat="1" ht="27">
      <c r="A10" s="421"/>
      <c r="B10" s="422" t="s">
        <v>2545</v>
      </c>
      <c r="C10" s="423"/>
      <c r="D10" s="136">
        <v>100</v>
      </c>
      <c r="E10" s="424"/>
      <c r="F10" s="425">
        <f>SUMIF(65:65,E10,66:66)-SUMIF(65:65,C10,66:66)+100</f>
        <v>100</v>
      </c>
      <c r="G10" s="423"/>
      <c r="H10" s="136">
        <f>SUMIF(65:65,G10,66:66)-SUMIF(65:65,C10,66:66)+100</f>
        <v>100</v>
      </c>
      <c r="I10" s="423"/>
      <c r="J10" s="136">
        <f>SUMIF(65:65,I10,66:66)-SUMIF(65:65,C10,66:66)+100</f>
        <v>100</v>
      </c>
      <c r="K10" s="426"/>
      <c r="L10" s="1134"/>
      <c r="M10" s="1135"/>
      <c r="N10" s="1135"/>
      <c r="O10" s="1135"/>
      <c r="P10" s="3223"/>
      <c r="Q10" s="1793" t="str">
        <f t="shared" si="6"/>
        <v>土地使用年限（年）</v>
      </c>
      <c r="R10" s="769" t="s">
        <v>17</v>
      </c>
      <c r="S10" s="770">
        <f t="shared" si="0"/>
        <v>100</v>
      </c>
      <c r="T10" s="769" t="s">
        <v>17</v>
      </c>
      <c r="U10" s="770">
        <f t="shared" si="1"/>
        <v>100</v>
      </c>
      <c r="V10" s="769" t="s">
        <v>17</v>
      </c>
      <c r="W10" s="770">
        <f t="shared" si="2"/>
        <v>100</v>
      </c>
      <c r="X10" s="771"/>
      <c r="Y10" s="3082"/>
      <c r="Z10" s="55" t="str">
        <f t="shared" si="7"/>
        <v>土地使用年限（年）</v>
      </c>
      <c r="AA10" s="772">
        <f t="shared" si="3"/>
        <v>1</v>
      </c>
      <c r="AB10" s="772">
        <f t="shared" si="4"/>
        <v>1</v>
      </c>
      <c r="AC10" s="772">
        <f t="shared" si="5"/>
        <v>1</v>
      </c>
    </row>
    <row r="11" spans="1:29" ht="15">
      <c r="A11" s="428"/>
      <c r="B11" s="422" t="s">
        <v>2546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7"/>
      <c r="M11" s="1130"/>
      <c r="N11" s="1130"/>
      <c r="O11" s="1130"/>
      <c r="P11" s="3223"/>
      <c r="Q11" s="1793" t="str">
        <f t="shared" si="6"/>
        <v>容积率</v>
      </c>
      <c r="R11" s="769" t="s">
        <v>21</v>
      </c>
      <c r="S11" s="770" t="e">
        <f t="shared" si="0"/>
        <v>#N/A</v>
      </c>
      <c r="T11" s="769" t="s">
        <v>21</v>
      </c>
      <c r="U11" s="770" t="e">
        <f t="shared" si="1"/>
        <v>#N/A</v>
      </c>
      <c r="V11" s="769" t="s">
        <v>21</v>
      </c>
      <c r="W11" s="770" t="e">
        <f t="shared" si="2"/>
        <v>#N/A</v>
      </c>
      <c r="X11" s="771"/>
      <c r="Y11" s="3082"/>
      <c r="Z11" s="55" t="str">
        <f t="shared" si="7"/>
        <v>容积率</v>
      </c>
      <c r="AA11" s="772" t="e">
        <f t="shared" si="3"/>
        <v>#N/A</v>
      </c>
      <c r="AB11" s="772" t="e">
        <f t="shared" si="4"/>
        <v>#N/A</v>
      </c>
      <c r="AC11" s="772" t="e">
        <f t="shared" si="5"/>
        <v>#N/A</v>
      </c>
    </row>
    <row r="12" spans="1:29" s="117" customFormat="1" ht="15">
      <c r="A12" s="431"/>
      <c r="B12" s="2595">
        <v>111</v>
      </c>
      <c r="C12" s="432"/>
      <c r="D12" s="433">
        <v>100</v>
      </c>
      <c r="E12" s="432"/>
      <c r="F12" s="425">
        <f>SUMIF(70:70,E12,71:71)-SUMIF(70:70,C12,71:71)+100</f>
        <v>100</v>
      </c>
      <c r="G12" s="432"/>
      <c r="H12" s="136">
        <f>SUMIF(70:70,G12,71:71)-SUMIF(70:70,C12,71:71)+100</f>
        <v>100</v>
      </c>
      <c r="I12" s="432"/>
      <c r="J12" s="136">
        <f>SUMIF(70:70,I12,71:71)-SUMIF(70:70,C12,71:71)+100</f>
        <v>100</v>
      </c>
      <c r="K12" s="2596"/>
      <c r="L12" s="1131"/>
      <c r="M12" s="1132"/>
      <c r="N12" s="1132"/>
      <c r="O12" s="1132"/>
      <c r="P12" s="3223"/>
      <c r="Q12" s="1793">
        <f t="shared" si="6"/>
        <v>111</v>
      </c>
      <c r="R12" s="769" t="s">
        <v>21</v>
      </c>
      <c r="S12" s="770">
        <f t="shared" si="0"/>
        <v>100</v>
      </c>
      <c r="T12" s="769" t="s">
        <v>21</v>
      </c>
      <c r="U12" s="770">
        <f t="shared" si="1"/>
        <v>100</v>
      </c>
      <c r="V12" s="769" t="s">
        <v>21</v>
      </c>
      <c r="W12" s="770">
        <f t="shared" si="2"/>
        <v>100</v>
      </c>
      <c r="X12" s="771"/>
      <c r="Y12" s="3082"/>
      <c r="Z12" s="55">
        <f t="shared" si="7"/>
        <v>111</v>
      </c>
      <c r="AA12" s="772">
        <f>D12/F12</f>
        <v>1</v>
      </c>
      <c r="AB12" s="772">
        <f>D12/H12</f>
        <v>1</v>
      </c>
      <c r="AC12" s="772">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2596"/>
      <c r="L13" s="1139"/>
      <c r="M13" s="1130"/>
      <c r="N13" s="1130"/>
      <c r="O13" s="1130"/>
      <c r="P13" s="3223"/>
      <c r="Q13" s="1793">
        <f t="shared" si="6"/>
        <v>111</v>
      </c>
      <c r="R13" s="769" t="s">
        <v>21</v>
      </c>
      <c r="S13" s="770">
        <f t="shared" si="0"/>
        <v>100</v>
      </c>
      <c r="T13" s="769" t="s">
        <v>21</v>
      </c>
      <c r="U13" s="770">
        <f t="shared" si="1"/>
        <v>100</v>
      </c>
      <c r="V13" s="769" t="s">
        <v>21</v>
      </c>
      <c r="W13" s="770">
        <f t="shared" si="2"/>
        <v>100</v>
      </c>
      <c r="X13" s="771"/>
      <c r="Y13" s="3082"/>
      <c r="Z13" s="55">
        <f t="shared" si="7"/>
        <v>111</v>
      </c>
      <c r="AA13" s="772">
        <f t="shared" si="3"/>
        <v>1</v>
      </c>
      <c r="AB13" s="772">
        <f t="shared" si="4"/>
        <v>1</v>
      </c>
      <c r="AC13" s="772">
        <f t="shared" si="5"/>
        <v>1</v>
      </c>
    </row>
    <row r="14" spans="1:29" ht="15.75" thickBot="1">
      <c r="A14" s="436"/>
      <c r="B14" s="2597">
        <v>111</v>
      </c>
      <c r="C14" s="437"/>
      <c r="D14" s="438">
        <v>100</v>
      </c>
      <c r="E14" s="437"/>
      <c r="F14" s="439">
        <f>SUMIF(74:74,E14,75:75)-SUMIF(74:74,C14,75:75)+100</f>
        <v>100</v>
      </c>
      <c r="G14" s="437"/>
      <c r="H14" s="438">
        <f>SUMIF(74:74,G14,75:75)-SUMIF(74:74,C14,75:75)+100</f>
        <v>100</v>
      </c>
      <c r="I14" s="437"/>
      <c r="J14" s="438">
        <f>SUMIF(74:74,I14,75:75)-SUMIF(74:74,C14,75:75)+100</f>
        <v>100</v>
      </c>
      <c r="K14" s="2596"/>
      <c r="L14" s="1139"/>
      <c r="M14" s="1130"/>
      <c r="N14" s="1130"/>
      <c r="O14" s="1130"/>
      <c r="P14" s="3223"/>
      <c r="Q14" s="1793">
        <f t="shared" si="6"/>
        <v>111</v>
      </c>
      <c r="R14" s="769" t="s">
        <v>21</v>
      </c>
      <c r="S14" s="770">
        <f t="shared" si="0"/>
        <v>100</v>
      </c>
      <c r="T14" s="769" t="s">
        <v>21</v>
      </c>
      <c r="U14" s="770">
        <f t="shared" si="1"/>
        <v>100</v>
      </c>
      <c r="V14" s="769" t="s">
        <v>21</v>
      </c>
      <c r="W14" s="770">
        <f t="shared" si="2"/>
        <v>100</v>
      </c>
      <c r="X14" s="771"/>
      <c r="Y14" s="3082"/>
      <c r="Z14" s="55">
        <f t="shared" si="7"/>
        <v>111</v>
      </c>
      <c r="AA14" s="772">
        <f t="shared" si="3"/>
        <v>1</v>
      </c>
      <c r="AB14" s="772">
        <f t="shared" si="4"/>
        <v>1</v>
      </c>
      <c r="AC14" s="772">
        <f t="shared" si="5"/>
        <v>1</v>
      </c>
    </row>
    <row r="15" spans="1:29" ht="15">
      <c r="A15" s="440" t="s">
        <v>2547</v>
      </c>
      <c r="B15" s="69" t="s">
        <v>2084</v>
      </c>
      <c r="C15" s="2598">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39"/>
      <c r="M15" s="1130"/>
      <c r="N15" s="1130"/>
      <c r="O15" s="1130"/>
      <c r="P15" s="3237" t="s">
        <v>2548</v>
      </c>
      <c r="Q15" s="1808" t="str">
        <f t="shared" si="6"/>
        <v>居住社区成熟度</v>
      </c>
      <c r="R15" s="773" t="s">
        <v>21</v>
      </c>
      <c r="S15" s="774">
        <f t="shared" si="0"/>
        <v>100</v>
      </c>
      <c r="T15" s="773" t="s">
        <v>21</v>
      </c>
      <c r="U15" s="774">
        <f t="shared" si="1"/>
        <v>100</v>
      </c>
      <c r="V15" s="773" t="s">
        <v>21</v>
      </c>
      <c r="W15" s="774">
        <f t="shared" si="2"/>
        <v>100</v>
      </c>
      <c r="X15" s="1811"/>
      <c r="Y15" s="3239" t="s">
        <v>2548</v>
      </c>
      <c r="Z15" s="1812" t="str">
        <f t="shared" si="7"/>
        <v>居住社区成熟度</v>
      </c>
      <c r="AA15" s="1809">
        <f t="shared" si="3"/>
        <v>1</v>
      </c>
      <c r="AB15" s="1809">
        <f t="shared" si="4"/>
        <v>1</v>
      </c>
      <c r="AC15" s="1809">
        <f t="shared" si="5"/>
        <v>1</v>
      </c>
    </row>
    <row r="16" spans="1:29" ht="15">
      <c r="A16" s="428"/>
      <c r="B16" s="446"/>
      <c r="C16" s="447"/>
      <c r="D16" s="448"/>
      <c r="E16" s="2599"/>
      <c r="F16" s="448"/>
      <c r="G16" s="2600"/>
      <c r="H16" s="450"/>
      <c r="I16" s="2600"/>
      <c r="J16" s="448"/>
      <c r="K16" s="2601"/>
      <c r="L16" s="1139"/>
      <c r="M16" s="1130"/>
      <c r="N16" s="1130"/>
      <c r="O16" s="1130"/>
      <c r="P16" s="3238"/>
      <c r="Q16" s="1808"/>
      <c r="R16" s="773"/>
      <c r="S16" s="774"/>
      <c r="T16" s="773"/>
      <c r="U16" s="774"/>
      <c r="V16" s="773"/>
      <c r="W16" s="774"/>
      <c r="X16" s="1811"/>
      <c r="Y16" s="3240"/>
      <c r="Z16" s="1812"/>
      <c r="AA16" s="1809">
        <v>1</v>
      </c>
      <c r="AB16" s="1809">
        <v>1</v>
      </c>
      <c r="AC16" s="1809">
        <v>1</v>
      </c>
    </row>
    <row r="17" spans="1:29" ht="128.25">
      <c r="A17" s="428"/>
      <c r="B17" s="451" t="s">
        <v>2090</v>
      </c>
      <c r="C17" s="2602" t="str">
        <f>估价对象房地状况!C6</f>
        <v>估价对象周边有485、501、602、736、957路及地铁十号线等、公共交通通达情况较好、停车便捷程度较好，综合评价交通便捷度较好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9"/>
      <c r="M17" s="1130"/>
      <c r="N17" s="1130"/>
      <c r="O17" s="1130"/>
      <c r="P17" s="3238"/>
      <c r="Q17" s="1808" t="str">
        <f>B17</f>
        <v>交通便捷度</v>
      </c>
      <c r="R17" s="773" t="s">
        <v>21</v>
      </c>
      <c r="S17" s="774">
        <f>F17</f>
        <v>100</v>
      </c>
      <c r="T17" s="773" t="s">
        <v>21</v>
      </c>
      <c r="U17" s="774">
        <f>H17</f>
        <v>100</v>
      </c>
      <c r="V17" s="773" t="s">
        <v>21</v>
      </c>
      <c r="W17" s="774">
        <f>J17</f>
        <v>100</v>
      </c>
      <c r="X17" s="1811"/>
      <c r="Y17" s="3240"/>
      <c r="Z17" s="1812" t="str">
        <f>Q17</f>
        <v>交通便捷度</v>
      </c>
      <c r="AA17" s="1809">
        <f t="shared" si="3"/>
        <v>1</v>
      </c>
      <c r="AB17" s="1809">
        <f t="shared" si="4"/>
        <v>1</v>
      </c>
      <c r="AC17" s="1809">
        <f t="shared" si="5"/>
        <v>1</v>
      </c>
    </row>
    <row r="18" spans="1:29" ht="15">
      <c r="A18" s="428"/>
      <c r="B18" s="456"/>
      <c r="C18" s="2603"/>
      <c r="D18" s="450"/>
      <c r="E18" s="2604"/>
      <c r="F18" s="450"/>
      <c r="G18" s="2605"/>
      <c r="H18" s="448"/>
      <c r="I18" s="2605"/>
      <c r="J18" s="448"/>
      <c r="K18" s="2601"/>
      <c r="L18" s="1139"/>
      <c r="M18" s="1130"/>
      <c r="N18" s="1130"/>
      <c r="O18" s="1130"/>
      <c r="P18" s="3238"/>
      <c r="Q18" s="1808"/>
      <c r="R18" s="773"/>
      <c r="S18" s="774"/>
      <c r="T18" s="773"/>
      <c r="U18" s="774"/>
      <c r="V18" s="773"/>
      <c r="W18" s="774"/>
      <c r="X18" s="1811"/>
      <c r="Y18" s="3240"/>
      <c r="Z18" s="1812"/>
      <c r="AA18" s="1809">
        <v>1</v>
      </c>
      <c r="AB18" s="1809">
        <v>1</v>
      </c>
      <c r="AC18" s="1809">
        <v>1</v>
      </c>
    </row>
    <row r="19" spans="1:29" ht="114">
      <c r="A19" s="428"/>
      <c r="B19" s="451" t="s">
        <v>2089</v>
      </c>
      <c r="C19" s="2602" t="str">
        <f>估价对象房地状况!C7</f>
        <v>周边有中国建设银行、广东发展银行、集美家居、物美超市、西马金润小学、丰台第一小学远洋分校等，公共配套设施较齐备</v>
      </c>
      <c r="D19" s="455">
        <v>100</v>
      </c>
      <c r="E19" s="459"/>
      <c r="F19" s="455">
        <f>SUMIF(80:80,E20,81:81)-SUMIF(80:80,C20,81:81)+100</f>
        <v>100</v>
      </c>
      <c r="G19" s="457"/>
      <c r="H19" s="450">
        <f>SUMIF(80:80,G20,81:81)-SUMIF(80:80,C20,81:81)+100</f>
        <v>100</v>
      </c>
      <c r="I19" s="457"/>
      <c r="J19" s="450">
        <f>SUMIF(80:80,I20,81:81)-SUMIF(80:80,C20,81:81)+100</f>
        <v>100</v>
      </c>
      <c r="K19" s="445"/>
      <c r="L19" s="1139"/>
      <c r="M19" s="1130"/>
      <c r="N19" s="1130"/>
      <c r="O19" s="1130"/>
      <c r="P19" s="3238"/>
      <c r="Q19" s="1808" t="str">
        <f>B19</f>
        <v>公共配套设施</v>
      </c>
      <c r="R19" s="773" t="s">
        <v>21</v>
      </c>
      <c r="S19" s="774">
        <f>F19</f>
        <v>100</v>
      </c>
      <c r="T19" s="773" t="s">
        <v>21</v>
      </c>
      <c r="U19" s="774">
        <f>H19</f>
        <v>100</v>
      </c>
      <c r="V19" s="773" t="s">
        <v>21</v>
      </c>
      <c r="W19" s="774">
        <f>J19</f>
        <v>100</v>
      </c>
      <c r="X19" s="1811"/>
      <c r="Y19" s="3240"/>
      <c r="Z19" s="1812" t="str">
        <f>Q19</f>
        <v>公共配套设施</v>
      </c>
      <c r="AA19" s="1809">
        <f t="shared" si="3"/>
        <v>1</v>
      </c>
      <c r="AB19" s="1809">
        <f t="shared" si="4"/>
        <v>1</v>
      </c>
      <c r="AC19" s="1809">
        <f t="shared" si="5"/>
        <v>1</v>
      </c>
    </row>
    <row r="20" spans="1:29" ht="15">
      <c r="A20" s="428"/>
      <c r="B20" s="456"/>
      <c r="C20" s="447"/>
      <c r="D20" s="448"/>
      <c r="E20" s="2599"/>
      <c r="F20" s="448"/>
      <c r="G20" s="2600"/>
      <c r="H20" s="448"/>
      <c r="I20" s="2600"/>
      <c r="J20" s="448"/>
      <c r="K20" s="2601"/>
      <c r="L20" s="1139"/>
      <c r="M20" s="1130"/>
      <c r="N20" s="1130"/>
      <c r="O20" s="1130"/>
      <c r="P20" s="3238"/>
      <c r="Q20" s="1808"/>
      <c r="R20" s="773"/>
      <c r="S20" s="774"/>
      <c r="T20" s="773"/>
      <c r="U20" s="774"/>
      <c r="V20" s="773"/>
      <c r="W20" s="774"/>
      <c r="X20" s="1811"/>
      <c r="Y20" s="3240"/>
      <c r="Z20" s="1812"/>
      <c r="AA20" s="1809">
        <v>1</v>
      </c>
      <c r="AB20" s="1809">
        <v>1</v>
      </c>
      <c r="AC20" s="1809">
        <v>1</v>
      </c>
    </row>
    <row r="21" spans="1:29" ht="15">
      <c r="A21" s="428"/>
      <c r="B21" s="1383" t="s">
        <v>2091</v>
      </c>
      <c r="C21" s="2602"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c r="L21" s="1139"/>
      <c r="M21" s="1130"/>
      <c r="N21" s="1130"/>
      <c r="O21" s="1130"/>
      <c r="P21" s="3238"/>
      <c r="Q21" s="1808" t="str">
        <f>B21</f>
        <v>基础设施水平</v>
      </c>
      <c r="R21" s="773" t="s">
        <v>17</v>
      </c>
      <c r="S21" s="774">
        <f>F21</f>
        <v>100</v>
      </c>
      <c r="T21" s="773" t="s">
        <v>17</v>
      </c>
      <c r="U21" s="774">
        <f>H21</f>
        <v>100</v>
      </c>
      <c r="V21" s="773" t="s">
        <v>17</v>
      </c>
      <c r="W21" s="774">
        <f>J21</f>
        <v>100</v>
      </c>
      <c r="X21" s="1811"/>
      <c r="Y21" s="3240"/>
      <c r="Z21" s="1812" t="str">
        <f>Q21</f>
        <v>基础设施水平</v>
      </c>
      <c r="AA21" s="1809">
        <f t="shared" ref="AA21" si="8">D21/F21</f>
        <v>1</v>
      </c>
      <c r="AB21" s="1809">
        <f t="shared" ref="AB21" si="9">D21/H21</f>
        <v>1</v>
      </c>
      <c r="AC21" s="1809">
        <f t="shared" ref="AC21" si="10">D21/J21</f>
        <v>1</v>
      </c>
    </row>
    <row r="22" spans="1:29" ht="15">
      <c r="A22" s="428"/>
      <c r="B22" s="1383"/>
      <c r="C22" s="2603"/>
      <c r="D22" s="448"/>
      <c r="E22" s="447"/>
      <c r="F22" s="448"/>
      <c r="G22" s="2606"/>
      <c r="H22" s="448"/>
      <c r="I22" s="447"/>
      <c r="J22" s="448"/>
      <c r="K22" s="2607"/>
      <c r="L22" s="1139"/>
      <c r="M22" s="1130"/>
      <c r="N22" s="1130"/>
      <c r="O22" s="1130"/>
      <c r="P22" s="3238"/>
      <c r="Q22" s="1808"/>
      <c r="R22" s="773"/>
      <c r="S22" s="774"/>
      <c r="T22" s="773"/>
      <c r="U22" s="774"/>
      <c r="V22" s="773"/>
      <c r="W22" s="774"/>
      <c r="X22" s="1811"/>
      <c r="Y22" s="3240"/>
      <c r="Z22" s="1812"/>
      <c r="AA22" s="1809">
        <v>1</v>
      </c>
      <c r="AB22" s="1809">
        <v>1</v>
      </c>
      <c r="AC22" s="1809">
        <v>1</v>
      </c>
    </row>
    <row r="23" spans="1:29" ht="42.75">
      <c r="A23" s="428"/>
      <c r="B23" s="451" t="s">
        <v>2093</v>
      </c>
      <c r="C23" s="2602" t="str">
        <f>估价对象房地状况!C9</f>
        <v>周边有桃苑公园自然及人文环境一般</v>
      </c>
      <c r="D23" s="450">
        <v>100</v>
      </c>
      <c r="E23" s="454"/>
      <c r="F23" s="450">
        <f>SUMIF(84:84,E24,85:85)-SUMIF(84:84,C24,85:85)+100</f>
        <v>100</v>
      </c>
      <c r="G23" s="452"/>
      <c r="H23" s="450">
        <f>SUMIF(84:84,G24,85:85)-SUMIF(84:84,C24,85:85)+100</f>
        <v>100</v>
      </c>
      <c r="I23" s="452"/>
      <c r="J23" s="450">
        <f>SUMIF(84:84,I24,85:85)-SUMIF(84:84,C24,85:85)+100</f>
        <v>100</v>
      </c>
      <c r="K23" s="445"/>
      <c r="L23" s="1139"/>
      <c r="M23" s="1130"/>
      <c r="N23" s="1130"/>
      <c r="O23" s="1130"/>
      <c r="P23" s="3238"/>
      <c r="Q23" s="1808" t="str">
        <f>B23</f>
        <v>自然及人文环境</v>
      </c>
      <c r="R23" s="773" t="s">
        <v>21</v>
      </c>
      <c r="S23" s="774">
        <f>F23</f>
        <v>100</v>
      </c>
      <c r="T23" s="773" t="s">
        <v>21</v>
      </c>
      <c r="U23" s="774">
        <f>H23</f>
        <v>100</v>
      </c>
      <c r="V23" s="773" t="s">
        <v>21</v>
      </c>
      <c r="W23" s="774">
        <f>J23</f>
        <v>100</v>
      </c>
      <c r="X23" s="1811"/>
      <c r="Y23" s="3240"/>
      <c r="Z23" s="1812" t="str">
        <f>Q23</f>
        <v>自然及人文环境</v>
      </c>
      <c r="AA23" s="1809">
        <f>D23/F23</f>
        <v>1</v>
      </c>
      <c r="AB23" s="1809">
        <f>D23/H23</f>
        <v>1</v>
      </c>
      <c r="AC23" s="1809">
        <f>D23/J23</f>
        <v>1</v>
      </c>
    </row>
    <row r="24" spans="1:29" ht="15">
      <c r="A24" s="428"/>
      <c r="B24" s="456"/>
      <c r="C24" s="447"/>
      <c r="D24" s="448"/>
      <c r="E24" s="2599"/>
      <c r="F24" s="448"/>
      <c r="G24" s="2600"/>
      <c r="H24" s="448"/>
      <c r="I24" s="2600"/>
      <c r="J24" s="448"/>
      <c r="K24" s="2601"/>
      <c r="L24" s="1139"/>
      <c r="M24" s="1130"/>
      <c r="N24" s="1130"/>
      <c r="O24" s="1130"/>
      <c r="P24" s="3238"/>
      <c r="Q24" s="1808"/>
      <c r="R24" s="773"/>
      <c r="S24" s="774"/>
      <c r="T24" s="773"/>
      <c r="U24" s="774"/>
      <c r="V24" s="773"/>
      <c r="W24" s="774"/>
      <c r="X24" s="1811"/>
      <c r="Y24" s="3240"/>
      <c r="Z24" s="1812"/>
      <c r="AA24" s="1809">
        <v>1</v>
      </c>
      <c r="AB24" s="1809">
        <v>1</v>
      </c>
      <c r="AC24" s="1809">
        <v>1</v>
      </c>
    </row>
    <row r="25" spans="1:29" ht="15">
      <c r="A25" s="428"/>
      <c r="B25" s="422" t="s">
        <v>2549</v>
      </c>
      <c r="C25" s="460"/>
      <c r="D25" s="435">
        <v>100</v>
      </c>
      <c r="E25" s="2608"/>
      <c r="F25" s="435">
        <f>SUMIF(86:86,E25,87:87)-SUMIF(86:86,C25,87:87)+100</f>
        <v>100</v>
      </c>
      <c r="G25" s="2609"/>
      <c r="H25" s="435">
        <f>SUMIF(86:86,G25,87:87)-SUMIF(86:86,C25,87:87)+100</f>
        <v>100</v>
      </c>
      <c r="I25" s="2609"/>
      <c r="J25" s="435">
        <f>SUMIF(86:86,I25,87:87)-SUMIF(86:86,C25,87:87)+100</f>
        <v>100</v>
      </c>
      <c r="K25" s="426"/>
      <c r="L25" s="1139"/>
      <c r="M25" s="1130"/>
      <c r="N25" s="1130"/>
      <c r="O25" s="1130"/>
      <c r="P25" s="3238"/>
      <c r="Q25" s="1808" t="str">
        <f t="shared" ref="Q25:Q46" si="11">B25</f>
        <v>楼层-1</v>
      </c>
      <c r="R25" s="773" t="s">
        <v>21</v>
      </c>
      <c r="S25" s="774">
        <f t="shared" ref="S25:S46" si="12">F25</f>
        <v>100</v>
      </c>
      <c r="T25" s="773" t="s">
        <v>21</v>
      </c>
      <c r="U25" s="774">
        <f t="shared" ref="U25:U46" si="13">H25</f>
        <v>100</v>
      </c>
      <c r="V25" s="773" t="s">
        <v>21</v>
      </c>
      <c r="W25" s="774">
        <f t="shared" ref="W25:W46" si="14">J25</f>
        <v>100</v>
      </c>
      <c r="X25" s="1811"/>
      <c r="Y25" s="3240"/>
      <c r="Z25" s="1812" t="str">
        <f>Q25</f>
        <v>楼层-1</v>
      </c>
      <c r="AA25" s="1809">
        <f t="shared" ref="AA25:AA46" si="15">D25/F25</f>
        <v>1</v>
      </c>
      <c r="AB25" s="1809">
        <f t="shared" ref="AB25:AB46" si="16">D25/H25</f>
        <v>1</v>
      </c>
      <c r="AC25" s="1809">
        <f t="shared" ref="AC25:AC46" si="17">D25/J25</f>
        <v>1</v>
      </c>
    </row>
    <row r="26" spans="1:29" ht="15">
      <c r="A26" s="428"/>
      <c r="B26" s="422" t="s">
        <v>2550</v>
      </c>
      <c r="C26" s="460"/>
      <c r="D26" s="435">
        <v>100</v>
      </c>
      <c r="E26" s="2608"/>
      <c r="F26" s="435">
        <f>SUMIF(88:88,E26,89:89)-SUMIF(88:88,C26,89:89)+100</f>
        <v>100</v>
      </c>
      <c r="G26" s="2609"/>
      <c r="H26" s="435">
        <f>SUMIF(88:88,G26,89:89)-SUMIF(88:88,C26,89:89)+100</f>
        <v>100</v>
      </c>
      <c r="I26" s="2609"/>
      <c r="J26" s="435">
        <f>SUMIF(88:88,I26,89:89)-SUMIF(88:88,C26,89:89)+100</f>
        <v>100</v>
      </c>
      <c r="K26" s="426"/>
      <c r="L26" s="1139"/>
      <c r="M26" s="1130"/>
      <c r="N26" s="1130"/>
      <c r="O26" s="1130"/>
      <c r="P26" s="3238"/>
      <c r="Q26" s="1808" t="str">
        <f t="shared" si="11"/>
        <v>朝向</v>
      </c>
      <c r="R26" s="773" t="s">
        <v>21</v>
      </c>
      <c r="S26" s="774">
        <f t="shared" si="12"/>
        <v>100</v>
      </c>
      <c r="T26" s="773" t="s">
        <v>21</v>
      </c>
      <c r="U26" s="774">
        <f t="shared" si="13"/>
        <v>100</v>
      </c>
      <c r="V26" s="773" t="s">
        <v>21</v>
      </c>
      <c r="W26" s="774">
        <f t="shared" si="14"/>
        <v>100</v>
      </c>
      <c r="X26" s="1811"/>
      <c r="Y26" s="3240"/>
      <c r="Z26" s="1812" t="str">
        <f>Q26</f>
        <v>朝向</v>
      </c>
      <c r="AA26" s="1809">
        <f t="shared" si="15"/>
        <v>1</v>
      </c>
      <c r="AB26" s="1809">
        <f t="shared" si="16"/>
        <v>1</v>
      </c>
      <c r="AC26" s="1809">
        <f t="shared" si="17"/>
        <v>1</v>
      </c>
    </row>
    <row r="27" spans="1:29" s="117" customFormat="1" ht="15">
      <c r="A27" s="431"/>
      <c r="B27" s="1385">
        <v>111</v>
      </c>
      <c r="C27" s="432"/>
      <c r="D27" s="462">
        <v>100</v>
      </c>
      <c r="E27" s="465"/>
      <c r="F27" s="462">
        <f>SUMIF(90:90,E27,91:91)-SUMIF(90:90,C27,91:91)+100</f>
        <v>100</v>
      </c>
      <c r="G27" s="463"/>
      <c r="H27" s="462">
        <f>SUMIF(90:90,G27,91:91)-SUMIF(90:90,C27,91:91)+100</f>
        <v>100</v>
      </c>
      <c r="I27" s="463"/>
      <c r="J27" s="462">
        <f>SUMIF(90:90,I27,91:91)-SUMIF(90:90,C27,91:91)+100</f>
        <v>100</v>
      </c>
      <c r="K27" s="2596"/>
      <c r="L27" s="1131"/>
      <c r="M27" s="1132"/>
      <c r="N27" s="1132"/>
      <c r="O27" s="1132"/>
      <c r="P27" s="3238"/>
      <c r="Q27" s="1793">
        <f t="shared" si="11"/>
        <v>111</v>
      </c>
      <c r="R27" s="769" t="s">
        <v>21</v>
      </c>
      <c r="S27" s="770">
        <f t="shared" si="12"/>
        <v>100</v>
      </c>
      <c r="T27" s="769" t="s">
        <v>21</v>
      </c>
      <c r="U27" s="770">
        <f t="shared" si="13"/>
        <v>100</v>
      </c>
      <c r="V27" s="769" t="s">
        <v>21</v>
      </c>
      <c r="W27" s="770">
        <f t="shared" si="14"/>
        <v>100</v>
      </c>
      <c r="X27" s="771"/>
      <c r="Y27" s="3240"/>
      <c r="Z27" s="55">
        <f>Q27</f>
        <v>111</v>
      </c>
      <c r="AA27" s="1809">
        <f t="shared" si="15"/>
        <v>1</v>
      </c>
      <c r="AB27" s="1809">
        <f t="shared" si="16"/>
        <v>1</v>
      </c>
      <c r="AC27" s="1809">
        <f t="shared" si="17"/>
        <v>1</v>
      </c>
    </row>
    <row r="28" spans="1:29" ht="15">
      <c r="A28" s="428"/>
      <c r="B28" s="1385">
        <v>111</v>
      </c>
      <c r="C28" s="434"/>
      <c r="D28" s="435">
        <v>100</v>
      </c>
      <c r="E28" s="434"/>
      <c r="F28" s="435">
        <f>SUMIF(92:92,E28,93:93)-SUMIF(92:92,C28,93:93)+100</f>
        <v>100</v>
      </c>
      <c r="G28" s="2610"/>
      <c r="H28" s="435">
        <f>SUMIF(92:92,G28,93:93)-SUMIF(92:92,C28,93:93)+100</f>
        <v>100</v>
      </c>
      <c r="I28" s="434"/>
      <c r="J28" s="435">
        <f>SUMIF(92:92,I28,93:93)-SUMIF(92:92,C28,93:93)+100</f>
        <v>100</v>
      </c>
      <c r="K28" s="2596"/>
      <c r="L28" s="1139"/>
      <c r="M28" s="1130"/>
      <c r="N28" s="1130"/>
      <c r="O28" s="1130"/>
      <c r="P28" s="3238"/>
      <c r="Q28" s="1808">
        <f t="shared" si="11"/>
        <v>111</v>
      </c>
      <c r="R28" s="773" t="s">
        <v>21</v>
      </c>
      <c r="S28" s="774">
        <f t="shared" si="12"/>
        <v>100</v>
      </c>
      <c r="T28" s="773" t="s">
        <v>21</v>
      </c>
      <c r="U28" s="774">
        <f t="shared" si="13"/>
        <v>100</v>
      </c>
      <c r="V28" s="773" t="s">
        <v>21</v>
      </c>
      <c r="W28" s="774">
        <f t="shared" si="14"/>
        <v>100</v>
      </c>
      <c r="X28" s="1811"/>
      <c r="Y28" s="3240"/>
      <c r="Z28" s="1812">
        <f t="shared" ref="Z28:Z46" si="18">Q28</f>
        <v>111</v>
      </c>
      <c r="AA28" s="1809">
        <f t="shared" si="15"/>
        <v>1</v>
      </c>
      <c r="AB28" s="1809">
        <f t="shared" si="16"/>
        <v>1</v>
      </c>
      <c r="AC28" s="1809">
        <f t="shared" si="17"/>
        <v>1</v>
      </c>
    </row>
    <row r="29" spans="1:29" ht="15">
      <c r="A29" s="428"/>
      <c r="B29" s="1385">
        <v>111</v>
      </c>
      <c r="C29" s="434"/>
      <c r="D29" s="435">
        <v>100</v>
      </c>
      <c r="E29" s="434"/>
      <c r="F29" s="435">
        <f>SUMIF(94:94,E29,95:95)-SUMIF(94:94,C29,95:95)+100</f>
        <v>100</v>
      </c>
      <c r="G29" s="2610"/>
      <c r="H29" s="435">
        <f>SUMIF(94:94,G29,95:95)-SUMIF(94:94,C29,95:95)+100</f>
        <v>100</v>
      </c>
      <c r="I29" s="434"/>
      <c r="J29" s="435">
        <f>SUMIF(94:94,I29,95:95)-SUMIF(94:94,C29,95:95)+100</f>
        <v>100</v>
      </c>
      <c r="K29" s="2596"/>
      <c r="L29" s="1139"/>
      <c r="M29" s="1130"/>
      <c r="N29" s="1130"/>
      <c r="O29" s="1130"/>
      <c r="P29" s="3238"/>
      <c r="Q29" s="1808">
        <f t="shared" si="11"/>
        <v>111</v>
      </c>
      <c r="R29" s="773" t="s">
        <v>21</v>
      </c>
      <c r="S29" s="774">
        <f t="shared" si="12"/>
        <v>100</v>
      </c>
      <c r="T29" s="773" t="s">
        <v>21</v>
      </c>
      <c r="U29" s="774">
        <f t="shared" si="13"/>
        <v>100</v>
      </c>
      <c r="V29" s="773" t="s">
        <v>21</v>
      </c>
      <c r="W29" s="774">
        <f t="shared" si="14"/>
        <v>100</v>
      </c>
      <c r="X29" s="1811"/>
      <c r="Y29" s="3240"/>
      <c r="Z29" s="1812">
        <f t="shared" si="18"/>
        <v>111</v>
      </c>
      <c r="AA29" s="1809">
        <f t="shared" si="15"/>
        <v>1</v>
      </c>
      <c r="AB29" s="1809">
        <f t="shared" si="16"/>
        <v>1</v>
      </c>
      <c r="AC29" s="1809">
        <f t="shared" si="17"/>
        <v>1</v>
      </c>
    </row>
    <row r="30" spans="1:29" ht="15">
      <c r="A30" s="428"/>
      <c r="B30" s="1385">
        <v>111</v>
      </c>
      <c r="C30" s="434"/>
      <c r="D30" s="435">
        <v>100</v>
      </c>
      <c r="E30" s="434"/>
      <c r="F30" s="435">
        <f>SUMIF(96:96,E30,97:97)-SUMIF(96:96,C30,97:97)+100</f>
        <v>100</v>
      </c>
      <c r="G30" s="2610"/>
      <c r="H30" s="435">
        <f>SUMIF(96:96,G30,97:97)-SUMIF(96:96,C30,97:97)+100</f>
        <v>100</v>
      </c>
      <c r="I30" s="434"/>
      <c r="J30" s="435">
        <f>SUMIF(96:96,I30,97:97)-SUMIF(96:96,C30,97:97)+100</f>
        <v>100</v>
      </c>
      <c r="K30" s="2596"/>
      <c r="L30" s="1139"/>
      <c r="M30" s="1130"/>
      <c r="N30" s="1130"/>
      <c r="O30" s="1130"/>
      <c r="P30" s="3238"/>
      <c r="Q30" s="1808">
        <f t="shared" si="11"/>
        <v>111</v>
      </c>
      <c r="R30" s="773" t="s">
        <v>21</v>
      </c>
      <c r="S30" s="774">
        <f t="shared" si="12"/>
        <v>100</v>
      </c>
      <c r="T30" s="773" t="s">
        <v>21</v>
      </c>
      <c r="U30" s="774">
        <f t="shared" si="13"/>
        <v>100</v>
      </c>
      <c r="V30" s="773" t="s">
        <v>21</v>
      </c>
      <c r="W30" s="774">
        <f t="shared" si="14"/>
        <v>100</v>
      </c>
      <c r="X30" s="1811"/>
      <c r="Y30" s="3240"/>
      <c r="Z30" s="1812">
        <f t="shared" si="18"/>
        <v>111</v>
      </c>
      <c r="AA30" s="1809">
        <f t="shared" si="15"/>
        <v>1</v>
      </c>
      <c r="AB30" s="1809">
        <f t="shared" si="16"/>
        <v>1</v>
      </c>
      <c r="AC30" s="1809">
        <f t="shared" si="17"/>
        <v>1</v>
      </c>
    </row>
    <row r="31" spans="1:29" ht="15.75" thickBot="1">
      <c r="A31" s="436"/>
      <c r="B31" s="1385">
        <v>111</v>
      </c>
      <c r="C31" s="437"/>
      <c r="D31" s="438">
        <v>100</v>
      </c>
      <c r="E31" s="437"/>
      <c r="F31" s="438">
        <f>SUMIF(98:98,E31,99:99)-SUMIF(98:98,C31,99:99)+100</f>
        <v>100</v>
      </c>
      <c r="G31" s="2611"/>
      <c r="H31" s="438">
        <f>SUMIF(98:98,G31,99:99)-SUMIF(98:98,C31,99:99)+100</f>
        <v>100</v>
      </c>
      <c r="I31" s="437"/>
      <c r="J31" s="438">
        <f>SUMIF(98:98,I31,99:99)-SUMIF(98:98,C31,99:99)+100</f>
        <v>100</v>
      </c>
      <c r="K31" s="2596"/>
      <c r="L31" s="1139"/>
      <c r="M31" s="1130"/>
      <c r="N31" s="1130"/>
      <c r="O31" s="1130"/>
      <c r="P31" s="3238"/>
      <c r="Q31" s="1808">
        <f t="shared" si="11"/>
        <v>111</v>
      </c>
      <c r="R31" s="773" t="s">
        <v>21</v>
      </c>
      <c r="S31" s="774">
        <f t="shared" si="12"/>
        <v>100</v>
      </c>
      <c r="T31" s="773" t="s">
        <v>21</v>
      </c>
      <c r="U31" s="774">
        <f t="shared" si="13"/>
        <v>100</v>
      </c>
      <c r="V31" s="773" t="s">
        <v>21</v>
      </c>
      <c r="W31" s="774">
        <f t="shared" si="14"/>
        <v>100</v>
      </c>
      <c r="X31" s="1811"/>
      <c r="Y31" s="3240"/>
      <c r="Z31" s="1812">
        <f t="shared" si="18"/>
        <v>111</v>
      </c>
      <c r="AA31" s="1809">
        <f t="shared" si="15"/>
        <v>1</v>
      </c>
      <c r="AB31" s="1809">
        <f t="shared" si="16"/>
        <v>1</v>
      </c>
      <c r="AC31" s="1809">
        <f t="shared" si="17"/>
        <v>1</v>
      </c>
    </row>
    <row r="32" spans="1:29" ht="15">
      <c r="A32" s="440" t="s">
        <v>2551</v>
      </c>
      <c r="B32" s="71" t="s">
        <v>2552</v>
      </c>
      <c r="C32" s="2612"/>
      <c r="D32" s="467">
        <v>100</v>
      </c>
      <c r="E32" s="2613"/>
      <c r="F32" s="461">
        <f>SUMIF(100:100,E32,101:101)-SUMIF(100:100,C32,101:101)+100</f>
        <v>100</v>
      </c>
      <c r="G32" s="2612"/>
      <c r="H32" s="467">
        <f>SUMIF(100:100,G32,101:101)-SUMIF(100:100,C32,101:101)+100</f>
        <v>100</v>
      </c>
      <c r="I32" s="2613"/>
      <c r="J32" s="435">
        <f>SUMIF(100:100,I32,101:101)-SUMIF(100:100,C32,101:101)+100</f>
        <v>100</v>
      </c>
      <c r="K32" s="426"/>
      <c r="L32" s="1139"/>
      <c r="M32" s="1130"/>
      <c r="N32" s="1130"/>
      <c r="O32" s="1130"/>
      <c r="P32" s="3241" t="s">
        <v>2553</v>
      </c>
      <c r="Q32" s="1808" t="str">
        <f t="shared" si="11"/>
        <v>建筑类型</v>
      </c>
      <c r="R32" s="773" t="s">
        <v>21</v>
      </c>
      <c r="S32" s="774">
        <f t="shared" si="12"/>
        <v>100</v>
      </c>
      <c r="T32" s="773" t="s">
        <v>21</v>
      </c>
      <c r="U32" s="774">
        <f t="shared" si="13"/>
        <v>100</v>
      </c>
      <c r="V32" s="773" t="s">
        <v>21</v>
      </c>
      <c r="W32" s="774">
        <f t="shared" si="14"/>
        <v>100</v>
      </c>
      <c r="X32" s="1811"/>
      <c r="Y32" s="3244" t="s">
        <v>2553</v>
      </c>
      <c r="Z32" s="1812" t="str">
        <f t="shared" si="18"/>
        <v>建筑类型</v>
      </c>
      <c r="AA32" s="1809">
        <f t="shared" si="15"/>
        <v>1</v>
      </c>
      <c r="AB32" s="1809">
        <f t="shared" si="16"/>
        <v>1</v>
      </c>
      <c r="AC32" s="1809">
        <f t="shared" si="17"/>
        <v>1</v>
      </c>
    </row>
    <row r="33" spans="1:29" s="471" customFormat="1" ht="15">
      <c r="A33" s="468"/>
      <c r="B33" s="422" t="s">
        <v>2554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6"/>
      <c r="L33" s="1137"/>
      <c r="M33" s="1140"/>
      <c r="N33" s="1140"/>
      <c r="O33" s="1140"/>
      <c r="P33" s="3242"/>
      <c r="Q33" s="775" t="str">
        <f t="shared" si="11"/>
        <v>项目建筑规模</v>
      </c>
      <c r="R33" s="776" t="s">
        <v>21</v>
      </c>
      <c r="S33" s="777" t="e">
        <f t="shared" si="12"/>
        <v>#N/A</v>
      </c>
      <c r="T33" s="776" t="s">
        <v>21</v>
      </c>
      <c r="U33" s="777" t="e">
        <f t="shared" si="13"/>
        <v>#N/A</v>
      </c>
      <c r="V33" s="776" t="s">
        <v>21</v>
      </c>
      <c r="W33" s="777" t="e">
        <f t="shared" si="14"/>
        <v>#N/A</v>
      </c>
      <c r="X33" s="778"/>
      <c r="Y33" s="3244"/>
      <c r="Z33" s="779" t="str">
        <f t="shared" si="18"/>
        <v>项目建筑规模</v>
      </c>
      <c r="AA33" s="1809" t="e">
        <f t="shared" si="15"/>
        <v>#N/A</v>
      </c>
      <c r="AB33" s="1809" t="e">
        <f t="shared" si="16"/>
        <v>#N/A</v>
      </c>
      <c r="AC33" s="1809" t="e">
        <f t="shared" si="17"/>
        <v>#N/A</v>
      </c>
    </row>
    <row r="34" spans="1:29" ht="15">
      <c r="A34" s="472"/>
      <c r="B34" s="422" t="s">
        <v>2555</v>
      </c>
      <c r="C34" s="2614"/>
      <c r="D34" s="435">
        <v>100</v>
      </c>
      <c r="E34" s="2615"/>
      <c r="F34" s="461">
        <f>SUMIF(105:105,E34,106:106)-SUMIF(105:105,C34,106:106)+100</f>
        <v>100</v>
      </c>
      <c r="G34" s="2614"/>
      <c r="H34" s="435">
        <f>SUMIF(105:105,G34,106:106)-SUMIF(105:105,C34,106:106)+100</f>
        <v>100</v>
      </c>
      <c r="I34" s="2615"/>
      <c r="J34" s="435">
        <f>SUMIF(105:105,I34,106:106)-SUMIF(105:105,C34,106:106)+100</f>
        <v>100</v>
      </c>
      <c r="K34" s="426"/>
      <c r="L34" s="1139"/>
      <c r="M34" s="1130"/>
      <c r="N34" s="1130"/>
      <c r="O34" s="1130"/>
      <c r="P34" s="3242"/>
      <c r="Q34" s="1808" t="str">
        <f t="shared" si="11"/>
        <v>建筑结构</v>
      </c>
      <c r="R34" s="773" t="s">
        <v>21</v>
      </c>
      <c r="S34" s="774">
        <f t="shared" si="12"/>
        <v>100</v>
      </c>
      <c r="T34" s="773" t="s">
        <v>21</v>
      </c>
      <c r="U34" s="774">
        <f t="shared" si="13"/>
        <v>100</v>
      </c>
      <c r="V34" s="773" t="s">
        <v>21</v>
      </c>
      <c r="W34" s="774">
        <f t="shared" si="14"/>
        <v>100</v>
      </c>
      <c r="X34" s="1811"/>
      <c r="Y34" s="3244"/>
      <c r="Z34" s="1812" t="str">
        <f t="shared" si="18"/>
        <v>建筑结构</v>
      </c>
      <c r="AA34" s="1809">
        <f t="shared" si="15"/>
        <v>1</v>
      </c>
      <c r="AB34" s="1809">
        <f t="shared" si="16"/>
        <v>1</v>
      </c>
      <c r="AC34" s="1809">
        <f t="shared" si="17"/>
        <v>1</v>
      </c>
    </row>
    <row r="35" spans="1:29" ht="15">
      <c r="A35" s="472"/>
      <c r="B35" s="422" t="s">
        <v>2556</v>
      </c>
      <c r="C35" s="2608"/>
      <c r="D35" s="435">
        <v>100</v>
      </c>
      <c r="E35" s="2609"/>
      <c r="F35" s="461">
        <f>SUMIF(107:107,E35,108:108)-SUMIF(107:107,C35,108:108)+100</f>
        <v>100</v>
      </c>
      <c r="G35" s="2608"/>
      <c r="H35" s="435">
        <f>SUMIF(107:107,G35,108:108)-SUMIF(107:107,C35,108:108)+100</f>
        <v>100</v>
      </c>
      <c r="I35" s="2609"/>
      <c r="J35" s="435">
        <f>SUMIF(107:107,I35,108:108)-SUMIF(107:107,C35,108:108)+100</f>
        <v>100</v>
      </c>
      <c r="K35" s="426"/>
      <c r="L35" s="1139"/>
      <c r="M35" s="1130"/>
      <c r="N35" s="1130"/>
      <c r="O35" s="1130"/>
      <c r="P35" s="3242"/>
      <c r="Q35" s="1808" t="str">
        <f t="shared" si="11"/>
        <v>建筑品质</v>
      </c>
      <c r="R35" s="773" t="s">
        <v>21</v>
      </c>
      <c r="S35" s="774">
        <f t="shared" si="12"/>
        <v>100</v>
      </c>
      <c r="T35" s="773" t="s">
        <v>21</v>
      </c>
      <c r="U35" s="774">
        <f t="shared" si="13"/>
        <v>100</v>
      </c>
      <c r="V35" s="773" t="s">
        <v>21</v>
      </c>
      <c r="W35" s="774">
        <f t="shared" si="14"/>
        <v>100</v>
      </c>
      <c r="X35" s="1811"/>
      <c r="Y35" s="3244"/>
      <c r="Z35" s="1812" t="str">
        <f t="shared" si="18"/>
        <v>建筑品质</v>
      </c>
      <c r="AA35" s="1809">
        <f t="shared" si="15"/>
        <v>1</v>
      </c>
      <c r="AB35" s="1809">
        <f t="shared" si="16"/>
        <v>1</v>
      </c>
      <c r="AC35" s="1809">
        <f t="shared" si="17"/>
        <v>1</v>
      </c>
    </row>
    <row r="36" spans="1:29" ht="15">
      <c r="A36" s="472"/>
      <c r="B36" s="422" t="s">
        <v>2557</v>
      </c>
      <c r="C36" s="2608"/>
      <c r="D36" s="435">
        <v>100</v>
      </c>
      <c r="E36" s="2609"/>
      <c r="F36" s="461">
        <f>SUMIF(109:109,E36,110:110)-SUMIF(109:109,C36,110:110)+100</f>
        <v>100</v>
      </c>
      <c r="G36" s="2608"/>
      <c r="H36" s="435">
        <f>SUMIF(109:109,G36,110:110)-SUMIF(109:109,C36,110:110)+100</f>
        <v>100</v>
      </c>
      <c r="I36" s="2609"/>
      <c r="J36" s="435">
        <f>SUMIF(109:109,I36,110:110)-SUMIF(109:109,C36,110:110)+100</f>
        <v>100</v>
      </c>
      <c r="K36" s="426"/>
      <c r="L36" s="1139"/>
      <c r="M36" s="1130"/>
      <c r="N36" s="1130"/>
      <c r="O36" s="1130"/>
      <c r="P36" s="3242"/>
      <c r="Q36" s="1808" t="str">
        <f t="shared" si="11"/>
        <v>公共部分装修</v>
      </c>
      <c r="R36" s="773" t="s">
        <v>21</v>
      </c>
      <c r="S36" s="774">
        <f t="shared" si="12"/>
        <v>100</v>
      </c>
      <c r="T36" s="773" t="s">
        <v>21</v>
      </c>
      <c r="U36" s="774">
        <f t="shared" si="13"/>
        <v>100</v>
      </c>
      <c r="V36" s="773" t="s">
        <v>21</v>
      </c>
      <c r="W36" s="774">
        <f t="shared" si="14"/>
        <v>100</v>
      </c>
      <c r="X36" s="1811"/>
      <c r="Y36" s="3244"/>
      <c r="Z36" s="1812" t="str">
        <f t="shared" si="18"/>
        <v>公共部分装修</v>
      </c>
      <c r="AA36" s="1809">
        <f t="shared" si="15"/>
        <v>1</v>
      </c>
      <c r="AB36" s="1809">
        <f t="shared" si="16"/>
        <v>1</v>
      </c>
      <c r="AC36" s="1809">
        <f t="shared" si="17"/>
        <v>1</v>
      </c>
    </row>
    <row r="37" spans="1:29" s="117" customFormat="1" ht="15">
      <c r="A37" s="473"/>
      <c r="B37" s="422" t="s">
        <v>2558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1"/>
      <c r="M37" s="1132"/>
      <c r="N37" s="1132"/>
      <c r="O37" s="1132"/>
      <c r="P37" s="3242"/>
      <c r="Q37" s="1793" t="str">
        <f t="shared" si="11"/>
        <v>成新度</v>
      </c>
      <c r="R37" s="769" t="s">
        <v>21</v>
      </c>
      <c r="S37" s="770" t="e">
        <f t="shared" si="12"/>
        <v>#N/A</v>
      </c>
      <c r="T37" s="769" t="s">
        <v>21</v>
      </c>
      <c r="U37" s="770" t="e">
        <f t="shared" si="13"/>
        <v>#N/A</v>
      </c>
      <c r="V37" s="769" t="s">
        <v>21</v>
      </c>
      <c r="W37" s="770" t="e">
        <f t="shared" si="14"/>
        <v>#N/A</v>
      </c>
      <c r="X37" s="771"/>
      <c r="Y37" s="3244"/>
      <c r="Z37" s="55" t="str">
        <f t="shared" si="18"/>
        <v>成新度</v>
      </c>
      <c r="AA37" s="772" t="e">
        <f t="shared" si="15"/>
        <v>#N/A</v>
      </c>
      <c r="AB37" s="772" t="e">
        <f t="shared" si="16"/>
        <v>#N/A</v>
      </c>
      <c r="AC37" s="772" t="e">
        <f t="shared" si="17"/>
        <v>#N/A</v>
      </c>
    </row>
    <row r="38" spans="1:29" ht="15">
      <c r="A38" s="472"/>
      <c r="B38" s="422" t="s">
        <v>2559</v>
      </c>
      <c r="C38" s="2608"/>
      <c r="D38" s="435">
        <v>100</v>
      </c>
      <c r="E38" s="2609"/>
      <c r="F38" s="461">
        <f>SUMIF(114:114,E38,115:115)-SUMIF(114:114,C38,115:115)+100</f>
        <v>100</v>
      </c>
      <c r="G38" s="2608"/>
      <c r="H38" s="435">
        <f>SUMIF(114:114,G38,115:115)-SUMIF(114:114,C38,115:115)+100</f>
        <v>100</v>
      </c>
      <c r="I38" s="2609"/>
      <c r="J38" s="435">
        <f>SUMIF(114:114,I38,115:115)-SUMIF(114:114,C38,115:115)+100</f>
        <v>100</v>
      </c>
      <c r="K38" s="426"/>
      <c r="L38" s="1139"/>
      <c r="M38" s="1130"/>
      <c r="N38" s="1130"/>
      <c r="O38" s="1130"/>
      <c r="P38" s="3242" t="s">
        <v>2553</v>
      </c>
      <c r="Q38" s="1808" t="str">
        <f t="shared" si="11"/>
        <v>物业管理</v>
      </c>
      <c r="R38" s="773" t="s">
        <v>21</v>
      </c>
      <c r="S38" s="774">
        <f t="shared" si="12"/>
        <v>100</v>
      </c>
      <c r="T38" s="773" t="s">
        <v>21</v>
      </c>
      <c r="U38" s="774">
        <f t="shared" si="13"/>
        <v>100</v>
      </c>
      <c r="V38" s="773" t="s">
        <v>21</v>
      </c>
      <c r="W38" s="774">
        <f t="shared" si="14"/>
        <v>100</v>
      </c>
      <c r="X38" s="1811"/>
      <c r="Y38" s="3244" t="s">
        <v>2553</v>
      </c>
      <c r="Z38" s="1812" t="str">
        <f t="shared" si="18"/>
        <v>物业管理</v>
      </c>
      <c r="AA38" s="1809">
        <f t="shared" si="15"/>
        <v>1</v>
      </c>
      <c r="AB38" s="1809">
        <f t="shared" si="16"/>
        <v>1</v>
      </c>
      <c r="AC38" s="1809">
        <f t="shared" si="17"/>
        <v>1</v>
      </c>
    </row>
    <row r="39" spans="1:29" ht="15">
      <c r="A39" s="472"/>
      <c r="B39" s="422" t="s">
        <v>2560</v>
      </c>
      <c r="C39" s="2608"/>
      <c r="D39" s="435">
        <v>100</v>
      </c>
      <c r="E39" s="2609"/>
      <c r="F39" s="461">
        <f>SUMIF(116:116,E39,117:117)-SUMIF(116:116,C39,117:117)+100</f>
        <v>100</v>
      </c>
      <c r="G39" s="2608"/>
      <c r="H39" s="435">
        <f>SUMIF(116:116,G39,117:117)-SUMIF(116:116,C39,117:117)+100</f>
        <v>100</v>
      </c>
      <c r="I39" s="2609"/>
      <c r="J39" s="435">
        <f>SUMIF(116:116,I39,117:117)-SUMIF(116:116,C39,117:117)+100</f>
        <v>100</v>
      </c>
      <c r="K39" s="426"/>
      <c r="L39" s="1139"/>
      <c r="M39" s="1130"/>
      <c r="N39" s="1130"/>
      <c r="O39" s="1130"/>
      <c r="P39" s="3242"/>
      <c r="Q39" s="1808" t="str">
        <f t="shared" si="11"/>
        <v>市政基础设施</v>
      </c>
      <c r="R39" s="773" t="s">
        <v>21</v>
      </c>
      <c r="S39" s="774">
        <f t="shared" si="12"/>
        <v>100</v>
      </c>
      <c r="T39" s="773" t="s">
        <v>21</v>
      </c>
      <c r="U39" s="774">
        <f t="shared" si="13"/>
        <v>100</v>
      </c>
      <c r="V39" s="773" t="s">
        <v>21</v>
      </c>
      <c r="W39" s="774">
        <f t="shared" si="14"/>
        <v>100</v>
      </c>
      <c r="X39" s="1811"/>
      <c r="Y39" s="3244"/>
      <c r="Z39" s="1812" t="str">
        <f t="shared" si="18"/>
        <v>市政基础设施</v>
      </c>
      <c r="AA39" s="1809">
        <f t="shared" si="15"/>
        <v>1</v>
      </c>
      <c r="AB39" s="1809">
        <f t="shared" si="16"/>
        <v>1</v>
      </c>
      <c r="AC39" s="1809">
        <f t="shared" si="17"/>
        <v>1</v>
      </c>
    </row>
    <row r="40" spans="1:29" ht="15">
      <c r="A40" s="472"/>
      <c r="B40" s="422" t="s">
        <v>2561</v>
      </c>
      <c r="C40" s="2608"/>
      <c r="D40" s="435">
        <v>100</v>
      </c>
      <c r="E40" s="2609"/>
      <c r="F40" s="461">
        <f>SUMIF(118:118,E40,119:119)-SUMIF(118:118,C40,119:119)+100</f>
        <v>100</v>
      </c>
      <c r="G40" s="2608"/>
      <c r="H40" s="435">
        <f>SUMIF(118:118,G40,119:119)-SUMIF(118:118,C40,119:119)+100</f>
        <v>100</v>
      </c>
      <c r="I40" s="2609"/>
      <c r="J40" s="435">
        <f>SUMIF(118:118,I40,119:119)-SUMIF(118:118,C40,119:119)+100</f>
        <v>100</v>
      </c>
      <c r="K40" s="426"/>
      <c r="L40" s="1139"/>
      <c r="M40" s="1130"/>
      <c r="N40" s="1130"/>
      <c r="O40" s="1130"/>
      <c r="P40" s="3242"/>
      <c r="Q40" s="1808" t="str">
        <f t="shared" si="11"/>
        <v>房型</v>
      </c>
      <c r="R40" s="773" t="s">
        <v>21</v>
      </c>
      <c r="S40" s="774">
        <f t="shared" si="12"/>
        <v>100</v>
      </c>
      <c r="T40" s="773" t="s">
        <v>21</v>
      </c>
      <c r="U40" s="774">
        <f t="shared" si="13"/>
        <v>100</v>
      </c>
      <c r="V40" s="773" t="s">
        <v>21</v>
      </c>
      <c r="W40" s="774">
        <f t="shared" si="14"/>
        <v>100</v>
      </c>
      <c r="X40" s="1811"/>
      <c r="Y40" s="3244"/>
      <c r="Z40" s="1812" t="str">
        <f t="shared" si="18"/>
        <v>房型</v>
      </c>
      <c r="AA40" s="1809">
        <f t="shared" si="15"/>
        <v>1</v>
      </c>
      <c r="AB40" s="1809">
        <f t="shared" si="16"/>
        <v>1</v>
      </c>
      <c r="AC40" s="1809">
        <f t="shared" si="17"/>
        <v>1</v>
      </c>
    </row>
    <row r="41" spans="1:29" s="471" customFormat="1" ht="28.5">
      <c r="A41" s="468"/>
      <c r="B41" s="422" t="s">
        <v>2562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6"/>
      <c r="L41" s="1137"/>
      <c r="M41" s="1140"/>
      <c r="N41" s="1140"/>
      <c r="O41" s="1140"/>
      <c r="P41" s="3242"/>
      <c r="Q41" s="775" t="str">
        <f t="shared" si="11"/>
        <v>单套/主力户型建筑面积</v>
      </c>
      <c r="R41" s="776" t="s">
        <v>21</v>
      </c>
      <c r="S41" s="777">
        <f t="shared" si="12"/>
        <v>100</v>
      </c>
      <c r="T41" s="776" t="s">
        <v>21</v>
      </c>
      <c r="U41" s="777">
        <f t="shared" si="13"/>
        <v>100</v>
      </c>
      <c r="V41" s="776" t="s">
        <v>21</v>
      </c>
      <c r="W41" s="777">
        <f t="shared" si="14"/>
        <v>100</v>
      </c>
      <c r="X41" s="778"/>
      <c r="Y41" s="3244"/>
      <c r="Z41" s="779" t="str">
        <f t="shared" si="18"/>
        <v>单套/主力户型建筑面积</v>
      </c>
      <c r="AA41" s="1809">
        <f t="shared" si="15"/>
        <v>1</v>
      </c>
      <c r="AB41" s="1809">
        <f t="shared" si="16"/>
        <v>1</v>
      </c>
      <c r="AC41" s="1809">
        <f t="shared" si="17"/>
        <v>1</v>
      </c>
    </row>
    <row r="42" spans="1:29" ht="15">
      <c r="A42" s="472"/>
      <c r="B42" s="422" t="s">
        <v>2563</v>
      </c>
      <c r="C42" s="2608"/>
      <c r="D42" s="435">
        <v>100</v>
      </c>
      <c r="E42" s="2609"/>
      <c r="F42" s="461">
        <f>SUMIF(122:122,E42,123:123)-SUMIF(122:122,C42,123:123)+100</f>
        <v>100</v>
      </c>
      <c r="G42" s="2608"/>
      <c r="H42" s="435">
        <f>SUMIF(122:122,G42,123:123)-SUMIF(122:122,C42,123:123)+100</f>
        <v>100</v>
      </c>
      <c r="I42" s="2609"/>
      <c r="J42" s="435">
        <f>SUMIF(122:122,I42,123:123)-SUMIF(122:122,C42,123:123)+100</f>
        <v>100</v>
      </c>
      <c r="K42" s="426"/>
      <c r="L42" s="1139"/>
      <c r="M42" s="1130"/>
      <c r="N42" s="1130"/>
      <c r="O42" s="1130"/>
      <c r="P42" s="3242"/>
      <c r="Q42" s="1808" t="str">
        <f t="shared" si="11"/>
        <v>内部装修</v>
      </c>
      <c r="R42" s="773" t="s">
        <v>21</v>
      </c>
      <c r="S42" s="774">
        <f t="shared" si="12"/>
        <v>100</v>
      </c>
      <c r="T42" s="773" t="s">
        <v>21</v>
      </c>
      <c r="U42" s="774">
        <f t="shared" si="13"/>
        <v>100</v>
      </c>
      <c r="V42" s="773" t="s">
        <v>21</v>
      </c>
      <c r="W42" s="774">
        <f t="shared" si="14"/>
        <v>100</v>
      </c>
      <c r="X42" s="1811"/>
      <c r="Y42" s="3244"/>
      <c r="Z42" s="1812" t="str">
        <f t="shared" si="18"/>
        <v>内部装修</v>
      </c>
      <c r="AA42" s="1809">
        <f t="shared" si="15"/>
        <v>1</v>
      </c>
      <c r="AB42" s="1809">
        <f t="shared" si="16"/>
        <v>1</v>
      </c>
      <c r="AC42" s="1809">
        <f t="shared" si="17"/>
        <v>1</v>
      </c>
    </row>
    <row r="43" spans="1:29" ht="15">
      <c r="A43" s="472"/>
      <c r="B43" s="422" t="s">
        <v>2564</v>
      </c>
      <c r="C43" s="2608"/>
      <c r="D43" s="435">
        <v>100</v>
      </c>
      <c r="E43" s="2609"/>
      <c r="F43" s="461">
        <f>SUMIF(124:124,E43,125:125)-SUMIF(124:124,C43,125:125)+100</f>
        <v>100</v>
      </c>
      <c r="G43" s="2608"/>
      <c r="H43" s="435">
        <f>SUMIF(124:124,G43,125:125)-SUMIF(124:124,C43,125:125)+100</f>
        <v>100</v>
      </c>
      <c r="I43" s="2609"/>
      <c r="J43" s="435">
        <f>SUMIF(124:124,I43,125:125)-SUMIF(124:124,C43,125:125)+100</f>
        <v>100</v>
      </c>
      <c r="K43" s="426"/>
      <c r="L43" s="1139"/>
      <c r="M43" s="1130"/>
      <c r="N43" s="1130"/>
      <c r="O43" s="1130"/>
      <c r="P43" s="3242"/>
      <c r="Q43" s="1808" t="str">
        <f t="shared" si="11"/>
        <v>内部装修维护情况</v>
      </c>
      <c r="R43" s="773" t="s">
        <v>21</v>
      </c>
      <c r="S43" s="774">
        <f t="shared" si="12"/>
        <v>100</v>
      </c>
      <c r="T43" s="773" t="s">
        <v>21</v>
      </c>
      <c r="U43" s="774">
        <f t="shared" si="13"/>
        <v>100</v>
      </c>
      <c r="V43" s="773" t="s">
        <v>21</v>
      </c>
      <c r="W43" s="774">
        <f t="shared" si="14"/>
        <v>100</v>
      </c>
      <c r="X43" s="1811"/>
      <c r="Y43" s="3244"/>
      <c r="Z43" s="1812" t="str">
        <f t="shared" si="18"/>
        <v>内部装修维护情况</v>
      </c>
      <c r="AA43" s="1809">
        <f t="shared" si="15"/>
        <v>1</v>
      </c>
      <c r="AB43" s="1809">
        <f t="shared" si="16"/>
        <v>1</v>
      </c>
      <c r="AC43" s="1809">
        <f t="shared" si="17"/>
        <v>1</v>
      </c>
    </row>
    <row r="44" spans="1:29" s="117" customFormat="1" ht="15">
      <c r="A44" s="473"/>
      <c r="B44" s="1385">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6"/>
      <c r="L44" s="1131"/>
      <c r="M44" s="1132"/>
      <c r="N44" s="1132"/>
      <c r="O44" s="1132"/>
      <c r="P44" s="3242"/>
      <c r="Q44" s="1793">
        <f t="shared" si="11"/>
        <v>111</v>
      </c>
      <c r="R44" s="769" t="s">
        <v>21</v>
      </c>
      <c r="S44" s="770">
        <f t="shared" si="12"/>
        <v>100</v>
      </c>
      <c r="T44" s="769" t="s">
        <v>21</v>
      </c>
      <c r="U44" s="770">
        <f t="shared" si="13"/>
        <v>100</v>
      </c>
      <c r="V44" s="769" t="s">
        <v>21</v>
      </c>
      <c r="W44" s="770">
        <f t="shared" si="14"/>
        <v>100</v>
      </c>
      <c r="X44" s="771"/>
      <c r="Y44" s="3244"/>
      <c r="Z44" s="55">
        <f t="shared" si="18"/>
        <v>111</v>
      </c>
      <c r="AA44" s="772">
        <f t="shared" si="15"/>
        <v>1</v>
      </c>
      <c r="AB44" s="772">
        <f t="shared" si="16"/>
        <v>1</v>
      </c>
      <c r="AC44" s="772">
        <f t="shared" si="17"/>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6"/>
      <c r="L45" s="1139"/>
      <c r="M45" s="1130"/>
      <c r="N45" s="1130"/>
      <c r="O45" s="1130"/>
      <c r="P45" s="3242"/>
      <c r="Q45" s="1808">
        <f t="shared" si="11"/>
        <v>111</v>
      </c>
      <c r="R45" s="773" t="s">
        <v>21</v>
      </c>
      <c r="S45" s="774">
        <f t="shared" si="12"/>
        <v>100</v>
      </c>
      <c r="T45" s="773" t="s">
        <v>21</v>
      </c>
      <c r="U45" s="774">
        <f t="shared" si="13"/>
        <v>100</v>
      </c>
      <c r="V45" s="773" t="s">
        <v>21</v>
      </c>
      <c r="W45" s="774">
        <f t="shared" si="14"/>
        <v>100</v>
      </c>
      <c r="X45" s="1811"/>
      <c r="Y45" s="3244"/>
      <c r="Z45" s="1812">
        <f t="shared" si="18"/>
        <v>111</v>
      </c>
      <c r="AA45" s="1809">
        <f t="shared" si="15"/>
        <v>1</v>
      </c>
      <c r="AB45" s="1809">
        <f t="shared" si="16"/>
        <v>1</v>
      </c>
      <c r="AC45" s="1809">
        <f t="shared" si="17"/>
        <v>1</v>
      </c>
    </row>
    <row r="46" spans="1:29" ht="15.75" thickBot="1">
      <c r="A46" s="478"/>
      <c r="B46" s="2597">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6"/>
      <c r="L46" s="1139"/>
      <c r="M46" s="1130"/>
      <c r="N46" s="1130"/>
      <c r="O46" s="1130"/>
      <c r="P46" s="3243"/>
      <c r="Q46" s="1808">
        <f t="shared" si="11"/>
        <v>111</v>
      </c>
      <c r="R46" s="773" t="s">
        <v>20</v>
      </c>
      <c r="S46" s="774">
        <f t="shared" si="12"/>
        <v>100</v>
      </c>
      <c r="T46" s="773" t="s">
        <v>20</v>
      </c>
      <c r="U46" s="774">
        <f t="shared" si="13"/>
        <v>100</v>
      </c>
      <c r="V46" s="773" t="s">
        <v>20</v>
      </c>
      <c r="W46" s="774">
        <f t="shared" si="14"/>
        <v>100</v>
      </c>
      <c r="X46" s="1811"/>
      <c r="Y46" s="3245"/>
      <c r="Z46" s="1812">
        <f t="shared" si="18"/>
        <v>111</v>
      </c>
      <c r="AA46" s="1809">
        <f t="shared" si="15"/>
        <v>1</v>
      </c>
      <c r="AB46" s="1809">
        <f t="shared" si="16"/>
        <v>1</v>
      </c>
      <c r="AC46" s="1809">
        <f t="shared" si="17"/>
        <v>1</v>
      </c>
    </row>
    <row r="47" spans="1:29" ht="15">
      <c r="A47" s="479" t="s">
        <v>2565</v>
      </c>
      <c r="B47" s="480"/>
      <c r="C47" s="1406" t="s">
        <v>19</v>
      </c>
      <c r="D47" s="1407"/>
      <c r="E47" s="1408"/>
      <c r="F47" s="1409"/>
      <c r="G47" s="1410"/>
      <c r="H47" s="1411"/>
      <c r="I47" s="1408"/>
      <c r="J47" s="1411"/>
      <c r="K47" s="2616"/>
      <c r="L47" s="1142"/>
      <c r="M47" s="1143"/>
      <c r="N47" s="1130"/>
      <c r="O47" s="1143"/>
      <c r="P47" s="3246" t="str">
        <f>A47</f>
        <v>成交单价（元/平方米）</v>
      </c>
      <c r="Q47" s="3246"/>
      <c r="R47" s="3247">
        <f>E47</f>
        <v>0</v>
      </c>
      <c r="S47" s="3247"/>
      <c r="T47" s="3247">
        <f>G47</f>
        <v>0</v>
      </c>
      <c r="U47" s="3247"/>
      <c r="V47" s="3247">
        <f>I47</f>
        <v>0</v>
      </c>
      <c r="W47" s="3247"/>
      <c r="X47" s="758"/>
      <c r="Y47" s="780"/>
      <c r="Z47" s="758"/>
      <c r="AA47" s="758"/>
      <c r="AB47" s="758"/>
      <c r="AC47" s="758"/>
    </row>
    <row r="48" spans="1:29" ht="15.75" thickBot="1">
      <c r="A48" s="486" t="s">
        <v>2566</v>
      </c>
      <c r="B48" s="487"/>
      <c r="C48" s="1412" t="e">
        <f>R49</f>
        <v>#DIV/0!</v>
      </c>
      <c r="D48" s="1413"/>
      <c r="E48" s="1414" t="e">
        <f>R48</f>
        <v>#DIV/0!</v>
      </c>
      <c r="F48" s="1414"/>
      <c r="G48" s="1412" t="e">
        <f>T48</f>
        <v>#DIV/0!</v>
      </c>
      <c r="H48" s="1413"/>
      <c r="I48" s="1414" t="e">
        <f>V48</f>
        <v>#DIV/0!</v>
      </c>
      <c r="J48" s="1413"/>
      <c r="K48" s="2617"/>
      <c r="L48" s="1142"/>
      <c r="M48" s="1143"/>
      <c r="N48" s="1143"/>
      <c r="O48" s="1143"/>
      <c r="P48" s="3246" t="str">
        <f>A48</f>
        <v>比较价值（元/平方米）</v>
      </c>
      <c r="Q48" s="3246"/>
      <c r="R48" s="3247" t="e">
        <f>IF(F1="售价",ROUND(PRODUCT(R47,AA7:AA46),0),ROUND(PRODUCT(R47,AA7:AA46),1))</f>
        <v>#DIV/0!</v>
      </c>
      <c r="S48" s="3247"/>
      <c r="T48" s="3247" t="e">
        <f>IF(F1="售价",ROUND(PRODUCT(T47,AB7:AB46),0),ROUND(PRODUCT(T47,AB7:AB46),1))</f>
        <v>#DIV/0!</v>
      </c>
      <c r="U48" s="3247"/>
      <c r="V48" s="3247" t="e">
        <f>IF(F1="售价",ROUND(PRODUCT(V47,AC7:AC46),0),ROUND(PRODUCT(V47,AC7:AC46),1))</f>
        <v>#DIV/0!</v>
      </c>
      <c r="W48" s="3247"/>
      <c r="X48" s="758"/>
      <c r="Y48" s="758"/>
      <c r="Z48" s="758"/>
      <c r="AA48" s="758"/>
      <c r="AB48" s="758"/>
      <c r="AC48" s="758"/>
    </row>
    <row r="49" spans="1:29" ht="15.75" thickBot="1">
      <c r="A49" s="492" t="s">
        <v>2567</v>
      </c>
      <c r="B49" s="493"/>
      <c r="C49" s="1415" t="e">
        <f>R49</f>
        <v>#DIV/0!</v>
      </c>
      <c r="D49" s="1416"/>
      <c r="E49" s="1416"/>
      <c r="F49" s="1416"/>
      <c r="G49" s="1416"/>
      <c r="H49" s="1416"/>
      <c r="I49" s="1416"/>
      <c r="J49" s="1416"/>
      <c r="K49" s="2618"/>
      <c r="L49" s="1142"/>
      <c r="M49" s="1143"/>
      <c r="N49" s="1143"/>
      <c r="O49" s="1143"/>
      <c r="P49" s="3248" t="str">
        <f>A49</f>
        <v>估价对象XX用房的比较价值（楼面单价，元/平方米）</v>
      </c>
      <c r="Q49" s="3249"/>
      <c r="R49" s="3250" t="e">
        <f>IF(F1="售价",ROUND(AVERAGE(R48:V48),0),ROUND(AVERAGE(R48:V48),1))</f>
        <v>#DIV/0!</v>
      </c>
      <c r="S49" s="3250"/>
      <c r="T49" s="3250"/>
      <c r="U49" s="3250"/>
      <c r="V49" s="3250"/>
      <c r="W49" s="3250"/>
      <c r="X49" s="758"/>
      <c r="Y49" s="758"/>
      <c r="Z49" s="758"/>
      <c r="AA49" s="758"/>
      <c r="AB49" s="758"/>
      <c r="AC49" s="758"/>
    </row>
    <row r="50" spans="1:29">
      <c r="A50" s="1143"/>
      <c r="B50" s="1143"/>
      <c r="C50" s="1143"/>
      <c r="D50" s="1143"/>
      <c r="E50" s="1143"/>
      <c r="F50" s="1143"/>
      <c r="G50" s="1146"/>
      <c r="H50" s="1143"/>
      <c r="I50" s="1143"/>
      <c r="J50" s="1143"/>
      <c r="K50" s="1105"/>
      <c r="L50" s="1106"/>
      <c r="M50" s="1143"/>
      <c r="N50" s="1143"/>
      <c r="O50" s="1143"/>
    </row>
    <row r="51" spans="1:29">
      <c r="A51" s="1143"/>
      <c r="B51" s="1143"/>
      <c r="C51" s="1143"/>
      <c r="D51" s="1143"/>
      <c r="E51" s="1143"/>
      <c r="F51" s="1143"/>
      <c r="G51" s="1143"/>
      <c r="H51" s="1143"/>
      <c r="I51" s="1143"/>
      <c r="J51" s="1143"/>
      <c r="K51" s="1105"/>
      <c r="L51" s="1106"/>
      <c r="M51" s="1143"/>
      <c r="N51" s="1143"/>
      <c r="O51" s="1143"/>
    </row>
    <row r="52" spans="1:29" ht="13.5" customHeight="1">
      <c r="A52" s="1143"/>
      <c r="B52" s="1143"/>
      <c r="C52" s="497" t="s">
        <v>2568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3"/>
      <c r="N52" s="1143"/>
      <c r="O52" s="1143"/>
    </row>
    <row r="53" spans="1:29" ht="13.5" customHeight="1">
      <c r="A53" s="1143"/>
      <c r="B53" s="1143"/>
      <c r="C53" s="497" t="s">
        <v>2569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3"/>
      <c r="N53" s="1143"/>
      <c r="O53" s="1143"/>
    </row>
    <row r="54" spans="1:29" s="502" customFormat="1" ht="13.5" customHeight="1">
      <c r="A54" s="1144"/>
      <c r="B54" s="1144"/>
      <c r="C54" s="497" t="s">
        <v>2570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20"/>
    </row>
    <row r="55" spans="1:29" s="502" customFormat="1">
      <c r="A55" s="1144"/>
      <c r="B55" s="1145"/>
      <c r="C55" s="1149"/>
      <c r="D55" s="1144"/>
      <c r="E55" s="1144"/>
      <c r="F55" s="1144"/>
      <c r="G55" s="1144"/>
      <c r="H55" s="1144"/>
      <c r="I55" s="1144"/>
      <c r="J55" s="1144"/>
      <c r="K55" s="1147"/>
      <c r="L55" s="1148"/>
      <c r="M55" s="1144"/>
      <c r="N55" s="1144"/>
      <c r="O55" s="1144"/>
      <c r="P55" s="2620"/>
    </row>
    <row r="56" spans="1:29">
      <c r="A56" s="1143"/>
      <c r="B56" s="1145"/>
      <c r="C56" s="1149"/>
      <c r="D56" s="1143"/>
      <c r="E56" s="1143"/>
      <c r="F56" s="1143"/>
      <c r="G56" s="1143"/>
      <c r="H56" s="1143"/>
      <c r="I56" s="1143"/>
      <c r="J56" s="1143"/>
      <c r="K56" s="1105"/>
      <c r="L56" s="1106"/>
      <c r="M56" s="1143"/>
      <c r="N56" s="1143"/>
      <c r="O56" s="1143"/>
    </row>
    <row r="57" spans="1:29" ht="21.75" thickBot="1">
      <c r="A57" s="762" t="s">
        <v>2571</v>
      </c>
      <c r="B57" s="758"/>
      <c r="C57" s="763"/>
      <c r="D57" s="763"/>
      <c r="E57" s="763"/>
      <c r="F57" s="764"/>
      <c r="G57" s="764"/>
      <c r="H57" s="763"/>
      <c r="I57" s="763"/>
      <c r="J57" s="763"/>
      <c r="K57" s="1159"/>
      <c r="L57" s="1160"/>
      <c r="M57" s="1158"/>
      <c r="N57" s="1158"/>
      <c r="O57" s="1158"/>
      <c r="P57" s="2621"/>
      <c r="Q57" s="504"/>
    </row>
    <row r="58" spans="1:29" s="508" customFormat="1" ht="15">
      <c r="A58" s="505" t="s">
        <v>2572</v>
      </c>
      <c r="B58" s="506"/>
      <c r="C58" s="1575" t="str">
        <f>YEAR(C7)&amp;"-"&amp;MONTH(C7)</f>
        <v>2018-2</v>
      </c>
      <c r="D58" s="1574">
        <f>EDATE(C58,-1)</f>
        <v>43101</v>
      </c>
      <c r="E58" s="1574">
        <f>EDATE(D58,-1)</f>
        <v>43070</v>
      </c>
      <c r="F58" s="1574">
        <f t="shared" ref="F58:O58" si="19">EDATE(E58,-1)</f>
        <v>43040</v>
      </c>
      <c r="G58" s="1574">
        <f t="shared" si="19"/>
        <v>43009</v>
      </c>
      <c r="H58" s="1574">
        <f t="shared" si="19"/>
        <v>42979</v>
      </c>
      <c r="I58" s="1574">
        <f t="shared" si="19"/>
        <v>42948</v>
      </c>
      <c r="J58" s="1574">
        <f t="shared" si="19"/>
        <v>42917</v>
      </c>
      <c r="K58" s="1574">
        <f t="shared" si="19"/>
        <v>42887</v>
      </c>
      <c r="L58" s="1574">
        <f t="shared" si="19"/>
        <v>42856</v>
      </c>
      <c r="M58" s="1574">
        <f t="shared" si="19"/>
        <v>42826</v>
      </c>
      <c r="N58" s="1574">
        <f t="shared" si="19"/>
        <v>42795</v>
      </c>
      <c r="O58" s="1574">
        <f t="shared" si="19"/>
        <v>42767</v>
      </c>
      <c r="P58" s="1569"/>
    </row>
    <row r="59" spans="1:29" s="117" customFormat="1" ht="15">
      <c r="A59" s="509"/>
      <c r="B59" s="2622"/>
      <c r="C59" s="1572">
        <v>100</v>
      </c>
      <c r="D59" s="511"/>
      <c r="E59" s="512"/>
      <c r="F59" s="512"/>
      <c r="G59" s="512"/>
      <c r="H59" s="512"/>
      <c r="I59" s="512"/>
      <c r="J59" s="512"/>
      <c r="K59" s="512"/>
      <c r="L59" s="512"/>
      <c r="M59" s="513"/>
      <c r="N59" s="512"/>
      <c r="O59" s="513"/>
      <c r="P59" s="2623"/>
    </row>
    <row r="60" spans="1:29" s="117" customFormat="1" ht="15.75" thickBot="1">
      <c r="A60" s="515" t="s">
        <v>2573</v>
      </c>
      <c r="B60" s="516"/>
      <c r="C60" s="517"/>
      <c r="D60" s="518"/>
      <c r="E60" s="518"/>
      <c r="F60" s="518"/>
      <c r="G60" s="518"/>
      <c r="H60" s="518"/>
      <c r="I60" s="518"/>
      <c r="J60" s="518"/>
      <c r="K60" s="518"/>
      <c r="L60" s="518"/>
      <c r="M60" s="519"/>
      <c r="N60" s="518"/>
      <c r="O60" s="519"/>
      <c r="P60" s="2623"/>
      <c r="Q60" s="504"/>
    </row>
    <row r="61" spans="1:29" s="117" customFormat="1" ht="15">
      <c r="A61" s="521" t="s">
        <v>2574</v>
      </c>
      <c r="B61" s="510"/>
      <c r="C61" s="522" t="s">
        <v>2575</v>
      </c>
      <c r="D61" s="523"/>
      <c r="E61" s="523"/>
      <c r="F61" s="523"/>
      <c r="G61" s="523"/>
      <c r="H61" s="523"/>
      <c r="I61" s="523"/>
      <c r="J61" s="523"/>
      <c r="K61" s="523"/>
      <c r="L61" s="524"/>
      <c r="M61" s="525"/>
      <c r="N61" s="1150"/>
      <c r="O61" s="1150"/>
      <c r="P61" s="2624"/>
      <c r="Q61" s="504"/>
    </row>
    <row r="62" spans="1:29" s="117" customFormat="1" ht="15.75" thickBot="1">
      <c r="A62" s="521"/>
      <c r="B62" s="510"/>
      <c r="C62" s="511">
        <v>100</v>
      </c>
      <c r="D62" s="512"/>
      <c r="E62" s="512"/>
      <c r="F62" s="512"/>
      <c r="G62" s="512"/>
      <c r="H62" s="512"/>
      <c r="I62" s="512"/>
      <c r="J62" s="512"/>
      <c r="K62" s="512"/>
      <c r="L62" s="512"/>
      <c r="M62" s="514"/>
      <c r="N62" s="1150"/>
      <c r="O62" s="1150"/>
      <c r="P62" s="2623"/>
      <c r="Q62" s="504"/>
    </row>
    <row r="63" spans="1:29">
      <c r="A63" s="527" t="s">
        <v>2576</v>
      </c>
      <c r="B63" s="528" t="s">
        <v>2542</v>
      </c>
      <c r="C63" s="529">
        <f>C9</f>
        <v>0</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1"/>
      <c r="O65" s="1151"/>
      <c r="P65" s="2625"/>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2"/>
      <c r="O66" s="1152"/>
      <c r="P66" s="2625"/>
      <c r="Q66" s="504"/>
    </row>
    <row r="67" spans="1:17" ht="15.75" thickTop="1">
      <c r="A67" s="534"/>
      <c r="B67" s="546" t="s">
        <v>2546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2"/>
      <c r="O67" s="1152"/>
      <c r="P67" s="2625"/>
      <c r="Q67" s="504"/>
    </row>
    <row r="68" spans="1:17" ht="15">
      <c r="A68" s="534"/>
      <c r="B68" s="548"/>
      <c r="C68" s="549"/>
      <c r="D68" s="549"/>
      <c r="E68" s="549"/>
      <c r="F68" s="549"/>
      <c r="G68" s="549"/>
      <c r="H68" s="549"/>
      <c r="I68" s="549"/>
      <c r="J68" s="549"/>
      <c r="K68" s="550"/>
      <c r="L68" s="551"/>
      <c r="M68" s="552"/>
      <c r="N68" s="1151"/>
      <c r="O68" s="1151"/>
      <c r="P68" s="2625"/>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60"/>
      <c r="E73" s="560"/>
      <c r="F73" s="560"/>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1"/>
      <c r="O76" s="1151"/>
      <c r="P76" s="262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25"/>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1"/>
      <c r="O78" s="1151"/>
      <c r="P78" s="262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25"/>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1"/>
      <c r="O80" s="1151"/>
      <c r="P80" s="262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25"/>
      <c r="Q81" s="504"/>
    </row>
    <row r="82" spans="1:17" ht="15.75" thickTop="1">
      <c r="A82" s="534"/>
      <c r="B82" s="546" t="s">
        <v>2091</v>
      </c>
      <c r="C82" s="539" t="s">
        <v>2592</v>
      </c>
      <c r="D82" s="539" t="s">
        <v>2593</v>
      </c>
      <c r="E82" s="539" t="s">
        <v>2594</v>
      </c>
      <c r="F82" s="539" t="s">
        <v>2595</v>
      </c>
      <c r="G82" s="539" t="s">
        <v>2596</v>
      </c>
      <c r="H82" s="539"/>
      <c r="I82" s="539"/>
      <c r="J82" s="539"/>
      <c r="K82" s="539"/>
      <c r="L82" s="539"/>
      <c r="M82" s="1381"/>
      <c r="N82" s="1152"/>
      <c r="O82" s="1152"/>
      <c r="P82" s="2625"/>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2"/>
      <c r="O83" s="1152"/>
      <c r="P83" s="2625"/>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1"/>
      <c r="O84" s="1151"/>
      <c r="P84" s="262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25"/>
      <c r="Q85" s="504"/>
    </row>
    <row r="86" spans="1:17" s="117" customFormat="1" ht="15.75" thickTop="1">
      <c r="A86" s="579"/>
      <c r="B86" s="538" t="s">
        <v>2598</v>
      </c>
      <c r="C86" s="554"/>
      <c r="D86" s="554"/>
      <c r="E86" s="554"/>
      <c r="F86" s="554"/>
      <c r="G86" s="554"/>
      <c r="H86" s="554"/>
      <c r="I86" s="554"/>
      <c r="J86" s="554"/>
      <c r="K86" s="554"/>
      <c r="L86" s="580"/>
      <c r="M86" s="581"/>
      <c r="N86" s="1150"/>
      <c r="O86" s="1150"/>
      <c r="P86" s="2625"/>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2"/>
      <c r="O87" s="1152"/>
      <c r="P87" s="2625"/>
      <c r="Q87" s="504"/>
    </row>
    <row r="88" spans="1:17" s="117" customFormat="1" ht="15.75" thickTop="1">
      <c r="A88" s="579"/>
      <c r="B88" s="538" t="s">
        <v>2599</v>
      </c>
      <c r="C88" s="554"/>
      <c r="D88" s="554"/>
      <c r="E88" s="554"/>
      <c r="F88" s="2630"/>
      <c r="G88" s="554"/>
      <c r="H88" s="554"/>
      <c r="I88" s="554"/>
      <c r="J88" s="554"/>
      <c r="K88" s="554"/>
      <c r="L88" s="554"/>
      <c r="M88" s="581"/>
      <c r="N88" s="1150"/>
      <c r="O88" s="1150"/>
      <c r="P88" s="2625"/>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2"/>
      <c r="O89" s="1152"/>
      <c r="P89" s="2625"/>
      <c r="Q89" s="504"/>
    </row>
    <row r="90" spans="1:17" s="471" customFormat="1" ht="15.75" thickTop="1">
      <c r="A90" s="553"/>
      <c r="B90" s="538">
        <f>B27</f>
        <v>111</v>
      </c>
      <c r="C90" s="554"/>
      <c r="D90" s="554"/>
      <c r="E90" s="554"/>
      <c r="F90" s="554"/>
      <c r="G90" s="554"/>
      <c r="H90" s="555"/>
      <c r="I90" s="555"/>
      <c r="J90" s="555"/>
      <c r="K90" s="555"/>
      <c r="L90" s="556"/>
      <c r="M90" s="557"/>
      <c r="N90" s="1153"/>
      <c r="O90" s="1153"/>
      <c r="P90" s="2626"/>
      <c r="Q90" s="559"/>
    </row>
    <row r="91" spans="1:17" s="471" customFormat="1" ht="15.75" thickBot="1">
      <c r="A91" s="553"/>
      <c r="B91" s="543"/>
      <c r="C91" s="560"/>
      <c r="D91" s="560"/>
      <c r="E91" s="560"/>
      <c r="F91" s="560"/>
      <c r="G91" s="560"/>
      <c r="H91" s="562"/>
      <c r="I91" s="562"/>
      <c r="J91" s="562"/>
      <c r="K91" s="562"/>
      <c r="L91" s="562"/>
      <c r="M91" s="563"/>
      <c r="N91" s="1153"/>
      <c r="O91" s="1153"/>
      <c r="P91" s="2626"/>
      <c r="Q91" s="559"/>
    </row>
    <row r="92" spans="1:17" ht="15.75" thickTop="1">
      <c r="A92" s="534"/>
      <c r="B92" s="538">
        <f>B28</f>
        <v>111</v>
      </c>
      <c r="C92" s="554"/>
      <c r="D92" s="554"/>
      <c r="E92" s="554"/>
      <c r="F92" s="554"/>
      <c r="G92" s="583"/>
      <c r="H92" s="583"/>
      <c r="I92" s="583"/>
      <c r="J92" s="583"/>
      <c r="K92" s="584"/>
      <c r="L92" s="585"/>
      <c r="M92" s="586"/>
      <c r="N92" s="1151"/>
      <c r="O92" s="1151"/>
      <c r="P92" s="2625"/>
      <c r="Q92" s="504"/>
    </row>
    <row r="93" spans="1:17" ht="15.75" thickBot="1">
      <c r="A93" s="534"/>
      <c r="B93" s="543"/>
      <c r="C93" s="560"/>
      <c r="D93" s="536"/>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60"/>
      <c r="E95" s="560"/>
      <c r="F95" s="560"/>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70"/>
      <c r="D97" s="570"/>
      <c r="E97" s="570"/>
      <c r="F97" s="570"/>
      <c r="G97" s="536"/>
      <c r="H97" s="536"/>
      <c r="I97" s="536"/>
      <c r="J97" s="536"/>
      <c r="K97" s="536"/>
      <c r="L97" s="536"/>
      <c r="M97" s="537"/>
      <c r="N97" s="1152"/>
      <c r="O97" s="1152"/>
      <c r="P97" s="2625"/>
      <c r="Q97" s="504"/>
    </row>
    <row r="98" spans="1:17" ht="15.75" thickTop="1">
      <c r="A98" s="534"/>
      <c r="B98" s="546">
        <f>B31</f>
        <v>111</v>
      </c>
      <c r="C98" s="587"/>
      <c r="D98" s="587"/>
      <c r="E98" s="587"/>
      <c r="F98" s="587"/>
      <c r="G98" s="587"/>
      <c r="H98" s="587"/>
      <c r="I98" s="587"/>
      <c r="J98" s="587"/>
      <c r="K98" s="588"/>
      <c r="L98" s="589"/>
      <c r="M98" s="590"/>
      <c r="N98" s="1151"/>
      <c r="O98" s="1151"/>
      <c r="P98" s="2625"/>
      <c r="Q98" s="504"/>
    </row>
    <row r="99" spans="1:17" ht="15.75" thickBot="1">
      <c r="A99" s="2631"/>
      <c r="B99" s="569"/>
      <c r="C99" s="591"/>
      <c r="D99" s="591"/>
      <c r="E99" s="591"/>
      <c r="F99" s="591"/>
      <c r="G99" s="591"/>
      <c r="H99" s="591"/>
      <c r="I99" s="591"/>
      <c r="J99" s="591"/>
      <c r="K99" s="591"/>
      <c r="L99" s="591"/>
      <c r="M99" s="592"/>
      <c r="N99" s="1152"/>
      <c r="O99" s="1152"/>
      <c r="P99" s="2625"/>
      <c r="Q99" s="504"/>
    </row>
    <row r="100" spans="1:17">
      <c r="A100" s="527" t="s">
        <v>2551</v>
      </c>
      <c r="B100" s="528" t="s">
        <v>2600</v>
      </c>
      <c r="C100" s="530"/>
      <c r="D100" s="530"/>
      <c r="E100" s="530"/>
      <c r="F100" s="530"/>
      <c r="G100" s="530"/>
      <c r="H100" s="530"/>
      <c r="I100" s="530"/>
      <c r="J100" s="530"/>
      <c r="K100" s="531"/>
      <c r="L100" s="532"/>
      <c r="M100" s="533"/>
      <c r="N100" s="1151"/>
      <c r="O100" s="1151"/>
      <c r="P100" s="2625"/>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2"/>
      <c r="O101" s="1152"/>
      <c r="P101" s="2625"/>
      <c r="Q101" s="504"/>
    </row>
    <row r="102" spans="1:17" ht="15.75" thickTop="1">
      <c r="A102" s="534"/>
      <c r="B102" s="538" t="s">
        <v>2601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0"/>
      <c r="O102" s="1150"/>
      <c r="P102" s="2625"/>
      <c r="Q102" s="504"/>
    </row>
    <row r="103" spans="1:17" s="471" customFormat="1">
      <c r="A103" s="593"/>
      <c r="B103" s="594"/>
      <c r="C103" s="595"/>
      <c r="D103" s="595"/>
      <c r="E103" s="595"/>
      <c r="F103" s="595"/>
      <c r="G103" s="595"/>
      <c r="H103" s="595"/>
      <c r="I103" s="595"/>
      <c r="J103" s="596"/>
      <c r="K103" s="596"/>
      <c r="L103" s="597"/>
      <c r="M103" s="598"/>
      <c r="N103" s="1153"/>
      <c r="O103" s="1153"/>
      <c r="P103" s="2626"/>
      <c r="Q103" s="559"/>
    </row>
    <row r="104" spans="1:17" s="471" customFormat="1" ht="15.75" thickBot="1">
      <c r="A104" s="553"/>
      <c r="B104" s="543"/>
      <c r="C104" s="560"/>
      <c r="D104" s="536"/>
      <c r="E104" s="536"/>
      <c r="F104" s="536"/>
      <c r="G104" s="536"/>
      <c r="H104" s="536"/>
      <c r="I104" s="536"/>
      <c r="J104" s="536"/>
      <c r="K104" s="536"/>
      <c r="L104" s="536"/>
      <c r="M104" s="536"/>
      <c r="N104" s="1152"/>
      <c r="O104" s="1152"/>
      <c r="P104" s="2626"/>
      <c r="Q104" s="559"/>
    </row>
    <row r="105" spans="1:17" ht="15" thickTop="1">
      <c r="A105" s="599"/>
      <c r="B105" s="538" t="s">
        <v>2602</v>
      </c>
      <c r="C105" s="554"/>
      <c r="D105" s="554"/>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2"/>
      <c r="O106" s="1152"/>
      <c r="P106" s="2625"/>
      <c r="Q106" s="504"/>
    </row>
    <row r="107" spans="1:17" ht="15" thickTop="1">
      <c r="A107" s="599"/>
      <c r="B107" s="538" t="s">
        <v>2603</v>
      </c>
      <c r="C107" s="583"/>
      <c r="D107" s="583"/>
      <c r="E107" s="583"/>
      <c r="F107" s="583"/>
      <c r="G107" s="583"/>
      <c r="H107" s="583"/>
      <c r="I107" s="583"/>
      <c r="J107" s="583"/>
      <c r="K107" s="584"/>
      <c r="L107" s="585"/>
      <c r="M107" s="586"/>
      <c r="N107" s="1151"/>
      <c r="O107" s="1151"/>
      <c r="P107" s="2625"/>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2"/>
      <c r="O108" s="1152"/>
      <c r="P108" s="2625"/>
      <c r="Q108" s="504"/>
    </row>
    <row r="109" spans="1:17" ht="15" thickTop="1">
      <c r="A109" s="599"/>
      <c r="B109" s="538" t="s">
        <v>2604</v>
      </c>
      <c r="C109" s="554"/>
      <c r="D109" s="554"/>
      <c r="E109" s="554"/>
      <c r="F109" s="583"/>
      <c r="G109" s="583"/>
      <c r="H109" s="583"/>
      <c r="I109" s="583"/>
      <c r="J109" s="583"/>
      <c r="K109" s="584"/>
      <c r="L109" s="585"/>
      <c r="M109" s="586"/>
      <c r="N109" s="1151"/>
      <c r="O109" s="1151"/>
      <c r="P109" s="2625"/>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2"/>
      <c r="O110" s="1152"/>
      <c r="P110" s="2625"/>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3"/>
      <c r="O111" s="1153"/>
      <c r="P111" s="2626"/>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3"/>
      <c r="O112" s="1153"/>
      <c r="P112" s="2626"/>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3"/>
      <c r="O113" s="1153"/>
      <c r="P113" s="2626"/>
      <c r="Q113" s="559"/>
    </row>
    <row r="114" spans="1:17" ht="15" thickTop="1">
      <c r="A114" s="599"/>
      <c r="B114" s="538" t="s">
        <v>2605</v>
      </c>
      <c r="C114" s="554"/>
      <c r="D114" s="554"/>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2"/>
      <c r="O115" s="1152"/>
      <c r="P115" s="2625"/>
      <c r="Q115" s="504"/>
    </row>
    <row r="116" spans="1:17" ht="15" thickTop="1">
      <c r="A116" s="599"/>
      <c r="B116" s="538" t="s">
        <v>2606</v>
      </c>
      <c r="C116" s="554"/>
      <c r="D116" s="554"/>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25"/>
      <c r="Q117" s="504"/>
    </row>
    <row r="118" spans="1:17" ht="15" thickTop="1">
      <c r="A118" s="599"/>
      <c r="B118" s="538" t="s">
        <v>2607</v>
      </c>
      <c r="C118" s="583"/>
      <c r="D118" s="583"/>
      <c r="E118" s="583"/>
      <c r="F118" s="583"/>
      <c r="G118" s="583"/>
      <c r="H118" s="583"/>
      <c r="I118" s="583"/>
      <c r="J118" s="583"/>
      <c r="K118" s="584"/>
      <c r="L118" s="585"/>
      <c r="M118" s="586"/>
      <c r="N118" s="1151"/>
      <c r="O118" s="1151"/>
      <c r="P118" s="2625"/>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2"/>
      <c r="O119" s="1152"/>
      <c r="P119" s="2625"/>
      <c r="Q119" s="504"/>
    </row>
    <row r="120" spans="1:17" s="471" customFormat="1" ht="28.5" thickTop="1">
      <c r="A120" s="593"/>
      <c r="B120" s="538" t="s">
        <v>2562</v>
      </c>
      <c r="C120" s="554"/>
      <c r="D120" s="554"/>
      <c r="E120" s="554"/>
      <c r="F120" s="554"/>
      <c r="G120" s="554"/>
      <c r="H120" s="554"/>
      <c r="I120" s="554"/>
      <c r="J120" s="554"/>
      <c r="K120" s="554"/>
      <c r="L120" s="580"/>
      <c r="M120" s="581"/>
      <c r="N120" s="1153"/>
      <c r="O120" s="1153"/>
      <c r="P120" s="2626"/>
      <c r="Q120" s="559"/>
    </row>
    <row r="121" spans="1:17" s="471" customFormat="1" ht="15.75" thickBot="1">
      <c r="A121" s="553"/>
      <c r="B121" s="535"/>
      <c r="C121" s="560"/>
      <c r="D121" s="536"/>
      <c r="E121" s="536"/>
      <c r="F121" s="536"/>
      <c r="G121" s="536"/>
      <c r="H121" s="536"/>
      <c r="I121" s="536"/>
      <c r="J121" s="536"/>
      <c r="K121" s="536"/>
      <c r="L121" s="536"/>
      <c r="M121" s="536"/>
      <c r="N121" s="1153"/>
      <c r="O121" s="1153"/>
      <c r="P121" s="2626"/>
      <c r="Q121" s="559"/>
    </row>
    <row r="122" spans="1:17" ht="15" thickTop="1">
      <c r="A122" s="599"/>
      <c r="B122" s="538" t="s">
        <v>2608</v>
      </c>
      <c r="C122" s="554"/>
      <c r="D122" s="554"/>
      <c r="E122" s="554"/>
      <c r="F122" s="583"/>
      <c r="G122" s="583"/>
      <c r="H122" s="583"/>
      <c r="I122" s="583"/>
      <c r="J122" s="583"/>
      <c r="K122" s="584"/>
      <c r="L122" s="585"/>
      <c r="M122" s="586"/>
      <c r="N122" s="1151"/>
      <c r="O122" s="1151"/>
      <c r="P122" s="2625"/>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2"/>
      <c r="O123" s="1152"/>
      <c r="P123" s="2625"/>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1"/>
      <c r="O124" s="1151"/>
      <c r="P124" s="262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60"/>
      <c r="E129" s="560"/>
      <c r="F129" s="560"/>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row r="136" spans="1:17" ht="15" thickBot="1">
      <c r="B136" s="2632" t="s">
        <v>2610</v>
      </c>
    </row>
    <row r="137" spans="1:17" ht="15">
      <c r="B137" s="2633" t="s">
        <v>2611</v>
      </c>
      <c r="C137" s="2634"/>
      <c r="D137" s="2634"/>
      <c r="E137" s="2634"/>
      <c r="F137" s="2634"/>
      <c r="G137" s="2635"/>
      <c r="H137" s="2636"/>
      <c r="I137" s="2637" t="s">
        <v>2612</v>
      </c>
      <c r="J137" s="2634"/>
      <c r="K137" s="2638"/>
    </row>
    <row r="138" spans="1:17" ht="15">
      <c r="B138" s="2639"/>
      <c r="C138" s="146" t="s">
        <v>2613</v>
      </c>
      <c r="D138" s="146" t="s">
        <v>2614</v>
      </c>
      <c r="E138" s="2640" t="s">
        <v>2615</v>
      </c>
      <c r="F138" s="2641" t="s">
        <v>2616</v>
      </c>
      <c r="G138" s="146" t="s">
        <v>2614</v>
      </c>
      <c r="H138" s="147" t="s">
        <v>2615</v>
      </c>
      <c r="I138" s="2642"/>
      <c r="J138" s="146" t="s">
        <v>2617</v>
      </c>
      <c r="K138" s="147" t="s">
        <v>2618</v>
      </c>
    </row>
    <row r="139" spans="1:17" ht="15">
      <c r="B139" s="1084">
        <v>6</v>
      </c>
      <c r="C139" s="1085">
        <v>96</v>
      </c>
      <c r="D139" s="2643" t="s">
        <v>2619</v>
      </c>
      <c r="E139" s="1086">
        <v>100</v>
      </c>
      <c r="F139" s="1087">
        <v>102.5</v>
      </c>
      <c r="G139" s="2643" t="s">
        <v>2619</v>
      </c>
      <c r="H139" s="1088">
        <v>105</v>
      </c>
      <c r="I139" s="2644" t="s">
        <v>2620</v>
      </c>
      <c r="J139" s="1085">
        <v>20</v>
      </c>
      <c r="K139" s="1089">
        <f>C145/(J139-2)</f>
        <v>4.0555555555555553E-3</v>
      </c>
    </row>
    <row r="140" spans="1:17" ht="15">
      <c r="B140" s="1090">
        <v>5</v>
      </c>
      <c r="C140" s="1091">
        <v>100</v>
      </c>
      <c r="D140" s="1091"/>
      <c r="E140" s="1092"/>
      <c r="F140" s="1093">
        <v>102</v>
      </c>
      <c r="G140" s="1091"/>
      <c r="H140" s="1094"/>
      <c r="I140" s="2645" t="s">
        <v>2621</v>
      </c>
      <c r="J140" s="315">
        <f>ROUNDUP((J139-1)/2,0)</f>
        <v>10</v>
      </c>
      <c r="K140" s="1095">
        <v>100</v>
      </c>
    </row>
    <row r="141" spans="1:17" ht="15">
      <c r="B141" s="1090">
        <v>4</v>
      </c>
      <c r="C141" s="1091">
        <v>102</v>
      </c>
      <c r="D141" s="1091"/>
      <c r="E141" s="1092"/>
      <c r="F141" s="1093">
        <v>101.5</v>
      </c>
      <c r="G141" s="1091"/>
      <c r="H141" s="1094"/>
      <c r="I141" s="2645" t="s">
        <v>2622</v>
      </c>
      <c r="J141" s="315">
        <v>1</v>
      </c>
      <c r="K141" s="1096">
        <f>ROUND(100+(J141-J140)*K139*100,1)</f>
        <v>96.4</v>
      </c>
    </row>
    <row r="142" spans="1:17" ht="15">
      <c r="B142" s="1090">
        <v>3</v>
      </c>
      <c r="C142" s="1091">
        <v>103</v>
      </c>
      <c r="D142" s="1091"/>
      <c r="E142" s="1092"/>
      <c r="F142" s="1093">
        <v>101</v>
      </c>
      <c r="G142" s="1091"/>
      <c r="H142" s="1094"/>
      <c r="I142" s="2645" t="s">
        <v>2623</v>
      </c>
      <c r="J142" s="315">
        <f>J139</f>
        <v>20</v>
      </c>
      <c r="K142" s="1097">
        <v>95</v>
      </c>
    </row>
    <row r="143" spans="1:17" ht="15">
      <c r="B143" s="1090">
        <v>2</v>
      </c>
      <c r="C143" s="1091">
        <v>100</v>
      </c>
      <c r="D143" s="1091"/>
      <c r="E143" s="1092"/>
      <c r="F143" s="1093">
        <v>100.5</v>
      </c>
      <c r="G143" s="1091"/>
      <c r="H143" s="1094"/>
      <c r="I143" s="2645" t="s">
        <v>2624</v>
      </c>
      <c r="J143" s="1091">
        <v>15</v>
      </c>
      <c r="K143" s="1096">
        <f>ROUND(100+(J143-J140)*K139*100,1)</f>
        <v>102</v>
      </c>
    </row>
    <row r="144" spans="1:17" ht="15">
      <c r="B144" s="1090">
        <v>1</v>
      </c>
      <c r="C144" s="1091">
        <v>98</v>
      </c>
      <c r="D144" s="2646" t="s">
        <v>2625</v>
      </c>
      <c r="E144" s="1092">
        <v>102</v>
      </c>
      <c r="F144" s="1098">
        <v>100</v>
      </c>
      <c r="G144" s="2646" t="s">
        <v>2625</v>
      </c>
      <c r="H144" s="1094">
        <v>105</v>
      </c>
      <c r="I144" s="2645" t="s">
        <v>2624</v>
      </c>
      <c r="J144" s="1091">
        <v>18</v>
      </c>
      <c r="K144" s="1096">
        <f>ROUND(100+(J144-J140)*K139*100,1)</f>
        <v>103.2</v>
      </c>
    </row>
    <row r="145" spans="2:11" ht="15.75" thickBot="1">
      <c r="B145" s="2647" t="s">
        <v>2626</v>
      </c>
      <c r="C145" s="1099">
        <f>ROUND(MAX(C139:C144)/MIN(C139:C144)-1,3)</f>
        <v>7.2999999999999995E-2</v>
      </c>
      <c r="D145" s="1100"/>
      <c r="E145" s="1100"/>
      <c r="F145" s="2648" t="s">
        <v>2627</v>
      </c>
      <c r="G145" s="2649"/>
      <c r="H145" s="2650"/>
      <c r="I145" s="2651" t="s">
        <v>2624</v>
      </c>
      <c r="J145" s="1101">
        <v>8</v>
      </c>
      <c r="K145" s="1102">
        <f>ROUND(100+(J145-J140)*K139*100,1)</f>
        <v>99.2</v>
      </c>
    </row>
    <row r="147" spans="2:11">
      <c r="B147" s="2632" t="s">
        <v>2628</v>
      </c>
    </row>
    <row r="148" spans="2:11">
      <c r="B148" s="2632" t="s">
        <v>2629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2516</v>
      </c>
      <c r="B1" s="2664" t="s">
        <v>2674</v>
      </c>
      <c r="C1" s="1619" t="s">
        <v>2518</v>
      </c>
      <c r="D1" s="1620"/>
      <c r="E1" s="1629"/>
      <c r="F1" s="2579"/>
      <c r="G1" s="1630" t="s">
        <v>2631</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2315</v>
      </c>
      <c r="B2" s="1417" t="e">
        <f ca="1">IF(C2="——",ROUND(C50*D3/10000,0),ROUND(C50*D3/10000,0)-D2)</f>
        <v>#DIV/0!</v>
      </c>
      <c r="C2" s="2581"/>
      <c r="D2" s="1364" t="e">
        <f ca="1">SUMIF(INDIRECT("'"&amp;F2&amp;"'"&amp;"!A:A"),"承租人权益价值",INDIRECT("'"&amp;F2&amp;"'"&amp;"!c:c"))</f>
        <v>#REF!</v>
      </c>
      <c r="E2" s="2582" t="s">
        <v>2316</v>
      </c>
      <c r="F2" s="2583"/>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2317</v>
      </c>
      <c r="B3" s="609" t="e">
        <f ca="1">IF(C2="——",C50,ROUND(B2*10000/D3,0))</f>
        <v>#DIV/0!</v>
      </c>
      <c r="C3" s="400" t="s">
        <v>2632</v>
      </c>
      <c r="D3" s="399">
        <f>IF(D1="",'数据-汇总表'!E3,SUMIF('数据-汇总表'!$C19:$C33,D1,'数据-汇总表'!$E19:$E33))</f>
        <v>4163.47</v>
      </c>
      <c r="E3" s="2658"/>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1" t="s">
        <v>2633</v>
      </c>
      <c r="B4" s="402"/>
      <c r="C4" s="3224" t="s">
        <v>2634</v>
      </c>
      <c r="D4" s="3225"/>
      <c r="E4" s="3226" t="s">
        <v>2635</v>
      </c>
      <c r="F4" s="3227"/>
      <c r="G4" s="3224" t="s">
        <v>2636</v>
      </c>
      <c r="H4" s="3225"/>
      <c r="I4" s="3224" t="s">
        <v>2637</v>
      </c>
      <c r="J4" s="3225"/>
      <c r="K4" s="610" t="s">
        <v>2638</v>
      </c>
      <c r="L4" s="1129"/>
      <c r="M4" s="1130"/>
      <c r="N4" s="1130"/>
      <c r="O4" s="1130"/>
      <c r="P4" s="3290" t="s">
        <v>2639</v>
      </c>
      <c r="Q4" s="3291"/>
      <c r="R4" s="3285" t="s">
        <v>2635</v>
      </c>
      <c r="S4" s="3286"/>
      <c r="T4" s="3285" t="s">
        <v>2636</v>
      </c>
      <c r="U4" s="3286"/>
      <c r="V4" s="3294" t="s">
        <v>2637</v>
      </c>
      <c r="W4" s="3294"/>
      <c r="X4" s="2665"/>
      <c r="Y4" s="3285" t="s">
        <v>2639</v>
      </c>
      <c r="Z4" s="3286"/>
      <c r="AA4" s="3284" t="s">
        <v>2635</v>
      </c>
      <c r="AB4" s="3284" t="s">
        <v>2636</v>
      </c>
      <c r="AC4" s="3287" t="s">
        <v>2637</v>
      </c>
    </row>
    <row r="5" spans="1:29" ht="15">
      <c r="A5" s="404"/>
      <c r="B5" s="405"/>
      <c r="C5" s="3283" t="s">
        <v>2530</v>
      </c>
      <c r="D5" s="3218"/>
      <c r="E5" s="3282" t="s">
        <v>2531</v>
      </c>
      <c r="F5" s="3216"/>
      <c r="G5" s="3283" t="s">
        <v>2532</v>
      </c>
      <c r="H5" s="3218"/>
      <c r="I5" s="3283" t="s">
        <v>2533</v>
      </c>
      <c r="J5" s="3218"/>
      <c r="K5" s="610"/>
      <c r="L5" s="1129"/>
      <c r="M5" s="1130"/>
      <c r="N5" s="1130"/>
      <c r="O5" s="1130"/>
      <c r="P5" s="3292"/>
      <c r="Q5" s="3231"/>
      <c r="R5" s="3213"/>
      <c r="S5" s="3214"/>
      <c r="T5" s="3213"/>
      <c r="U5" s="3214"/>
      <c r="V5" s="3208"/>
      <c r="W5" s="3208"/>
      <c r="X5" s="1811"/>
      <c r="Y5" s="3213"/>
      <c r="Z5" s="3214"/>
      <c r="AA5" s="3206"/>
      <c r="AB5" s="3206"/>
      <c r="AC5" s="3288"/>
    </row>
    <row r="6" spans="1:29" ht="15.75" thickBot="1">
      <c r="A6" s="406"/>
      <c r="B6" s="407"/>
      <c r="C6" s="3219" t="s">
        <v>2534</v>
      </c>
      <c r="D6" s="3220"/>
      <c r="E6" s="3221" t="s">
        <v>2534</v>
      </c>
      <c r="F6" s="3222"/>
      <c r="G6" s="3219" t="s">
        <v>2534</v>
      </c>
      <c r="H6" s="3220"/>
      <c r="I6" s="3219" t="s">
        <v>2534</v>
      </c>
      <c r="J6" s="3220"/>
      <c r="K6" s="610" t="s">
        <v>2535</v>
      </c>
      <c r="L6" s="1129"/>
      <c r="M6" s="1130"/>
      <c r="N6" s="1130"/>
      <c r="O6" s="1130"/>
      <c r="P6" s="3293"/>
      <c r="Q6" s="3233"/>
      <c r="R6" s="3213"/>
      <c r="S6" s="3214"/>
      <c r="T6" s="3234"/>
      <c r="U6" s="3235"/>
      <c r="V6" s="3208"/>
      <c r="W6" s="3208"/>
      <c r="X6" s="1811"/>
      <c r="Y6" s="3234"/>
      <c r="Z6" s="3235"/>
      <c r="AA6" s="3207"/>
      <c r="AB6" s="3207"/>
      <c r="AC6" s="3289"/>
    </row>
    <row r="7" spans="1:29" s="117" customFormat="1" ht="15.75" thickBot="1">
      <c r="A7" s="408" t="s">
        <v>2536</v>
      </c>
      <c r="B7" s="409"/>
      <c r="C7" s="410">
        <f>'数据-取费表'!B2</f>
        <v>43132</v>
      </c>
      <c r="D7" s="411">
        <v>100</v>
      </c>
      <c r="E7" s="412"/>
      <c r="F7" s="413">
        <f>SUMIF(59:59,YEAR(E7)&amp;"-"&amp;MONTH(E7),60:60)</f>
        <v>0</v>
      </c>
      <c r="G7" s="412"/>
      <c r="H7" s="411">
        <f>SUMIF(59:59,YEAR(G7)&amp;"-"&amp;MONTH(G7),60:60)</f>
        <v>0</v>
      </c>
      <c r="I7" s="412"/>
      <c r="J7" s="411">
        <f>SUMIF(59:59,YEAR(I7)&amp;"-"&amp;MONTH(I7),60:60)</f>
        <v>0</v>
      </c>
      <c r="K7" s="611"/>
      <c r="L7" s="1131"/>
      <c r="M7" s="1132"/>
      <c r="N7" s="1132"/>
      <c r="O7" s="1132"/>
      <c r="P7" s="3295" t="s">
        <v>2537</v>
      </c>
      <c r="Q7" s="3236"/>
      <c r="R7" s="769" t="s">
        <v>17</v>
      </c>
      <c r="S7" s="770">
        <f t="shared" ref="S7:S15" si="0">F7</f>
        <v>0</v>
      </c>
      <c r="T7" s="769" t="s">
        <v>17</v>
      </c>
      <c r="U7" s="770">
        <f t="shared" ref="U7:U15" si="1">H7</f>
        <v>0</v>
      </c>
      <c r="V7" s="769" t="s">
        <v>17</v>
      </c>
      <c r="W7" s="770">
        <f t="shared" ref="W7:W15" si="2">J7</f>
        <v>0</v>
      </c>
      <c r="X7" s="771"/>
      <c r="Y7" s="3209" t="s">
        <v>2537</v>
      </c>
      <c r="Z7" s="3210"/>
      <c r="AA7" s="772" t="e">
        <f>D7/F7</f>
        <v>#DIV/0!</v>
      </c>
      <c r="AB7" s="772" t="e">
        <f>D7/H7</f>
        <v>#DIV/0!</v>
      </c>
      <c r="AC7" s="2666" t="e">
        <f>D7/J7</f>
        <v>#DIV/0!</v>
      </c>
    </row>
    <row r="8" spans="1:29" s="117" customFormat="1" ht="15.75" thickBot="1">
      <c r="A8" s="408" t="s">
        <v>2538</v>
      </c>
      <c r="B8" s="409"/>
      <c r="C8" s="414" t="s">
        <v>2640</v>
      </c>
      <c r="D8" s="411">
        <v>100</v>
      </c>
      <c r="E8" s="414"/>
      <c r="F8" s="413">
        <f>SUMIF(62:62,E8,63:63)-SUMIF(62:62,C8,63:63)+100</f>
        <v>0</v>
      </c>
      <c r="G8" s="414"/>
      <c r="H8" s="411">
        <f>SUMIF(62:62,G8,63:63)-SUMIF(62:62,C8,63:63)+100</f>
        <v>0</v>
      </c>
      <c r="I8" s="414"/>
      <c r="J8" s="411">
        <f>SUMIF(62:62,I8,63:63)-SUMIF(62:62,C8,63:63)+100</f>
        <v>0</v>
      </c>
      <c r="K8" s="611"/>
      <c r="L8" s="1131"/>
      <c r="M8" s="1132"/>
      <c r="N8" s="1132"/>
      <c r="O8" s="1132"/>
      <c r="P8" s="3295" t="s">
        <v>2540</v>
      </c>
      <c r="Q8" s="3210"/>
      <c r="R8" s="769" t="s">
        <v>17</v>
      </c>
      <c r="S8" s="770">
        <f t="shared" si="0"/>
        <v>0</v>
      </c>
      <c r="T8" s="769" t="s">
        <v>17</v>
      </c>
      <c r="U8" s="770">
        <f t="shared" si="1"/>
        <v>0</v>
      </c>
      <c r="V8" s="769" t="s">
        <v>17</v>
      </c>
      <c r="W8" s="770">
        <f t="shared" si="2"/>
        <v>0</v>
      </c>
      <c r="X8" s="771"/>
      <c r="Y8" s="3209" t="s">
        <v>2540</v>
      </c>
      <c r="Z8" s="3210"/>
      <c r="AA8" s="772" t="e">
        <f t="shared" ref="AA8:AA47" si="3">D8/F8</f>
        <v>#DIV/0!</v>
      </c>
      <c r="AB8" s="772" t="e">
        <f t="shared" ref="AB8:AB47" si="4">D8/H8</f>
        <v>#DIV/0!</v>
      </c>
      <c r="AC8" s="2666" t="e">
        <f t="shared" ref="AC8:AC47" si="5">D8/J8</f>
        <v>#DIV/0!</v>
      </c>
    </row>
    <row r="9" spans="1:29" s="117" customFormat="1">
      <c r="A9" s="415" t="s">
        <v>2541</v>
      </c>
      <c r="B9" s="71" t="s">
        <v>2542</v>
      </c>
      <c r="C9" s="416"/>
      <c r="D9" s="135">
        <v>100</v>
      </c>
      <c r="E9" s="419"/>
      <c r="F9" s="135">
        <f>SUMIF(64:64,E9,65:65)-SUMIF(64:64,C9,65:65)+100</f>
        <v>100</v>
      </c>
      <c r="G9" s="417"/>
      <c r="H9" s="135">
        <f>SUMIF(64:64,G9,65:65)-SUMIF(64:64,C9,65:65)+100</f>
        <v>100</v>
      </c>
      <c r="I9" s="417"/>
      <c r="J9" s="135">
        <f>SUMIF(64:64,I9,65:65)-SUMIF(64:64,C9,65:65)+100</f>
        <v>100</v>
      </c>
      <c r="K9" s="611"/>
      <c r="L9" s="1131"/>
      <c r="M9" s="1132"/>
      <c r="N9" s="1132"/>
      <c r="O9" s="1132"/>
      <c r="P9" s="3223" t="s">
        <v>2543</v>
      </c>
      <c r="Q9" s="1793" t="str">
        <f t="shared" ref="Q9:Q15" si="6">B9</f>
        <v>用途</v>
      </c>
      <c r="R9" s="769" t="s">
        <v>17</v>
      </c>
      <c r="S9" s="770">
        <f t="shared" si="0"/>
        <v>100</v>
      </c>
      <c r="T9" s="769" t="s">
        <v>17</v>
      </c>
      <c r="U9" s="770">
        <f t="shared" si="1"/>
        <v>100</v>
      </c>
      <c r="V9" s="769" t="s">
        <v>17</v>
      </c>
      <c r="W9" s="770">
        <f t="shared" si="2"/>
        <v>100</v>
      </c>
      <c r="X9" s="771"/>
      <c r="Y9" s="3082" t="s">
        <v>2544</v>
      </c>
      <c r="Z9" s="55" t="str">
        <f t="shared" ref="Z9:Z15" si="7">Q9</f>
        <v>用途</v>
      </c>
      <c r="AA9" s="772">
        <f t="shared" si="3"/>
        <v>1</v>
      </c>
      <c r="AB9" s="772">
        <f t="shared" si="4"/>
        <v>1</v>
      </c>
      <c r="AC9" s="2666">
        <f t="shared" si="5"/>
        <v>1</v>
      </c>
    </row>
    <row r="10" spans="1:29" s="427" customFormat="1" ht="27">
      <c r="A10" s="421"/>
      <c r="B10" s="422" t="s">
        <v>2545</v>
      </c>
      <c r="C10" s="423"/>
      <c r="D10" s="136">
        <v>100</v>
      </c>
      <c r="E10" s="423"/>
      <c r="F10" s="136">
        <f>SUMIF(66:66,E10,67:67)-SUMIF(66:66,C10,67:67)+100</f>
        <v>100</v>
      </c>
      <c r="G10" s="424"/>
      <c r="H10" s="136">
        <f>SUMIF(66:66,G10,67:67)-SUMIF(66:66,C10,67:67)+100</f>
        <v>100</v>
      </c>
      <c r="I10" s="423"/>
      <c r="J10" s="136">
        <f>SUMIF(66:66,I10,67:67)-SUMIF(66:66,C10,67:67)+100</f>
        <v>100</v>
      </c>
      <c r="K10" s="612"/>
      <c r="L10" s="1134"/>
      <c r="M10" s="1135"/>
      <c r="N10" s="1135"/>
      <c r="O10" s="1135"/>
      <c r="P10" s="3223"/>
      <c r="Q10" s="1793" t="str">
        <f t="shared" si="6"/>
        <v>土地使用年限（年）</v>
      </c>
      <c r="R10" s="769" t="s">
        <v>17</v>
      </c>
      <c r="S10" s="770">
        <f t="shared" si="0"/>
        <v>100</v>
      </c>
      <c r="T10" s="769" t="s">
        <v>17</v>
      </c>
      <c r="U10" s="770">
        <f t="shared" si="1"/>
        <v>100</v>
      </c>
      <c r="V10" s="769" t="s">
        <v>17</v>
      </c>
      <c r="W10" s="770">
        <f t="shared" si="2"/>
        <v>100</v>
      </c>
      <c r="X10" s="771"/>
      <c r="Y10" s="3082"/>
      <c r="Z10" s="55" t="str">
        <f t="shared" si="7"/>
        <v>土地使用年限（年）</v>
      </c>
      <c r="AA10" s="772">
        <f t="shared" si="3"/>
        <v>1</v>
      </c>
      <c r="AB10" s="772">
        <f t="shared" si="4"/>
        <v>1</v>
      </c>
      <c r="AC10" s="2666">
        <f t="shared" si="5"/>
        <v>1</v>
      </c>
    </row>
    <row r="11" spans="1:29" ht="15">
      <c r="A11" s="428"/>
      <c r="B11" s="422" t="s">
        <v>2546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7"/>
      <c r="M11" s="1130"/>
      <c r="N11" s="1130"/>
      <c r="O11" s="1130"/>
      <c r="P11" s="3223"/>
      <c r="Q11" s="1793" t="str">
        <f t="shared" si="6"/>
        <v>容积率</v>
      </c>
      <c r="R11" s="769" t="s">
        <v>17</v>
      </c>
      <c r="S11" s="770" t="e">
        <f t="shared" si="0"/>
        <v>#N/A</v>
      </c>
      <c r="T11" s="769" t="s">
        <v>17</v>
      </c>
      <c r="U11" s="770" t="e">
        <f t="shared" si="1"/>
        <v>#N/A</v>
      </c>
      <c r="V11" s="769" t="s">
        <v>17</v>
      </c>
      <c r="W11" s="770" t="e">
        <f t="shared" si="2"/>
        <v>#N/A</v>
      </c>
      <c r="X11" s="771"/>
      <c r="Y11" s="3082"/>
      <c r="Z11" s="55" t="str">
        <f t="shared" si="7"/>
        <v>容积率</v>
      </c>
      <c r="AA11" s="772" t="e">
        <f t="shared" si="3"/>
        <v>#N/A</v>
      </c>
      <c r="AB11" s="772" t="e">
        <f t="shared" si="4"/>
        <v>#N/A</v>
      </c>
      <c r="AC11" s="2666" t="e">
        <f t="shared" si="5"/>
        <v>#N/A</v>
      </c>
    </row>
    <row r="12" spans="1:29" s="117" customFormat="1" ht="15">
      <c r="A12" s="431"/>
      <c r="B12" s="2595">
        <v>111</v>
      </c>
      <c r="C12" s="432"/>
      <c r="D12" s="433">
        <v>100</v>
      </c>
      <c r="E12" s="432"/>
      <c r="F12" s="136">
        <f>SUMIF(71:71,E12,72:72)-SUMIF(71:71,C12,72:72)+100</f>
        <v>100</v>
      </c>
      <c r="G12" s="2667"/>
      <c r="H12" s="136">
        <f>SUMIF(71:71,G12,72:72)-SUMIF(71:71,C12,72:72)+100</f>
        <v>100</v>
      </c>
      <c r="I12" s="432"/>
      <c r="J12" s="136">
        <f>SUMIF(71:71,I12,72:72)-SUMIF(71:71,C12,72:72)+100</f>
        <v>100</v>
      </c>
      <c r="K12" s="613"/>
      <c r="L12" s="1131"/>
      <c r="M12" s="1132"/>
      <c r="N12" s="1132"/>
      <c r="O12" s="1132"/>
      <c r="P12" s="3223"/>
      <c r="Q12" s="1793">
        <f t="shared" si="6"/>
        <v>111</v>
      </c>
      <c r="R12" s="769" t="s">
        <v>17</v>
      </c>
      <c r="S12" s="770">
        <f t="shared" si="0"/>
        <v>100</v>
      </c>
      <c r="T12" s="769" t="s">
        <v>17</v>
      </c>
      <c r="U12" s="770">
        <f t="shared" si="1"/>
        <v>100</v>
      </c>
      <c r="V12" s="769" t="s">
        <v>17</v>
      </c>
      <c r="W12" s="770">
        <f t="shared" si="2"/>
        <v>100</v>
      </c>
      <c r="X12" s="771"/>
      <c r="Y12" s="3082"/>
      <c r="Z12" s="55">
        <f t="shared" si="7"/>
        <v>111</v>
      </c>
      <c r="AA12" s="772">
        <f>D12/F12</f>
        <v>1</v>
      </c>
      <c r="AB12" s="772">
        <f>D12/H12</f>
        <v>1</v>
      </c>
      <c r="AC12" s="2666">
        <f>D12/J12</f>
        <v>1</v>
      </c>
    </row>
    <row r="13" spans="1:29" ht="15">
      <c r="A13" s="428"/>
      <c r="B13" s="2595">
        <v>111</v>
      </c>
      <c r="C13" s="434"/>
      <c r="D13" s="435">
        <v>100</v>
      </c>
      <c r="E13" s="432"/>
      <c r="F13" s="136">
        <f>SUMIF(73:73,E13,74:74)-SUMIF(73:73,C13,74:74)+100</f>
        <v>100</v>
      </c>
      <c r="G13" s="2667"/>
      <c r="H13" s="435">
        <f>SUMIF(73:73,G13,74:74)-SUMIF(73:73,C13,74:74)+100</f>
        <v>100</v>
      </c>
      <c r="I13" s="432"/>
      <c r="J13" s="435">
        <f>SUMIF(73:73,I13,74:74)-SUMIF(73:73,C13,74:74)+100</f>
        <v>100</v>
      </c>
      <c r="K13" s="613"/>
      <c r="L13" s="1139"/>
      <c r="M13" s="1130"/>
      <c r="N13" s="1130"/>
      <c r="O13" s="1130"/>
      <c r="P13" s="3223"/>
      <c r="Q13" s="1793">
        <f t="shared" si="6"/>
        <v>111</v>
      </c>
      <c r="R13" s="769" t="s">
        <v>17</v>
      </c>
      <c r="S13" s="770">
        <f t="shared" si="0"/>
        <v>100</v>
      </c>
      <c r="T13" s="769" t="s">
        <v>17</v>
      </c>
      <c r="U13" s="770">
        <f t="shared" si="1"/>
        <v>100</v>
      </c>
      <c r="V13" s="769" t="s">
        <v>17</v>
      </c>
      <c r="W13" s="770">
        <f t="shared" si="2"/>
        <v>100</v>
      </c>
      <c r="X13" s="771"/>
      <c r="Y13" s="3082"/>
      <c r="Z13" s="55">
        <f t="shared" si="7"/>
        <v>111</v>
      </c>
      <c r="AA13" s="772">
        <f t="shared" si="3"/>
        <v>1</v>
      </c>
      <c r="AB13" s="772">
        <f t="shared" si="4"/>
        <v>1</v>
      </c>
      <c r="AC13" s="2666">
        <f t="shared" si="5"/>
        <v>1</v>
      </c>
    </row>
    <row r="14" spans="1:29" ht="15.75" thickBot="1">
      <c r="A14" s="436"/>
      <c r="B14" s="2597">
        <v>111</v>
      </c>
      <c r="C14" s="437"/>
      <c r="D14" s="438">
        <v>100</v>
      </c>
      <c r="E14" s="628"/>
      <c r="F14" s="438">
        <f>SUMIF(75:75,E14,76:76)-SUMIF(75:75,C14,76:76)+100</f>
        <v>100</v>
      </c>
      <c r="G14" s="2667"/>
      <c r="H14" s="438">
        <f>SUMIF(75:75,G14,76:76)-SUMIF(75:75,C14,76:76)+100</f>
        <v>100</v>
      </c>
      <c r="I14" s="432"/>
      <c r="J14" s="438">
        <f>SUMIF(75:75,I14,76:76)-SUMIF(75:75,C14,76:76)+100</f>
        <v>100</v>
      </c>
      <c r="K14" s="613"/>
      <c r="L14" s="1139"/>
      <c r="M14" s="1130"/>
      <c r="N14" s="1130"/>
      <c r="O14" s="1130"/>
      <c r="P14" s="3223"/>
      <c r="Q14" s="1793">
        <f t="shared" si="6"/>
        <v>111</v>
      </c>
      <c r="R14" s="769" t="s">
        <v>17</v>
      </c>
      <c r="S14" s="770">
        <f t="shared" si="0"/>
        <v>100</v>
      </c>
      <c r="T14" s="769" t="s">
        <v>17</v>
      </c>
      <c r="U14" s="770">
        <f t="shared" si="1"/>
        <v>100</v>
      </c>
      <c r="V14" s="769" t="s">
        <v>17</v>
      </c>
      <c r="W14" s="770">
        <f t="shared" si="2"/>
        <v>100</v>
      </c>
      <c r="X14" s="771"/>
      <c r="Y14" s="3082"/>
      <c r="Z14" s="55">
        <f t="shared" si="7"/>
        <v>111</v>
      </c>
      <c r="AA14" s="772">
        <f t="shared" si="3"/>
        <v>1</v>
      </c>
      <c r="AB14" s="772">
        <f t="shared" si="4"/>
        <v>1</v>
      </c>
      <c r="AC14" s="2666">
        <f t="shared" si="5"/>
        <v>1</v>
      </c>
    </row>
    <row r="15" spans="1:29" ht="15">
      <c r="A15" s="440" t="s">
        <v>2547</v>
      </c>
      <c r="B15" s="629" t="s">
        <v>2675</v>
      </c>
      <c r="C15" s="2668">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39"/>
      <c r="M15" s="1130"/>
      <c r="N15" s="1130"/>
      <c r="O15" s="1130"/>
      <c r="P15" s="3237" t="s">
        <v>2548</v>
      </c>
      <c r="Q15" s="1808" t="str">
        <f t="shared" si="6"/>
        <v>办公集聚程度</v>
      </c>
      <c r="R15" s="773" t="s">
        <v>17</v>
      </c>
      <c r="S15" s="774">
        <f t="shared" si="0"/>
        <v>100</v>
      </c>
      <c r="T15" s="773" t="s">
        <v>17</v>
      </c>
      <c r="U15" s="774">
        <f t="shared" si="1"/>
        <v>100</v>
      </c>
      <c r="V15" s="773" t="s">
        <v>17</v>
      </c>
      <c r="W15" s="774">
        <f t="shared" si="2"/>
        <v>100</v>
      </c>
      <c r="X15" s="1811"/>
      <c r="Y15" s="3239" t="s">
        <v>2548</v>
      </c>
      <c r="Z15" s="1812" t="str">
        <f t="shared" si="7"/>
        <v>办公集聚程度</v>
      </c>
      <c r="AA15" s="1809">
        <f t="shared" si="3"/>
        <v>1</v>
      </c>
      <c r="AB15" s="1809">
        <f t="shared" si="4"/>
        <v>1</v>
      </c>
      <c r="AC15" s="2669">
        <f t="shared" si="5"/>
        <v>1</v>
      </c>
    </row>
    <row r="16" spans="1:29" ht="15">
      <c r="A16" s="428"/>
      <c r="B16" s="630"/>
      <c r="C16" s="2606"/>
      <c r="D16" s="448"/>
      <c r="E16" s="447"/>
      <c r="F16" s="448"/>
      <c r="G16" s="2606"/>
      <c r="H16" s="450"/>
      <c r="I16" s="447"/>
      <c r="J16" s="448"/>
      <c r="K16" s="615"/>
      <c r="L16" s="1139"/>
      <c r="M16" s="1130"/>
      <c r="N16" s="1130"/>
      <c r="O16" s="1130"/>
      <c r="P16" s="3238"/>
      <c r="Q16" s="1808"/>
      <c r="R16" s="773"/>
      <c r="S16" s="774"/>
      <c r="T16" s="773"/>
      <c r="U16" s="774"/>
      <c r="V16" s="773"/>
      <c r="W16" s="774"/>
      <c r="X16" s="1811"/>
      <c r="Y16" s="3240"/>
      <c r="Z16" s="1812"/>
      <c r="AA16" s="1809">
        <v>1</v>
      </c>
      <c r="AB16" s="1809">
        <v>1</v>
      </c>
      <c r="AC16" s="2669">
        <v>1</v>
      </c>
    </row>
    <row r="17" spans="1:29" ht="114">
      <c r="A17" s="428"/>
      <c r="B17" s="631" t="s">
        <v>2090</v>
      </c>
      <c r="C17" s="2670" t="str">
        <f>估价对象房地状况!C6</f>
        <v>估价对象周边有485、501、602、736、957路及地铁十号线等、公共交通通达情况较好、停车便捷程度较好，综合评价交通便捷度较好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9"/>
      <c r="M17" s="1130"/>
      <c r="N17" s="1130"/>
      <c r="O17" s="1130"/>
      <c r="P17" s="3238"/>
      <c r="Q17" s="1808" t="str">
        <f>B17</f>
        <v>交通便捷度</v>
      </c>
      <c r="R17" s="773" t="s">
        <v>17</v>
      </c>
      <c r="S17" s="774">
        <f>F17</f>
        <v>100</v>
      </c>
      <c r="T17" s="773" t="s">
        <v>17</v>
      </c>
      <c r="U17" s="774">
        <f>H17</f>
        <v>100</v>
      </c>
      <c r="V17" s="773" t="s">
        <v>17</v>
      </c>
      <c r="W17" s="774">
        <f>J17</f>
        <v>100</v>
      </c>
      <c r="X17" s="1811"/>
      <c r="Y17" s="3240"/>
      <c r="Z17" s="1812" t="str">
        <f>Q17</f>
        <v>交通便捷度</v>
      </c>
      <c r="AA17" s="1809">
        <f t="shared" si="3"/>
        <v>1</v>
      </c>
      <c r="AB17" s="1809">
        <f t="shared" si="4"/>
        <v>1</v>
      </c>
      <c r="AC17" s="2669">
        <f t="shared" si="5"/>
        <v>1</v>
      </c>
    </row>
    <row r="18" spans="1:29" ht="15">
      <c r="A18" s="428"/>
      <c r="B18" s="632"/>
      <c r="C18" s="2671"/>
      <c r="D18" s="450"/>
      <c r="E18" s="2604"/>
      <c r="F18" s="450"/>
      <c r="G18" s="2605"/>
      <c r="H18" s="448"/>
      <c r="I18" s="2605"/>
      <c r="J18" s="448"/>
      <c r="K18" s="615"/>
      <c r="L18" s="1139"/>
      <c r="M18" s="1130"/>
      <c r="N18" s="1130"/>
      <c r="O18" s="1130"/>
      <c r="P18" s="3238"/>
      <c r="Q18" s="1808"/>
      <c r="R18" s="773"/>
      <c r="S18" s="774"/>
      <c r="T18" s="773"/>
      <c r="U18" s="774"/>
      <c r="V18" s="773"/>
      <c r="W18" s="774"/>
      <c r="X18" s="1811"/>
      <c r="Y18" s="3240"/>
      <c r="Z18" s="1812"/>
      <c r="AA18" s="1809">
        <v>1</v>
      </c>
      <c r="AB18" s="1809">
        <v>1</v>
      </c>
      <c r="AC18" s="2669">
        <v>1</v>
      </c>
    </row>
    <row r="19" spans="1:29" ht="99.75">
      <c r="A19" s="428"/>
      <c r="B19" s="631" t="s">
        <v>2676</v>
      </c>
      <c r="C19" s="2670" t="str">
        <f>估价对象房地状况!C7</f>
        <v>周边有中国建设银行、广东发展银行、集美家居、物美超市、西马金润小学、丰台第一小学远洋分校等，公共配套设施较齐备</v>
      </c>
      <c r="D19" s="455">
        <v>100</v>
      </c>
      <c r="E19" s="459"/>
      <c r="F19" s="455">
        <f>SUMIF(81:81,E20,82:82)-SUMIF(81:81,C20,82:82)+100</f>
        <v>100</v>
      </c>
      <c r="G19" s="457"/>
      <c r="H19" s="450">
        <f>SUMIF(81:81,G20,82:82)-SUMIF(81:81,C20,82:82)+100</f>
        <v>100</v>
      </c>
      <c r="I19" s="457"/>
      <c r="J19" s="450">
        <f>SUMIF(81:81,I20,82:82)-SUMIF(81:81,C20,82:82)+100</f>
        <v>100</v>
      </c>
      <c r="K19" s="614"/>
      <c r="L19" s="1139"/>
      <c r="M19" s="1130"/>
      <c r="N19" s="1130"/>
      <c r="O19" s="1130"/>
      <c r="P19" s="3238"/>
      <c r="Q19" s="1808" t="str">
        <f>B19</f>
        <v>公共配套设施</v>
      </c>
      <c r="R19" s="773" t="s">
        <v>17</v>
      </c>
      <c r="S19" s="774">
        <f>F19</f>
        <v>100</v>
      </c>
      <c r="T19" s="773" t="s">
        <v>17</v>
      </c>
      <c r="U19" s="774">
        <f>H19</f>
        <v>100</v>
      </c>
      <c r="V19" s="773" t="s">
        <v>17</v>
      </c>
      <c r="W19" s="774">
        <f>J19</f>
        <v>100</v>
      </c>
      <c r="X19" s="1811"/>
      <c r="Y19" s="3240"/>
      <c r="Z19" s="1812" t="str">
        <f>Q19</f>
        <v>公共配套设施</v>
      </c>
      <c r="AA19" s="1809">
        <f t="shared" si="3"/>
        <v>1</v>
      </c>
      <c r="AB19" s="1809">
        <f t="shared" si="4"/>
        <v>1</v>
      </c>
      <c r="AC19" s="2669">
        <f t="shared" si="5"/>
        <v>1</v>
      </c>
    </row>
    <row r="20" spans="1:29" ht="15">
      <c r="A20" s="428"/>
      <c r="B20" s="632"/>
      <c r="C20" s="2606"/>
      <c r="D20" s="448"/>
      <c r="E20" s="2599"/>
      <c r="F20" s="448"/>
      <c r="G20" s="2600"/>
      <c r="H20" s="448"/>
      <c r="I20" s="2600"/>
      <c r="J20" s="448"/>
      <c r="K20" s="615"/>
      <c r="L20" s="1139"/>
      <c r="M20" s="1130"/>
      <c r="N20" s="1130"/>
      <c r="O20" s="1130"/>
      <c r="P20" s="3238"/>
      <c r="Q20" s="1808"/>
      <c r="R20" s="773"/>
      <c r="S20" s="774"/>
      <c r="T20" s="773"/>
      <c r="U20" s="774"/>
      <c r="V20" s="773"/>
      <c r="W20" s="774"/>
      <c r="X20" s="1811"/>
      <c r="Y20" s="3240"/>
      <c r="Z20" s="1812"/>
      <c r="AA20" s="1809">
        <v>1</v>
      </c>
      <c r="AB20" s="1809">
        <v>1</v>
      </c>
      <c r="AC20" s="2669">
        <v>1</v>
      </c>
    </row>
    <row r="21" spans="1:29" ht="15">
      <c r="A21" s="428"/>
      <c r="B21" s="633" t="s">
        <v>2677</v>
      </c>
      <c r="C21" s="2670" t="str">
        <f>估价对象房地状况!C8</f>
        <v>七通</v>
      </c>
      <c r="D21" s="450">
        <v>100</v>
      </c>
      <c r="E21" s="459"/>
      <c r="F21" s="455">
        <f>SUMIF(83:83,E22,84:84)-SUMIF(83:83,C22,84:84)+100</f>
        <v>100</v>
      </c>
      <c r="G21" s="457"/>
      <c r="H21" s="450">
        <f>SUMIF(83:83,G22,84:84)-SUMIF(83:83,C22,84:84)+100</f>
        <v>100</v>
      </c>
      <c r="I21" s="457"/>
      <c r="J21" s="450">
        <f>SUMIF(83:83,I22,84:84)-SUMIF(83:83,C22,84:84)+100</f>
        <v>100</v>
      </c>
      <c r="K21" s="614"/>
      <c r="L21" s="1139"/>
      <c r="M21" s="1130"/>
      <c r="N21" s="1130"/>
      <c r="O21" s="1130"/>
      <c r="P21" s="3238"/>
      <c r="Q21" s="1808" t="str">
        <f>B21</f>
        <v>基础设施水平</v>
      </c>
      <c r="R21" s="773" t="s">
        <v>17</v>
      </c>
      <c r="S21" s="774">
        <f>F21</f>
        <v>100</v>
      </c>
      <c r="T21" s="773" t="s">
        <v>17</v>
      </c>
      <c r="U21" s="774">
        <f>H21</f>
        <v>100</v>
      </c>
      <c r="V21" s="773" t="s">
        <v>17</v>
      </c>
      <c r="W21" s="774">
        <f>J21</f>
        <v>100</v>
      </c>
      <c r="X21" s="1811"/>
      <c r="Y21" s="3240"/>
      <c r="Z21" s="1812" t="str">
        <f>Q21</f>
        <v>基础设施水平</v>
      </c>
      <c r="AA21" s="1809">
        <f t="shared" ref="AA21" si="8">D21/F21</f>
        <v>1</v>
      </c>
      <c r="AB21" s="1809">
        <f t="shared" ref="AB21" si="9">D21/H21</f>
        <v>1</v>
      </c>
      <c r="AC21" s="2669">
        <f t="shared" ref="AC21" si="10">D21/J21</f>
        <v>1</v>
      </c>
    </row>
    <row r="22" spans="1:29" ht="15">
      <c r="A22" s="428"/>
      <c r="B22" s="633"/>
      <c r="C22" s="2671"/>
      <c r="D22" s="448"/>
      <c r="E22" s="447"/>
      <c r="F22" s="448"/>
      <c r="G22" s="2606"/>
      <c r="H22" s="448"/>
      <c r="I22" s="2606"/>
      <c r="J22" s="448"/>
      <c r="K22" s="1382"/>
      <c r="L22" s="1139"/>
      <c r="M22" s="1130"/>
      <c r="N22" s="1130"/>
      <c r="O22" s="1130"/>
      <c r="P22" s="3238"/>
      <c r="Q22" s="1808"/>
      <c r="R22" s="773"/>
      <c r="S22" s="774"/>
      <c r="T22" s="773"/>
      <c r="U22" s="774"/>
      <c r="V22" s="773"/>
      <c r="W22" s="774"/>
      <c r="X22" s="1811"/>
      <c r="Y22" s="3240"/>
      <c r="Z22" s="1812"/>
      <c r="AA22" s="1809">
        <v>1</v>
      </c>
      <c r="AB22" s="1809">
        <v>1</v>
      </c>
      <c r="AC22" s="2669">
        <v>1</v>
      </c>
    </row>
    <row r="23" spans="1:29" ht="28.5">
      <c r="A23" s="428"/>
      <c r="B23" s="631" t="s">
        <v>2678</v>
      </c>
      <c r="C23" s="2670" t="str">
        <f>估价对象房地状况!C9</f>
        <v>周边有桃苑公园自然及人文环境一般</v>
      </c>
      <c r="D23" s="450">
        <v>100</v>
      </c>
      <c r="E23" s="454"/>
      <c r="F23" s="450">
        <f>SUMIF(85:85,E24,86:86)-SUMIF(85:85,C24,86:86)+100</f>
        <v>100</v>
      </c>
      <c r="G23" s="452"/>
      <c r="H23" s="450">
        <f>SUMIF(85:85,G24,86:86)-SUMIF(85:85,C24,86:86)+100</f>
        <v>100</v>
      </c>
      <c r="I23" s="452"/>
      <c r="J23" s="450">
        <f>SUMIF(85:85,I24,86:86)-SUMIF(85:85,C24,86:86)+100</f>
        <v>100</v>
      </c>
      <c r="K23" s="614"/>
      <c r="L23" s="1139"/>
      <c r="M23" s="1130"/>
      <c r="N23" s="1130"/>
      <c r="O23" s="1130"/>
      <c r="P23" s="3238"/>
      <c r="Q23" s="1808" t="str">
        <f>B23</f>
        <v>环境质量</v>
      </c>
      <c r="R23" s="773" t="s">
        <v>17</v>
      </c>
      <c r="S23" s="774">
        <f>F23</f>
        <v>100</v>
      </c>
      <c r="T23" s="773" t="s">
        <v>17</v>
      </c>
      <c r="U23" s="774">
        <f>H23</f>
        <v>100</v>
      </c>
      <c r="V23" s="773" t="s">
        <v>17</v>
      </c>
      <c r="W23" s="774">
        <f>J23</f>
        <v>100</v>
      </c>
      <c r="X23" s="1811"/>
      <c r="Y23" s="3240"/>
      <c r="Z23" s="1812" t="str">
        <f>Q23</f>
        <v>环境质量</v>
      </c>
      <c r="AA23" s="1809">
        <f t="shared" si="3"/>
        <v>1</v>
      </c>
      <c r="AB23" s="1809">
        <f t="shared" si="4"/>
        <v>1</v>
      </c>
      <c r="AC23" s="2669">
        <f t="shared" si="5"/>
        <v>1</v>
      </c>
    </row>
    <row r="24" spans="1:29" ht="15">
      <c r="A24" s="428"/>
      <c r="B24" s="633"/>
      <c r="C24" s="2606"/>
      <c r="D24" s="448"/>
      <c r="E24" s="2599"/>
      <c r="F24" s="448"/>
      <c r="G24" s="2600"/>
      <c r="H24" s="448"/>
      <c r="I24" s="2600"/>
      <c r="J24" s="448"/>
      <c r="K24" s="615"/>
      <c r="L24" s="1139"/>
      <c r="M24" s="1130"/>
      <c r="N24" s="1130"/>
      <c r="O24" s="1130"/>
      <c r="P24" s="3238"/>
      <c r="Q24" s="1808"/>
      <c r="R24" s="773"/>
      <c r="S24" s="774"/>
      <c r="T24" s="773"/>
      <c r="U24" s="774"/>
      <c r="V24" s="773"/>
      <c r="W24" s="774"/>
      <c r="X24" s="1811"/>
      <c r="Y24" s="3240"/>
      <c r="Z24" s="1812"/>
      <c r="AA24" s="1809">
        <v>1</v>
      </c>
      <c r="AB24" s="1809">
        <v>1</v>
      </c>
      <c r="AC24" s="2669">
        <v>1</v>
      </c>
    </row>
    <row r="25" spans="1:29" ht="27">
      <c r="A25" s="404"/>
      <c r="B25" s="631" t="s">
        <v>2679</v>
      </c>
      <c r="C25" s="2610"/>
      <c r="D25" s="435">
        <v>100</v>
      </c>
      <c r="E25" s="434"/>
      <c r="F25" s="435">
        <f>SUMIF(87:87,E26,88:88)-SUMIF(87:87,C26,88:88)+100</f>
        <v>100</v>
      </c>
      <c r="G25" s="2610"/>
      <c r="H25" s="435">
        <f>SUMIF(87:87,G26,88:88)-SUMIF(87:87,C26,88:88)+100</f>
        <v>100</v>
      </c>
      <c r="I25" s="434"/>
      <c r="J25" s="435">
        <f>SUMIF(87:87,I26,88:88)-SUMIF(87:87,C26,88:88)+100</f>
        <v>100</v>
      </c>
      <c r="K25" s="614"/>
      <c r="L25" s="1139"/>
      <c r="M25" s="1130"/>
      <c r="N25" s="1130"/>
      <c r="O25" s="1130"/>
      <c r="P25" s="3238"/>
      <c r="Q25" s="1808" t="str">
        <f>B25</f>
        <v>毗邻道路的类型与等级</v>
      </c>
      <c r="R25" s="773" t="s">
        <v>17</v>
      </c>
      <c r="S25" s="774">
        <f>F25</f>
        <v>100</v>
      </c>
      <c r="T25" s="773" t="s">
        <v>17</v>
      </c>
      <c r="U25" s="774">
        <f>H25</f>
        <v>100</v>
      </c>
      <c r="V25" s="773" t="s">
        <v>17</v>
      </c>
      <c r="W25" s="774">
        <f>J25</f>
        <v>100</v>
      </c>
      <c r="X25" s="1811"/>
      <c r="Y25" s="3240"/>
      <c r="Z25" s="1812" t="str">
        <f>Q25</f>
        <v>毗邻道路的类型与等级</v>
      </c>
      <c r="AA25" s="1809">
        <f t="shared" si="3"/>
        <v>1</v>
      </c>
      <c r="AB25" s="1809">
        <f t="shared" si="4"/>
        <v>1</v>
      </c>
      <c r="AC25" s="2669">
        <f t="shared" si="5"/>
        <v>1</v>
      </c>
    </row>
    <row r="26" spans="1:29" ht="15">
      <c r="A26" s="404"/>
      <c r="B26" s="632"/>
      <c r="C26" s="634"/>
      <c r="D26" s="435"/>
      <c r="E26" s="616"/>
      <c r="F26" s="435"/>
      <c r="G26" s="634"/>
      <c r="H26" s="435"/>
      <c r="I26" s="616"/>
      <c r="J26" s="435"/>
      <c r="K26" s="615"/>
      <c r="L26" s="1139"/>
      <c r="M26" s="1130"/>
      <c r="N26" s="1130"/>
      <c r="O26" s="1130"/>
      <c r="P26" s="3238"/>
      <c r="Q26" s="1808"/>
      <c r="R26" s="773"/>
      <c r="S26" s="774"/>
      <c r="T26" s="773"/>
      <c r="U26" s="774"/>
      <c r="V26" s="773"/>
      <c r="W26" s="774"/>
      <c r="X26" s="1811"/>
      <c r="Y26" s="3240"/>
      <c r="Z26" s="1812"/>
      <c r="AA26" s="1809">
        <v>1</v>
      </c>
      <c r="AB26" s="1809">
        <v>1</v>
      </c>
      <c r="AC26" s="2669">
        <v>1</v>
      </c>
    </row>
    <row r="27" spans="1:29" ht="15">
      <c r="A27" s="428"/>
      <c r="B27" s="632" t="s">
        <v>2647</v>
      </c>
      <c r="C27" s="634"/>
      <c r="D27" s="435">
        <v>100</v>
      </c>
      <c r="E27" s="616"/>
      <c r="F27" s="435">
        <f>SUMIF(89:89,E27,90:90)-SUMIF(89:89,C27,90:90)+100</f>
        <v>100</v>
      </c>
      <c r="G27" s="634"/>
      <c r="H27" s="435">
        <f>SUMIF(89:89,G27,90:90)-SUMIF(89:89,C27,90:90)+100</f>
        <v>100</v>
      </c>
      <c r="I27" s="616"/>
      <c r="J27" s="435">
        <f>SUMIF(89:89,I27,90:90)-SUMIF(89:89,C27,90:90)+100</f>
        <v>100</v>
      </c>
      <c r="K27" s="612"/>
      <c r="L27" s="1139"/>
      <c r="M27" s="1130"/>
      <c r="N27" s="1130"/>
      <c r="O27" s="1130"/>
      <c r="P27" s="3238"/>
      <c r="Q27" s="1808" t="str">
        <f t="shared" ref="Q27:Q47" si="11">B27</f>
        <v>楼层</v>
      </c>
      <c r="R27" s="773" t="s">
        <v>17</v>
      </c>
      <c r="S27" s="774">
        <f>F27</f>
        <v>100</v>
      </c>
      <c r="T27" s="773" t="s">
        <v>17</v>
      </c>
      <c r="U27" s="774">
        <f>H27</f>
        <v>100</v>
      </c>
      <c r="V27" s="773" t="s">
        <v>17</v>
      </c>
      <c r="W27" s="774">
        <f>J27</f>
        <v>100</v>
      </c>
      <c r="X27" s="1811"/>
      <c r="Y27" s="3240"/>
      <c r="Z27" s="1812" t="str">
        <f>Q27</f>
        <v>楼层</v>
      </c>
      <c r="AA27" s="1809">
        <f t="shared" si="3"/>
        <v>1</v>
      </c>
      <c r="AB27" s="1809">
        <f t="shared" si="4"/>
        <v>1</v>
      </c>
      <c r="AC27" s="2669">
        <f t="shared" si="5"/>
        <v>1</v>
      </c>
    </row>
    <row r="28" spans="1:29" s="117" customFormat="1" ht="15">
      <c r="A28" s="431"/>
      <c r="B28" s="631" t="s">
        <v>2680</v>
      </c>
      <c r="C28" s="2672"/>
      <c r="D28" s="462">
        <v>100</v>
      </c>
      <c r="E28" s="2660"/>
      <c r="F28" s="462">
        <f>SUMIF(91:91,E28,92:92)-SUMIF(91:91,C28,92:92)+100</f>
        <v>100</v>
      </c>
      <c r="G28" s="2672"/>
      <c r="H28" s="462">
        <f>SUMIF(91:91,G28,92:92)-SUMIF(91:91,C28,92:92)+100</f>
        <v>100</v>
      </c>
      <c r="I28" s="2660"/>
      <c r="J28" s="462">
        <f>SUMIF(91:91,I28,92:92)-SUMIF(91:91,C28,92:92)+100</f>
        <v>100</v>
      </c>
      <c r="K28" s="612"/>
      <c r="L28" s="1131"/>
      <c r="M28" s="1132"/>
      <c r="N28" s="1132"/>
      <c r="O28" s="1132"/>
      <c r="P28" s="3238"/>
      <c r="Q28" s="1793" t="str">
        <f t="shared" si="11"/>
        <v>朝向</v>
      </c>
      <c r="R28" s="769" t="s">
        <v>17</v>
      </c>
      <c r="S28" s="770">
        <f>F28</f>
        <v>100</v>
      </c>
      <c r="T28" s="769" t="s">
        <v>17</v>
      </c>
      <c r="U28" s="770">
        <f>H28</f>
        <v>100</v>
      </c>
      <c r="V28" s="769" t="s">
        <v>17</v>
      </c>
      <c r="W28" s="770">
        <f>J28</f>
        <v>100</v>
      </c>
      <c r="X28" s="771"/>
      <c r="Y28" s="3240"/>
      <c r="Z28" s="55" t="str">
        <f>Q28</f>
        <v>朝向</v>
      </c>
      <c r="AA28" s="1809">
        <f>D28/F28</f>
        <v>1</v>
      </c>
      <c r="AB28" s="1809">
        <f>D28/H28</f>
        <v>1</v>
      </c>
      <c r="AC28" s="2669">
        <f>D28/J28</f>
        <v>1</v>
      </c>
    </row>
    <row r="29" spans="1:29" ht="15">
      <c r="A29" s="428"/>
      <c r="B29" s="2673">
        <v>111</v>
      </c>
      <c r="C29" s="2610"/>
      <c r="D29" s="435">
        <v>100</v>
      </c>
      <c r="E29" s="432"/>
      <c r="F29" s="435">
        <f>SUMIF(93:93,E29,94:94)-SUMIF(93:93,C29,94:94)+100</f>
        <v>100</v>
      </c>
      <c r="G29" s="2667"/>
      <c r="H29" s="435">
        <f>SUMIF(93:93,G29,94:94)-SUMIF(93:93,C29,94:94)+100</f>
        <v>100</v>
      </c>
      <c r="I29" s="432"/>
      <c r="J29" s="435">
        <f>SUMIF(93:93,I29,94:94)-SUMIF(93:93,C29,94:94)+100</f>
        <v>100</v>
      </c>
      <c r="K29" s="613"/>
      <c r="L29" s="1139"/>
      <c r="M29" s="1130"/>
      <c r="N29" s="1130"/>
      <c r="O29" s="1130"/>
      <c r="P29" s="3238"/>
      <c r="Q29" s="1808">
        <f t="shared" si="11"/>
        <v>111</v>
      </c>
      <c r="R29" s="773" t="s">
        <v>17</v>
      </c>
      <c r="S29" s="774">
        <f t="shared" ref="S29:S47" si="12">F29</f>
        <v>100</v>
      </c>
      <c r="T29" s="773" t="s">
        <v>17</v>
      </c>
      <c r="U29" s="774">
        <f t="shared" ref="U29:U47" si="13">H29</f>
        <v>100</v>
      </c>
      <c r="V29" s="773" t="s">
        <v>17</v>
      </c>
      <c r="W29" s="774">
        <f t="shared" ref="W29:W47" si="14">J29</f>
        <v>100</v>
      </c>
      <c r="X29" s="1811"/>
      <c r="Y29" s="3240"/>
      <c r="Z29" s="1812">
        <f t="shared" ref="Z29:Z47" si="15">Q29</f>
        <v>111</v>
      </c>
      <c r="AA29" s="1809">
        <f t="shared" si="3"/>
        <v>1</v>
      </c>
      <c r="AB29" s="1809">
        <f t="shared" si="4"/>
        <v>1</v>
      </c>
      <c r="AC29" s="2669">
        <f t="shared" si="5"/>
        <v>1</v>
      </c>
    </row>
    <row r="30" spans="1:29" ht="15">
      <c r="A30" s="428"/>
      <c r="B30" s="2673">
        <v>111</v>
      </c>
      <c r="C30" s="2610"/>
      <c r="D30" s="435">
        <v>100</v>
      </c>
      <c r="E30" s="432"/>
      <c r="F30" s="435">
        <f>SUMIF(95:95,E30,96:96)-SUMIF(95:95,C30,96:96)+100</f>
        <v>100</v>
      </c>
      <c r="G30" s="2667"/>
      <c r="H30" s="435">
        <f>SUMIF(95:95,G30,96:96)-SUMIF(95:95,C30,96:96)+100</f>
        <v>100</v>
      </c>
      <c r="I30" s="432"/>
      <c r="J30" s="435">
        <f>SUMIF(95:95,I30,96:96)-SUMIF(95:95,C30,96:96)+100</f>
        <v>100</v>
      </c>
      <c r="K30" s="613"/>
      <c r="L30" s="1139"/>
      <c r="M30" s="1130"/>
      <c r="N30" s="1130"/>
      <c r="O30" s="1130"/>
      <c r="P30" s="3238"/>
      <c r="Q30" s="1808">
        <f t="shared" si="11"/>
        <v>111</v>
      </c>
      <c r="R30" s="773" t="s">
        <v>17</v>
      </c>
      <c r="S30" s="774">
        <f t="shared" si="12"/>
        <v>100</v>
      </c>
      <c r="T30" s="773" t="s">
        <v>17</v>
      </c>
      <c r="U30" s="774">
        <f t="shared" si="13"/>
        <v>100</v>
      </c>
      <c r="V30" s="773" t="s">
        <v>17</v>
      </c>
      <c r="W30" s="774">
        <f t="shared" si="14"/>
        <v>100</v>
      </c>
      <c r="X30" s="1811"/>
      <c r="Y30" s="3240"/>
      <c r="Z30" s="1812">
        <f t="shared" si="15"/>
        <v>111</v>
      </c>
      <c r="AA30" s="1809">
        <f t="shared" si="3"/>
        <v>1</v>
      </c>
      <c r="AB30" s="1809">
        <f t="shared" si="4"/>
        <v>1</v>
      </c>
      <c r="AC30" s="2669">
        <f t="shared" si="5"/>
        <v>1</v>
      </c>
    </row>
    <row r="31" spans="1:29" ht="15">
      <c r="A31" s="428"/>
      <c r="B31" s="2673">
        <v>111</v>
      </c>
      <c r="C31" s="2610"/>
      <c r="D31" s="435">
        <v>100</v>
      </c>
      <c r="E31" s="432"/>
      <c r="F31" s="435">
        <f>SUMIF(97:97,E31,98:98)-SUMIF(97:97,C31,98:98)+100</f>
        <v>100</v>
      </c>
      <c r="G31" s="2667"/>
      <c r="H31" s="435">
        <f>SUMIF(97:97,G31,98:98)-SUMIF(97:97,C31,98:98)+100</f>
        <v>100</v>
      </c>
      <c r="I31" s="432"/>
      <c r="J31" s="435">
        <f>SUMIF(97:97,I31,98:98)-SUMIF(97:97,C31,98:98)+100</f>
        <v>100</v>
      </c>
      <c r="K31" s="613"/>
      <c r="L31" s="1139"/>
      <c r="M31" s="1130"/>
      <c r="N31" s="1130"/>
      <c r="O31" s="1130"/>
      <c r="P31" s="3238"/>
      <c r="Q31" s="1808">
        <f t="shared" si="11"/>
        <v>111</v>
      </c>
      <c r="R31" s="773" t="s">
        <v>17</v>
      </c>
      <c r="S31" s="774">
        <f t="shared" si="12"/>
        <v>100</v>
      </c>
      <c r="T31" s="773" t="s">
        <v>17</v>
      </c>
      <c r="U31" s="774">
        <f t="shared" si="13"/>
        <v>100</v>
      </c>
      <c r="V31" s="773" t="s">
        <v>17</v>
      </c>
      <c r="W31" s="774">
        <f t="shared" si="14"/>
        <v>100</v>
      </c>
      <c r="X31" s="1811"/>
      <c r="Y31" s="3240"/>
      <c r="Z31" s="1812">
        <f t="shared" si="15"/>
        <v>111</v>
      </c>
      <c r="AA31" s="1809">
        <f t="shared" si="3"/>
        <v>1</v>
      </c>
      <c r="AB31" s="1809">
        <f t="shared" si="4"/>
        <v>1</v>
      </c>
      <c r="AC31" s="2669">
        <f t="shared" si="5"/>
        <v>1</v>
      </c>
    </row>
    <row r="32" spans="1:29" ht="15.75" thickBot="1">
      <c r="A32" s="436"/>
      <c r="B32" s="635">
        <v>111</v>
      </c>
      <c r="C32" s="2611"/>
      <c r="D32" s="438">
        <v>100</v>
      </c>
      <c r="E32" s="628"/>
      <c r="F32" s="438">
        <f>SUMIF(99:99,E32,100:100)-SUMIF(99:99,C32,100:100)+100</f>
        <v>100</v>
      </c>
      <c r="G32" s="2667"/>
      <c r="H32" s="438">
        <f>SUMIF(99:99,G32,100:100)-SUMIF(99:99,C32,100:100)+100</f>
        <v>100</v>
      </c>
      <c r="I32" s="432"/>
      <c r="J32" s="438">
        <f>SUMIF(99:99,I32,100:100)-SUMIF(99:99,C32,100:100)+100</f>
        <v>100</v>
      </c>
      <c r="K32" s="613"/>
      <c r="L32" s="1139"/>
      <c r="M32" s="1130"/>
      <c r="N32" s="1130"/>
      <c r="O32" s="1130"/>
      <c r="P32" s="3238"/>
      <c r="Q32" s="1808">
        <f t="shared" si="11"/>
        <v>111</v>
      </c>
      <c r="R32" s="773" t="s">
        <v>17</v>
      </c>
      <c r="S32" s="774">
        <f t="shared" si="12"/>
        <v>100</v>
      </c>
      <c r="T32" s="773" t="s">
        <v>17</v>
      </c>
      <c r="U32" s="774">
        <f t="shared" si="13"/>
        <v>100</v>
      </c>
      <c r="V32" s="773" t="s">
        <v>17</v>
      </c>
      <c r="W32" s="774">
        <f t="shared" si="14"/>
        <v>100</v>
      </c>
      <c r="X32" s="1811"/>
      <c r="Y32" s="3240"/>
      <c r="Z32" s="1812">
        <f t="shared" si="15"/>
        <v>111</v>
      </c>
      <c r="AA32" s="1809">
        <f t="shared" si="3"/>
        <v>1</v>
      </c>
      <c r="AB32" s="1809">
        <f t="shared" si="4"/>
        <v>1</v>
      </c>
      <c r="AC32" s="2669">
        <f t="shared" si="5"/>
        <v>1</v>
      </c>
    </row>
    <row r="33" spans="1:29" ht="15">
      <c r="A33" s="440" t="s">
        <v>2551</v>
      </c>
      <c r="B33" s="71" t="s">
        <v>2681</v>
      </c>
      <c r="C33" s="2674"/>
      <c r="D33" s="467">
        <v>100</v>
      </c>
      <c r="E33" s="2674"/>
      <c r="F33" s="461">
        <f>SUMIF(101:101,E33,102:102)-SUMIF(101:101,C33,102:102)+100</f>
        <v>100</v>
      </c>
      <c r="G33" s="2674"/>
      <c r="H33" s="435">
        <f>SUMIF(101:101,G33,102:102)-SUMIF(101:101,C33,102:102)+100</f>
        <v>100</v>
      </c>
      <c r="I33" s="2674"/>
      <c r="J33" s="467">
        <f>SUMIF(101:101,I33,102:102)-SUMIF(101:101,C33,102:102)+100</f>
        <v>100</v>
      </c>
      <c r="K33" s="612"/>
      <c r="L33" s="1139"/>
      <c r="M33" s="1130"/>
      <c r="N33" s="1130"/>
      <c r="O33" s="1130"/>
      <c r="P33" s="3241" t="s">
        <v>2553</v>
      </c>
      <c r="Q33" s="1808" t="str">
        <f t="shared" si="11"/>
        <v>建筑类型</v>
      </c>
      <c r="R33" s="773" t="s">
        <v>17</v>
      </c>
      <c r="S33" s="774">
        <f t="shared" si="12"/>
        <v>100</v>
      </c>
      <c r="T33" s="773" t="s">
        <v>17</v>
      </c>
      <c r="U33" s="774">
        <f t="shared" si="13"/>
        <v>100</v>
      </c>
      <c r="V33" s="773" t="s">
        <v>17</v>
      </c>
      <c r="W33" s="774">
        <f t="shared" si="14"/>
        <v>100</v>
      </c>
      <c r="X33" s="1811"/>
      <c r="Y33" s="3244" t="s">
        <v>2553</v>
      </c>
      <c r="Z33" s="1812" t="str">
        <f t="shared" si="15"/>
        <v>建筑类型</v>
      </c>
      <c r="AA33" s="1809">
        <f t="shared" si="3"/>
        <v>1</v>
      </c>
      <c r="AB33" s="1809">
        <f t="shared" si="4"/>
        <v>1</v>
      </c>
      <c r="AC33" s="2669">
        <f t="shared" si="5"/>
        <v>1</v>
      </c>
    </row>
    <row r="34" spans="1:29" s="471" customFormat="1" ht="15">
      <c r="A34" s="468"/>
      <c r="B34" s="422" t="s">
        <v>2554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7"/>
      <c r="M34" s="1140"/>
      <c r="N34" s="1140"/>
      <c r="O34" s="1140"/>
      <c r="P34" s="3242"/>
      <c r="Q34" s="775" t="str">
        <f t="shared" si="11"/>
        <v>项目建筑规模</v>
      </c>
      <c r="R34" s="776" t="s">
        <v>17</v>
      </c>
      <c r="S34" s="777" t="e">
        <f t="shared" si="12"/>
        <v>#N/A</v>
      </c>
      <c r="T34" s="776" t="s">
        <v>17</v>
      </c>
      <c r="U34" s="777" t="e">
        <f t="shared" si="13"/>
        <v>#N/A</v>
      </c>
      <c r="V34" s="776" t="s">
        <v>17</v>
      </c>
      <c r="W34" s="777" t="e">
        <f t="shared" si="14"/>
        <v>#N/A</v>
      </c>
      <c r="X34" s="778"/>
      <c r="Y34" s="3244"/>
      <c r="Z34" s="779" t="str">
        <f t="shared" si="15"/>
        <v>项目建筑规模</v>
      </c>
      <c r="AA34" s="1809" t="e">
        <f t="shared" si="3"/>
        <v>#N/A</v>
      </c>
      <c r="AB34" s="1809" t="e">
        <f t="shared" si="4"/>
        <v>#N/A</v>
      </c>
      <c r="AC34" s="2669" t="e">
        <f t="shared" si="5"/>
        <v>#N/A</v>
      </c>
    </row>
    <row r="35" spans="1:29" ht="15">
      <c r="A35" s="472"/>
      <c r="B35" s="422" t="s">
        <v>2555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9"/>
      <c r="M35" s="1130"/>
      <c r="N35" s="1130"/>
      <c r="O35" s="1130"/>
      <c r="P35" s="3242"/>
      <c r="Q35" s="1808" t="str">
        <f t="shared" si="11"/>
        <v>建筑结构</v>
      </c>
      <c r="R35" s="773" t="s">
        <v>17</v>
      </c>
      <c r="S35" s="774">
        <f t="shared" si="12"/>
        <v>100</v>
      </c>
      <c r="T35" s="773" t="s">
        <v>17</v>
      </c>
      <c r="U35" s="774">
        <f t="shared" si="13"/>
        <v>100</v>
      </c>
      <c r="V35" s="773" t="s">
        <v>17</v>
      </c>
      <c r="W35" s="774">
        <f t="shared" si="14"/>
        <v>100</v>
      </c>
      <c r="X35" s="1811"/>
      <c r="Y35" s="3244"/>
      <c r="Z35" s="1812" t="str">
        <f t="shared" si="15"/>
        <v>建筑结构</v>
      </c>
      <c r="AA35" s="1809">
        <f t="shared" si="3"/>
        <v>1</v>
      </c>
      <c r="AB35" s="1809">
        <f t="shared" si="4"/>
        <v>1</v>
      </c>
      <c r="AC35" s="2669">
        <f t="shared" si="5"/>
        <v>1</v>
      </c>
    </row>
    <row r="36" spans="1:29" ht="15">
      <c r="A36" s="472"/>
      <c r="B36" s="422" t="s">
        <v>2649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9"/>
      <c r="M36" s="1130"/>
      <c r="N36" s="1130"/>
      <c r="O36" s="1130"/>
      <c r="P36" s="3242"/>
      <c r="Q36" s="1808" t="str">
        <f t="shared" si="11"/>
        <v>公共部分装修</v>
      </c>
      <c r="R36" s="773" t="s">
        <v>17</v>
      </c>
      <c r="S36" s="774">
        <f t="shared" si="12"/>
        <v>100</v>
      </c>
      <c r="T36" s="773" t="s">
        <v>17</v>
      </c>
      <c r="U36" s="774">
        <f t="shared" si="13"/>
        <v>100</v>
      </c>
      <c r="V36" s="773" t="s">
        <v>17</v>
      </c>
      <c r="W36" s="774">
        <f t="shared" si="14"/>
        <v>100</v>
      </c>
      <c r="X36" s="1811"/>
      <c r="Y36" s="3244"/>
      <c r="Z36" s="1812" t="str">
        <f t="shared" si="15"/>
        <v>公共部分装修</v>
      </c>
      <c r="AA36" s="1809">
        <f t="shared" si="3"/>
        <v>1</v>
      </c>
      <c r="AB36" s="1809">
        <f t="shared" si="4"/>
        <v>1</v>
      </c>
      <c r="AC36" s="2669">
        <f t="shared" si="5"/>
        <v>1</v>
      </c>
    </row>
    <row r="37" spans="1:29" ht="15">
      <c r="A37" s="472"/>
      <c r="B37" s="422" t="s">
        <v>2650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9"/>
      <c r="M37" s="1130"/>
      <c r="N37" s="1130"/>
      <c r="O37" s="1130"/>
      <c r="P37" s="3242"/>
      <c r="Q37" s="1808" t="str">
        <f t="shared" si="11"/>
        <v>成新度</v>
      </c>
      <c r="R37" s="773" t="s">
        <v>17</v>
      </c>
      <c r="S37" s="774" t="e">
        <f t="shared" si="12"/>
        <v>#N/A</v>
      </c>
      <c r="T37" s="773" t="s">
        <v>17</v>
      </c>
      <c r="U37" s="774" t="e">
        <f t="shared" si="13"/>
        <v>#N/A</v>
      </c>
      <c r="V37" s="773" t="s">
        <v>17</v>
      </c>
      <c r="W37" s="774" t="e">
        <f t="shared" si="14"/>
        <v>#N/A</v>
      </c>
      <c r="X37" s="1811"/>
      <c r="Y37" s="3244"/>
      <c r="Z37" s="1812" t="str">
        <f t="shared" si="15"/>
        <v>成新度</v>
      </c>
      <c r="AA37" s="1809" t="e">
        <f t="shared" si="3"/>
        <v>#N/A</v>
      </c>
      <c r="AB37" s="1809" t="e">
        <f t="shared" si="4"/>
        <v>#N/A</v>
      </c>
      <c r="AC37" s="2669" t="e">
        <f t="shared" si="5"/>
        <v>#N/A</v>
      </c>
    </row>
    <row r="38" spans="1:29" s="117" customFormat="1" ht="15">
      <c r="A38" s="473"/>
      <c r="B38" s="422" t="s">
        <v>2682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1"/>
      <c r="M38" s="1132"/>
      <c r="N38" s="1132"/>
      <c r="O38" s="1132"/>
      <c r="P38" s="3242"/>
      <c r="Q38" s="1793" t="str">
        <f t="shared" si="11"/>
        <v>写字楼等级</v>
      </c>
      <c r="R38" s="769" t="s">
        <v>17</v>
      </c>
      <c r="S38" s="770">
        <f t="shared" si="12"/>
        <v>100</v>
      </c>
      <c r="T38" s="769" t="s">
        <v>17</v>
      </c>
      <c r="U38" s="770">
        <f t="shared" si="13"/>
        <v>100</v>
      </c>
      <c r="V38" s="769" t="s">
        <v>17</v>
      </c>
      <c r="W38" s="770">
        <f t="shared" si="14"/>
        <v>100</v>
      </c>
      <c r="X38" s="771"/>
      <c r="Y38" s="3244"/>
      <c r="Z38" s="55" t="str">
        <f t="shared" si="15"/>
        <v>写字楼等级</v>
      </c>
      <c r="AA38" s="772">
        <f t="shared" si="3"/>
        <v>1</v>
      </c>
      <c r="AB38" s="772">
        <f t="shared" si="4"/>
        <v>1</v>
      </c>
      <c r="AC38" s="2666">
        <f t="shared" si="5"/>
        <v>1</v>
      </c>
    </row>
    <row r="39" spans="1:29" ht="15">
      <c r="A39" s="472"/>
      <c r="B39" s="422" t="s">
        <v>2683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9"/>
      <c r="M39" s="1130"/>
      <c r="N39" s="1130"/>
      <c r="O39" s="1130"/>
      <c r="P39" s="3242" t="s">
        <v>2553</v>
      </c>
      <c r="Q39" s="1808" t="str">
        <f t="shared" si="11"/>
        <v>物业管理</v>
      </c>
      <c r="R39" s="773" t="s">
        <v>17</v>
      </c>
      <c r="S39" s="774">
        <f t="shared" si="12"/>
        <v>100</v>
      </c>
      <c r="T39" s="773" t="s">
        <v>17</v>
      </c>
      <c r="U39" s="774">
        <f t="shared" si="13"/>
        <v>100</v>
      </c>
      <c r="V39" s="773" t="s">
        <v>17</v>
      </c>
      <c r="W39" s="774">
        <f t="shared" si="14"/>
        <v>100</v>
      </c>
      <c r="X39" s="1811"/>
      <c r="Y39" s="3244" t="s">
        <v>2553</v>
      </c>
      <c r="Z39" s="1812" t="str">
        <f t="shared" si="15"/>
        <v>物业管理</v>
      </c>
      <c r="AA39" s="1809">
        <f t="shared" si="3"/>
        <v>1</v>
      </c>
      <c r="AB39" s="1809">
        <f t="shared" si="4"/>
        <v>1</v>
      </c>
      <c r="AC39" s="2669">
        <f t="shared" si="5"/>
        <v>1</v>
      </c>
    </row>
    <row r="40" spans="1:29" ht="15">
      <c r="A40" s="472"/>
      <c r="B40" s="422" t="s">
        <v>2651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9"/>
      <c r="M40" s="1130"/>
      <c r="N40" s="1130"/>
      <c r="O40" s="1130"/>
      <c r="P40" s="3242"/>
      <c r="Q40" s="1808" t="str">
        <f t="shared" si="11"/>
        <v>市政基础设施</v>
      </c>
      <c r="R40" s="773" t="s">
        <v>17</v>
      </c>
      <c r="S40" s="774">
        <f t="shared" si="12"/>
        <v>100</v>
      </c>
      <c r="T40" s="773" t="s">
        <v>17</v>
      </c>
      <c r="U40" s="774">
        <f t="shared" si="13"/>
        <v>100</v>
      </c>
      <c r="V40" s="773" t="s">
        <v>17</v>
      </c>
      <c r="W40" s="774">
        <f t="shared" si="14"/>
        <v>100</v>
      </c>
      <c r="X40" s="1811"/>
      <c r="Y40" s="3244"/>
      <c r="Z40" s="1812" t="str">
        <f t="shared" si="15"/>
        <v>市政基础设施</v>
      </c>
      <c r="AA40" s="1809">
        <f t="shared" si="3"/>
        <v>1</v>
      </c>
      <c r="AB40" s="1809">
        <f t="shared" si="4"/>
        <v>1</v>
      </c>
      <c r="AC40" s="2669">
        <f t="shared" si="5"/>
        <v>1</v>
      </c>
    </row>
    <row r="41" spans="1:29" ht="15">
      <c r="A41" s="472"/>
      <c r="B41" s="422" t="s">
        <v>2653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9"/>
      <c r="M41" s="1130"/>
      <c r="N41" s="1130"/>
      <c r="O41" s="1130"/>
      <c r="P41" s="3242"/>
      <c r="Q41" s="1808" t="str">
        <f t="shared" si="11"/>
        <v>层高</v>
      </c>
      <c r="R41" s="773" t="s">
        <v>17</v>
      </c>
      <c r="S41" s="774">
        <f t="shared" si="12"/>
        <v>100</v>
      </c>
      <c r="T41" s="773" t="s">
        <v>17</v>
      </c>
      <c r="U41" s="774">
        <f t="shared" si="13"/>
        <v>100</v>
      </c>
      <c r="V41" s="773" t="s">
        <v>17</v>
      </c>
      <c r="W41" s="774">
        <f t="shared" si="14"/>
        <v>100</v>
      </c>
      <c r="X41" s="1811"/>
      <c r="Y41" s="3244"/>
      <c r="Z41" s="1812" t="str">
        <f t="shared" si="15"/>
        <v>层高</v>
      </c>
      <c r="AA41" s="1809">
        <f t="shared" si="3"/>
        <v>1</v>
      </c>
      <c r="AB41" s="1809">
        <f t="shared" si="4"/>
        <v>1</v>
      </c>
      <c r="AC41" s="2669">
        <f t="shared" si="5"/>
        <v>1</v>
      </c>
    </row>
    <row r="42" spans="1:29" s="471" customFormat="1" ht="15">
      <c r="A42" s="468"/>
      <c r="B42" s="1810" t="s">
        <v>2684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242"/>
      <c r="Q42" s="775" t="str">
        <f t="shared" si="11"/>
        <v>单套建筑面积</v>
      </c>
      <c r="R42" s="776" t="s">
        <v>17</v>
      </c>
      <c r="S42" s="777">
        <f t="shared" si="12"/>
        <v>100</v>
      </c>
      <c r="T42" s="776" t="s">
        <v>17</v>
      </c>
      <c r="U42" s="777">
        <f t="shared" si="13"/>
        <v>100</v>
      </c>
      <c r="V42" s="776" t="s">
        <v>17</v>
      </c>
      <c r="W42" s="777">
        <f t="shared" si="14"/>
        <v>100</v>
      </c>
      <c r="X42" s="778"/>
      <c r="Y42" s="3244"/>
      <c r="Z42" s="779" t="str">
        <f t="shared" si="15"/>
        <v>单套建筑面积</v>
      </c>
      <c r="AA42" s="1809">
        <f t="shared" si="3"/>
        <v>1</v>
      </c>
      <c r="AB42" s="1809">
        <f t="shared" si="4"/>
        <v>1</v>
      </c>
      <c r="AC42" s="2669">
        <f t="shared" si="5"/>
        <v>1</v>
      </c>
    </row>
    <row r="43" spans="1:29" ht="15">
      <c r="A43" s="472"/>
      <c r="B43" s="422" t="s">
        <v>2656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9"/>
      <c r="M43" s="1130"/>
      <c r="N43" s="1130"/>
      <c r="O43" s="1130"/>
      <c r="P43" s="3242"/>
      <c r="Q43" s="1808" t="str">
        <f t="shared" si="11"/>
        <v>内部装修</v>
      </c>
      <c r="R43" s="773" t="s">
        <v>17</v>
      </c>
      <c r="S43" s="774">
        <f t="shared" si="12"/>
        <v>100</v>
      </c>
      <c r="T43" s="773" t="s">
        <v>17</v>
      </c>
      <c r="U43" s="774">
        <f t="shared" si="13"/>
        <v>100</v>
      </c>
      <c r="V43" s="773" t="s">
        <v>17</v>
      </c>
      <c r="W43" s="774">
        <f t="shared" si="14"/>
        <v>100</v>
      </c>
      <c r="X43" s="1811"/>
      <c r="Y43" s="3244"/>
      <c r="Z43" s="1812" t="str">
        <f t="shared" si="15"/>
        <v>内部装修</v>
      </c>
      <c r="AA43" s="1809">
        <f t="shared" si="3"/>
        <v>1</v>
      </c>
      <c r="AB43" s="1809">
        <f t="shared" si="4"/>
        <v>1</v>
      </c>
      <c r="AC43" s="2669">
        <f t="shared" si="5"/>
        <v>1</v>
      </c>
    </row>
    <row r="44" spans="1:29" ht="15">
      <c r="A44" s="472"/>
      <c r="B44" s="422" t="s">
        <v>2564</v>
      </c>
      <c r="C44" s="460"/>
      <c r="D44" s="435">
        <v>100</v>
      </c>
      <c r="E44" s="2608"/>
      <c r="F44" s="461">
        <f>SUMIF(125:125,E44,126:126)-SUMIF(125:125,C44,126:126)+100</f>
        <v>100</v>
      </c>
      <c r="G44" s="2608"/>
      <c r="H44" s="435">
        <f>SUMIF(125:125,G44,126:126)-SUMIF(125:125,C44,126:126)+100</f>
        <v>100</v>
      </c>
      <c r="I44" s="2608"/>
      <c r="J44" s="435">
        <f>SUMIF(125:125,I44,126:126)-SUMIF(125:125,C44,126:126)+100</f>
        <v>100</v>
      </c>
      <c r="K44" s="612"/>
      <c r="L44" s="1139"/>
      <c r="M44" s="1130"/>
      <c r="N44" s="1130"/>
      <c r="O44" s="1130"/>
      <c r="P44" s="3242"/>
      <c r="Q44" s="1808" t="str">
        <f t="shared" si="11"/>
        <v>内部装修维护情况</v>
      </c>
      <c r="R44" s="773" t="s">
        <v>17</v>
      </c>
      <c r="S44" s="774">
        <f t="shared" si="12"/>
        <v>100</v>
      </c>
      <c r="T44" s="773" t="s">
        <v>17</v>
      </c>
      <c r="U44" s="774">
        <f t="shared" si="13"/>
        <v>100</v>
      </c>
      <c r="V44" s="773" t="s">
        <v>17</v>
      </c>
      <c r="W44" s="774">
        <f t="shared" si="14"/>
        <v>100</v>
      </c>
      <c r="X44" s="1811"/>
      <c r="Y44" s="3244"/>
      <c r="Z44" s="1812" t="str">
        <f t="shared" si="15"/>
        <v>内部装修维护情况</v>
      </c>
      <c r="AA44" s="1809">
        <f t="shared" si="3"/>
        <v>1</v>
      </c>
      <c r="AB44" s="1809">
        <f t="shared" si="4"/>
        <v>1</v>
      </c>
      <c r="AC44" s="2669">
        <f t="shared" si="5"/>
        <v>1</v>
      </c>
    </row>
    <row r="45" spans="1:29" s="117" customFormat="1" ht="15">
      <c r="A45" s="473"/>
      <c r="B45" s="1385">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242"/>
      <c r="Q45" s="1793">
        <f t="shared" si="11"/>
        <v>111</v>
      </c>
      <c r="R45" s="769" t="s">
        <v>17</v>
      </c>
      <c r="S45" s="770">
        <f t="shared" si="12"/>
        <v>100</v>
      </c>
      <c r="T45" s="769" t="s">
        <v>17</v>
      </c>
      <c r="U45" s="770">
        <f t="shared" si="13"/>
        <v>100</v>
      </c>
      <c r="V45" s="769" t="s">
        <v>17</v>
      </c>
      <c r="W45" s="770">
        <f t="shared" si="14"/>
        <v>100</v>
      </c>
      <c r="X45" s="771"/>
      <c r="Y45" s="3244"/>
      <c r="Z45" s="55">
        <f t="shared" si="15"/>
        <v>111</v>
      </c>
      <c r="AA45" s="772">
        <f t="shared" si="3"/>
        <v>1</v>
      </c>
      <c r="AB45" s="772">
        <f t="shared" si="4"/>
        <v>1</v>
      </c>
      <c r="AC45" s="2666">
        <f t="shared" si="5"/>
        <v>1</v>
      </c>
    </row>
    <row r="46" spans="1:29" ht="15">
      <c r="A46" s="472"/>
      <c r="B46" s="1385">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242"/>
      <c r="Q46" s="1808">
        <f t="shared" si="11"/>
        <v>111</v>
      </c>
      <c r="R46" s="773" t="s">
        <v>17</v>
      </c>
      <c r="S46" s="774">
        <f t="shared" si="12"/>
        <v>100</v>
      </c>
      <c r="T46" s="773" t="s">
        <v>17</v>
      </c>
      <c r="U46" s="774">
        <f t="shared" si="13"/>
        <v>100</v>
      </c>
      <c r="V46" s="773" t="s">
        <v>17</v>
      </c>
      <c r="W46" s="774">
        <f t="shared" si="14"/>
        <v>100</v>
      </c>
      <c r="X46" s="1811"/>
      <c r="Y46" s="3244"/>
      <c r="Z46" s="1812">
        <f t="shared" si="15"/>
        <v>111</v>
      </c>
      <c r="AA46" s="1809">
        <f t="shared" si="3"/>
        <v>1</v>
      </c>
      <c r="AB46" s="1809">
        <f t="shared" si="4"/>
        <v>1</v>
      </c>
      <c r="AC46" s="2669">
        <f t="shared" si="5"/>
        <v>1</v>
      </c>
    </row>
    <row r="47" spans="1:29" ht="15.75" thickBot="1">
      <c r="A47" s="478"/>
      <c r="B47" s="2597">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243"/>
      <c r="Q47" s="1808">
        <f t="shared" si="11"/>
        <v>111</v>
      </c>
      <c r="R47" s="773" t="s">
        <v>17</v>
      </c>
      <c r="S47" s="774">
        <f t="shared" si="12"/>
        <v>100</v>
      </c>
      <c r="T47" s="773" t="s">
        <v>17</v>
      </c>
      <c r="U47" s="774">
        <f t="shared" si="13"/>
        <v>100</v>
      </c>
      <c r="V47" s="773" t="s">
        <v>17</v>
      </c>
      <c r="W47" s="774">
        <f t="shared" si="14"/>
        <v>100</v>
      </c>
      <c r="X47" s="1811"/>
      <c r="Y47" s="3245"/>
      <c r="Z47" s="1812">
        <f t="shared" si="15"/>
        <v>111</v>
      </c>
      <c r="AA47" s="1809">
        <f t="shared" si="3"/>
        <v>1</v>
      </c>
      <c r="AB47" s="1809">
        <f t="shared" si="4"/>
        <v>1</v>
      </c>
      <c r="AC47" s="2669">
        <f t="shared" si="5"/>
        <v>1</v>
      </c>
    </row>
    <row r="48" spans="1:29" ht="15">
      <c r="A48" s="479" t="s">
        <v>2565</v>
      </c>
      <c r="B48" s="480"/>
      <c r="C48" s="1406" t="s">
        <v>1</v>
      </c>
      <c r="D48" s="1407"/>
      <c r="E48" s="1408"/>
      <c r="F48" s="1409"/>
      <c r="G48" s="1410"/>
      <c r="H48" s="1411"/>
      <c r="I48" s="1408"/>
      <c r="J48" s="485"/>
      <c r="K48" s="782"/>
      <c r="L48" s="1142"/>
      <c r="M48" s="1130"/>
      <c r="N48" s="1130"/>
      <c r="O48" s="1130"/>
      <c r="P48" s="3223" t="str">
        <f>A48</f>
        <v>成交单价（元/平方米）</v>
      </c>
      <c r="Q48" s="3246"/>
      <c r="R48" s="3247">
        <f>E48</f>
        <v>0</v>
      </c>
      <c r="S48" s="3247"/>
      <c r="T48" s="3247">
        <f>G48</f>
        <v>0</v>
      </c>
      <c r="U48" s="3247"/>
      <c r="V48" s="3247">
        <f>I48</f>
        <v>0</v>
      </c>
      <c r="W48" s="3247"/>
      <c r="X48" s="446"/>
      <c r="Y48" s="780"/>
      <c r="Z48" s="446"/>
      <c r="AA48" s="446"/>
      <c r="AB48" s="446"/>
      <c r="AC48" s="630"/>
    </row>
    <row r="49" spans="1:29" ht="15.75" thickBot="1">
      <c r="A49" s="486" t="s">
        <v>2657</v>
      </c>
      <c r="B49" s="487"/>
      <c r="C49" s="1412" t="e">
        <f>R50</f>
        <v>#DIV/0!</v>
      </c>
      <c r="D49" s="1413"/>
      <c r="E49" s="1414" t="e">
        <f>R49</f>
        <v>#DIV/0!</v>
      </c>
      <c r="F49" s="1414"/>
      <c r="G49" s="1412" t="e">
        <f>T49</f>
        <v>#DIV/0!</v>
      </c>
      <c r="H49" s="1413"/>
      <c r="I49" s="1414" t="e">
        <f>V49</f>
        <v>#DIV/0!</v>
      </c>
      <c r="J49" s="489"/>
      <c r="K49" s="783"/>
      <c r="L49" s="1142"/>
      <c r="M49" s="1130"/>
      <c r="N49" s="1130"/>
      <c r="O49" s="1130"/>
      <c r="P49" s="3223" t="str">
        <f>A49</f>
        <v>比较价值（元/平方米）</v>
      </c>
      <c r="Q49" s="3246"/>
      <c r="R49" s="3247" t="e">
        <f>IF(F1="售价",ROUND(PRODUCT(R48,AA7:AA47),0),ROUND(PRODUCT(R48,AA7:AA47),1))</f>
        <v>#DIV/0!</v>
      </c>
      <c r="S49" s="3247"/>
      <c r="T49" s="3247" t="e">
        <f>IF(F1="售价",ROUND(PRODUCT(T48,AB7:AB47),0),ROUND(PRODUCT(T48,AB7:AB47),1))</f>
        <v>#DIV/0!</v>
      </c>
      <c r="U49" s="3247"/>
      <c r="V49" s="3247" t="e">
        <f>IF(F1="售价",ROUND(PRODUCT(V48,AC7:AC47),0),ROUND(PRODUCT(V48,AC7:AC47),1))</f>
        <v>#DIV/0!</v>
      </c>
      <c r="W49" s="3247"/>
      <c r="X49" s="446"/>
      <c r="Y49" s="446"/>
      <c r="Z49" s="446"/>
      <c r="AA49" s="446"/>
      <c r="AB49" s="446"/>
      <c r="AC49" s="630"/>
    </row>
    <row r="50" spans="1:29" ht="15.75" thickBot="1">
      <c r="A50" s="492" t="s">
        <v>2658</v>
      </c>
      <c r="B50" s="493"/>
      <c r="C50" s="1416" t="e">
        <f>R50</f>
        <v>#DIV/0!</v>
      </c>
      <c r="D50" s="1416"/>
      <c r="E50" s="1416"/>
      <c r="F50" s="1416"/>
      <c r="G50" s="1416"/>
      <c r="H50" s="1416"/>
      <c r="I50" s="1416"/>
      <c r="J50" s="494"/>
      <c r="K50" s="784"/>
      <c r="L50" s="1142"/>
      <c r="M50" s="1130"/>
      <c r="N50" s="1130"/>
      <c r="O50" s="1130"/>
      <c r="P50" s="3296" t="str">
        <f>A50</f>
        <v>估价对象XX用房的比较价值（楼面单价，元/平方米）</v>
      </c>
      <c r="Q50" s="3297"/>
      <c r="R50" s="3298" t="e">
        <f>IF(F1="售价",ROUND(AVERAGE(R49:V49),0),ROUND(AVERAGE(R49:V49),1))</f>
        <v>#DIV/0!</v>
      </c>
      <c r="S50" s="3298"/>
      <c r="T50" s="3298"/>
      <c r="U50" s="3298"/>
      <c r="V50" s="3298"/>
      <c r="W50" s="3298"/>
      <c r="X50" s="2649"/>
      <c r="Y50" s="2649"/>
      <c r="Z50" s="2649"/>
      <c r="AA50" s="2649"/>
      <c r="AB50" s="2649"/>
      <c r="AC50" s="2650"/>
    </row>
    <row r="51" spans="1:29">
      <c r="A51" s="1143"/>
      <c r="B51" s="1143"/>
      <c r="C51" s="1143"/>
      <c r="D51" s="1143"/>
      <c r="E51" s="1143"/>
      <c r="F51" s="1143"/>
      <c r="G51" s="1146"/>
      <c r="H51" s="1143"/>
      <c r="I51" s="1143"/>
      <c r="J51" s="1143"/>
      <c r="K51" s="1105"/>
      <c r="L51" s="1106"/>
      <c r="M51" s="1143"/>
      <c r="N51" s="1143"/>
      <c r="O51" s="1143"/>
    </row>
    <row r="52" spans="1:29">
      <c r="A52" s="1143"/>
      <c r="B52" s="1143"/>
      <c r="C52" s="1143"/>
      <c r="D52" s="1143"/>
      <c r="E52" s="1143"/>
      <c r="F52" s="1143"/>
      <c r="G52" s="1143"/>
      <c r="H52" s="1143"/>
      <c r="I52" s="1143"/>
      <c r="J52" s="1143"/>
      <c r="K52" s="1105"/>
      <c r="L52" s="1106"/>
      <c r="M52" s="1143"/>
      <c r="N52" s="1143"/>
      <c r="O52" s="1143"/>
    </row>
    <row r="53" spans="1:29" ht="13.5" customHeight="1">
      <c r="A53" s="1143"/>
      <c r="B53" s="1143"/>
      <c r="C53" s="497" t="s">
        <v>2659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3"/>
      <c r="N53" s="1143"/>
      <c r="O53" s="1143"/>
    </row>
    <row r="54" spans="1:29" ht="13.5" customHeight="1">
      <c r="A54" s="1143"/>
      <c r="B54" s="1143"/>
      <c r="C54" s="497" t="s">
        <v>2660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3"/>
      <c r="N54" s="1143"/>
      <c r="O54" s="1143"/>
    </row>
    <row r="55" spans="1:29" s="502" customFormat="1" ht="13.5" customHeight="1">
      <c r="A55" s="1144"/>
      <c r="B55" s="1144"/>
      <c r="C55" s="497" t="s">
        <v>2661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7"/>
      <c r="L55" s="1148"/>
      <c r="M55" s="1144"/>
      <c r="N55" s="1144"/>
      <c r="O55" s="1144"/>
      <c r="P55" s="2675"/>
    </row>
    <row r="56" spans="1:29" s="502" customFormat="1">
      <c r="A56" s="1144"/>
      <c r="B56" s="1145"/>
      <c r="C56" s="1149"/>
      <c r="D56" s="1144"/>
      <c r="E56" s="1144"/>
      <c r="F56" s="1144"/>
      <c r="G56" s="1144"/>
      <c r="H56" s="1144"/>
      <c r="I56" s="1144"/>
      <c r="J56" s="1144"/>
      <c r="K56" s="1147"/>
      <c r="L56" s="1148"/>
      <c r="M56" s="1144"/>
      <c r="N56" s="1144"/>
      <c r="O56" s="1144"/>
      <c r="P56" s="2675"/>
    </row>
    <row r="57" spans="1:29">
      <c r="A57" s="1143"/>
      <c r="B57" s="1145"/>
      <c r="C57" s="1149"/>
      <c r="D57" s="1143"/>
      <c r="E57" s="1143"/>
      <c r="F57" s="1143"/>
      <c r="G57" s="1143"/>
      <c r="H57" s="1143"/>
      <c r="I57" s="1143"/>
      <c r="J57" s="1143"/>
      <c r="K57" s="1105"/>
      <c r="L57" s="1106"/>
      <c r="M57" s="1143"/>
      <c r="N57" s="1143"/>
      <c r="O57" s="1143"/>
    </row>
    <row r="58" spans="1:29" ht="21.75" thickBot="1">
      <c r="A58" s="762" t="s">
        <v>2662</v>
      </c>
      <c r="B58" s="758"/>
      <c r="C58" s="763"/>
      <c r="D58" s="763"/>
      <c r="E58" s="763"/>
      <c r="F58" s="764"/>
      <c r="G58" s="764"/>
      <c r="H58" s="763"/>
      <c r="I58" s="763"/>
      <c r="J58" s="763"/>
      <c r="K58" s="765"/>
      <c r="L58" s="1160"/>
      <c r="M58" s="1158"/>
      <c r="N58" s="1158"/>
      <c r="O58" s="1158"/>
      <c r="P58" s="2676"/>
      <c r="Q58" s="504"/>
    </row>
    <row r="59" spans="1:29" s="508" customFormat="1" ht="15">
      <c r="A59" s="505" t="s">
        <v>2536</v>
      </c>
      <c r="B59" s="506"/>
      <c r="C59" s="1573" t="str">
        <f>YEAR(C7)&amp;"-"&amp;MONTH(C7)</f>
        <v>2018-2</v>
      </c>
      <c r="D59" s="1574">
        <f>EDATE(C59,-1)</f>
        <v>43101</v>
      </c>
      <c r="E59" s="1574">
        <f>EDATE(D59,-1)</f>
        <v>43070</v>
      </c>
      <c r="F59" s="1574">
        <f t="shared" ref="F59:O59" si="16">EDATE(E59,-1)</f>
        <v>43040</v>
      </c>
      <c r="G59" s="1574">
        <f t="shared" si="16"/>
        <v>43009</v>
      </c>
      <c r="H59" s="1574">
        <f t="shared" si="16"/>
        <v>42979</v>
      </c>
      <c r="I59" s="1574">
        <f t="shared" si="16"/>
        <v>42948</v>
      </c>
      <c r="J59" s="1574">
        <f t="shared" si="16"/>
        <v>42917</v>
      </c>
      <c r="K59" s="1574">
        <f t="shared" si="16"/>
        <v>42887</v>
      </c>
      <c r="L59" s="1574">
        <f t="shared" si="16"/>
        <v>42856</v>
      </c>
      <c r="M59" s="1574">
        <f t="shared" si="16"/>
        <v>42826</v>
      </c>
      <c r="N59" s="1574">
        <f t="shared" si="16"/>
        <v>42795</v>
      </c>
      <c r="O59" s="1574">
        <f t="shared" si="16"/>
        <v>42767</v>
      </c>
      <c r="P59" s="1570"/>
    </row>
    <row r="60" spans="1:29" s="117" customFormat="1" ht="15">
      <c r="A60" s="509"/>
      <c r="B60" s="510"/>
      <c r="C60" s="1572">
        <v>100</v>
      </c>
      <c r="D60" s="512"/>
      <c r="E60" s="512"/>
      <c r="F60" s="512"/>
      <c r="G60" s="512"/>
      <c r="H60" s="512"/>
      <c r="I60" s="512"/>
      <c r="J60" s="512"/>
      <c r="K60" s="512"/>
      <c r="L60" s="512"/>
      <c r="M60" s="513"/>
      <c r="N60" s="512"/>
      <c r="O60" s="513"/>
      <c r="P60" s="2677"/>
    </row>
    <row r="61" spans="1:29" s="117" customFormat="1" ht="15.75" thickBot="1">
      <c r="A61" s="515" t="s">
        <v>2573</v>
      </c>
      <c r="B61" s="516"/>
      <c r="C61" s="517"/>
      <c r="D61" s="518"/>
      <c r="E61" s="518"/>
      <c r="F61" s="518"/>
      <c r="G61" s="518"/>
      <c r="H61" s="518"/>
      <c r="I61" s="518"/>
      <c r="J61" s="518"/>
      <c r="K61" s="518"/>
      <c r="L61" s="518"/>
      <c r="M61" s="519"/>
      <c r="N61" s="518"/>
      <c r="O61" s="519"/>
      <c r="P61" s="2677"/>
      <c r="Q61" s="504"/>
    </row>
    <row r="62" spans="1:29" s="117" customFormat="1" ht="15">
      <c r="A62" s="521" t="s">
        <v>2538</v>
      </c>
      <c r="B62" s="510"/>
      <c r="C62" s="522" t="s">
        <v>2640</v>
      </c>
      <c r="D62" s="523"/>
      <c r="E62" s="523"/>
      <c r="F62" s="523"/>
      <c r="G62" s="523"/>
      <c r="H62" s="523"/>
      <c r="I62" s="523"/>
      <c r="J62" s="523"/>
      <c r="K62" s="523"/>
      <c r="L62" s="524"/>
      <c r="M62" s="525"/>
      <c r="N62" s="1150"/>
      <c r="O62" s="1150"/>
      <c r="P62" s="2678"/>
      <c r="Q62" s="504"/>
    </row>
    <row r="63" spans="1:29" s="117" customFormat="1" ht="15.75" thickBot="1">
      <c r="A63" s="521"/>
      <c r="B63" s="510"/>
      <c r="C63" s="511">
        <v>100</v>
      </c>
      <c r="D63" s="512"/>
      <c r="E63" s="512"/>
      <c r="F63" s="512"/>
      <c r="G63" s="512"/>
      <c r="H63" s="512"/>
      <c r="I63" s="512"/>
      <c r="J63" s="512"/>
      <c r="K63" s="512"/>
      <c r="L63" s="512"/>
      <c r="M63" s="514"/>
      <c r="N63" s="1150"/>
      <c r="O63" s="1150"/>
      <c r="P63" s="2677"/>
      <c r="Q63" s="504"/>
    </row>
    <row r="64" spans="1:29">
      <c r="A64" s="527" t="s">
        <v>2576</v>
      </c>
      <c r="B64" s="528" t="s">
        <v>2542</v>
      </c>
      <c r="C64" s="529">
        <f>C9</f>
        <v>0</v>
      </c>
      <c r="D64" s="530"/>
      <c r="E64" s="530"/>
      <c r="F64" s="530"/>
      <c r="G64" s="530"/>
      <c r="H64" s="530"/>
      <c r="I64" s="530"/>
      <c r="J64" s="530"/>
      <c r="K64" s="531"/>
      <c r="L64" s="532"/>
      <c r="M64" s="533"/>
      <c r="N64" s="1151"/>
      <c r="O64" s="1151"/>
      <c r="P64" s="2679"/>
      <c r="Q64" s="504"/>
    </row>
    <row r="65" spans="1:17" ht="15.75" thickBot="1">
      <c r="A65" s="534"/>
      <c r="B65" s="535"/>
      <c r="C65" s="536">
        <v>100</v>
      </c>
      <c r="D65" s="536"/>
      <c r="E65" s="536"/>
      <c r="F65" s="536"/>
      <c r="G65" s="536"/>
      <c r="H65" s="536"/>
      <c r="I65" s="536"/>
      <c r="J65" s="536"/>
      <c r="K65" s="536"/>
      <c r="L65" s="536"/>
      <c r="M65" s="537"/>
      <c r="N65" s="1152"/>
      <c r="O65" s="1152"/>
      <c r="P65" s="2679"/>
      <c r="Q65" s="504"/>
    </row>
    <row r="66" spans="1:17" ht="27.75" thickTop="1">
      <c r="A66" s="534"/>
      <c r="B66" s="538" t="s">
        <v>2545</v>
      </c>
      <c r="C66" s="539" t="s">
        <v>2577</v>
      </c>
      <c r="D66" s="539" t="s">
        <v>2578</v>
      </c>
      <c r="E66" s="539" t="s">
        <v>2579</v>
      </c>
      <c r="F66" s="539" t="s">
        <v>2580</v>
      </c>
      <c r="G66" s="539" t="s">
        <v>2581</v>
      </c>
      <c r="H66" s="539" t="s">
        <v>2582</v>
      </c>
      <c r="I66" s="539" t="s">
        <v>2583</v>
      </c>
      <c r="J66" s="539"/>
      <c r="K66" s="540"/>
      <c r="L66" s="541"/>
      <c r="M66" s="542"/>
      <c r="N66" s="1151"/>
      <c r="O66" s="1151"/>
      <c r="P66" s="2679"/>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2"/>
      <c r="O67" s="1152"/>
      <c r="P67" s="2679"/>
      <c r="Q67" s="504"/>
    </row>
    <row r="68" spans="1:17" ht="15.75" thickTop="1">
      <c r="A68" s="534"/>
      <c r="B68" s="546" t="s">
        <v>2546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79"/>
      <c r="Q68" s="504"/>
    </row>
    <row r="69" spans="1:17" ht="15">
      <c r="A69" s="534"/>
      <c r="B69" s="548"/>
      <c r="C69" s="549"/>
      <c r="D69" s="549"/>
      <c r="E69" s="549"/>
      <c r="F69" s="549"/>
      <c r="G69" s="549"/>
      <c r="H69" s="549"/>
      <c r="I69" s="549"/>
      <c r="J69" s="549"/>
      <c r="K69" s="550"/>
      <c r="L69" s="551"/>
      <c r="M69" s="552"/>
      <c r="N69" s="1151"/>
      <c r="O69" s="1151"/>
      <c r="P69" s="267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79"/>
      <c r="Q70" s="504"/>
    </row>
    <row r="71" spans="1:17" s="471" customFormat="1" ht="15.75" thickTop="1">
      <c r="A71" s="553"/>
      <c r="B71" s="538">
        <f>B12</f>
        <v>111</v>
      </c>
      <c r="C71" s="554"/>
      <c r="D71" s="554"/>
      <c r="E71" s="554"/>
      <c r="F71" s="554"/>
      <c r="G71" s="554"/>
      <c r="H71" s="555"/>
      <c r="I71" s="555"/>
      <c r="J71" s="555"/>
      <c r="K71" s="555"/>
      <c r="L71" s="556"/>
      <c r="M71" s="557"/>
      <c r="N71" s="1153"/>
      <c r="O71" s="1153"/>
      <c r="P71" s="2680"/>
      <c r="Q71" s="559"/>
    </row>
    <row r="72" spans="1:17" s="471" customFormat="1" ht="15.75" thickBot="1">
      <c r="A72" s="553"/>
      <c r="B72" s="543"/>
      <c r="C72" s="560"/>
      <c r="D72" s="536"/>
      <c r="E72" s="536"/>
      <c r="F72" s="536"/>
      <c r="G72" s="536"/>
      <c r="H72" s="536"/>
      <c r="I72" s="536"/>
      <c r="J72" s="536"/>
      <c r="K72" s="536"/>
      <c r="L72" s="536"/>
      <c r="M72" s="537"/>
      <c r="N72" s="1152"/>
      <c r="O72" s="1152"/>
      <c r="P72" s="2680"/>
      <c r="Q72" s="559"/>
    </row>
    <row r="73" spans="1:17" s="471" customFormat="1" ht="15.75" thickTop="1">
      <c r="A73" s="553"/>
      <c r="B73" s="538">
        <f>B13</f>
        <v>111</v>
      </c>
      <c r="C73" s="554"/>
      <c r="D73" s="554"/>
      <c r="E73" s="554"/>
      <c r="F73" s="554"/>
      <c r="G73" s="554"/>
      <c r="H73" s="555"/>
      <c r="I73" s="555"/>
      <c r="J73" s="555"/>
      <c r="K73" s="555"/>
      <c r="L73" s="556"/>
      <c r="M73" s="557"/>
      <c r="N73" s="1153"/>
      <c r="O73" s="1153"/>
      <c r="P73" s="2681"/>
      <c r="Q73" s="561"/>
    </row>
    <row r="74" spans="1:17" s="471" customFormat="1" ht="15.75" thickBot="1">
      <c r="A74" s="553"/>
      <c r="B74" s="543"/>
      <c r="C74" s="560"/>
      <c r="D74" s="560"/>
      <c r="E74" s="560"/>
      <c r="F74" s="560"/>
      <c r="G74" s="560"/>
      <c r="H74" s="562"/>
      <c r="I74" s="562"/>
      <c r="J74" s="562"/>
      <c r="K74" s="562"/>
      <c r="L74" s="562"/>
      <c r="M74" s="563"/>
      <c r="N74" s="1153"/>
      <c r="O74" s="1153"/>
      <c r="P74" s="2680"/>
      <c r="Q74" s="559"/>
    </row>
    <row r="75" spans="1:17" s="471" customFormat="1" ht="15.75" thickTop="1">
      <c r="A75" s="553"/>
      <c r="B75" s="546">
        <f>B14</f>
        <v>111</v>
      </c>
      <c r="C75" s="523"/>
      <c r="D75" s="523"/>
      <c r="E75" s="523"/>
      <c r="F75" s="523"/>
      <c r="G75" s="523"/>
      <c r="H75" s="564"/>
      <c r="I75" s="564"/>
      <c r="J75" s="564"/>
      <c r="K75" s="564"/>
      <c r="L75" s="565"/>
      <c r="M75" s="566"/>
      <c r="N75" s="1153"/>
      <c r="O75" s="1153"/>
      <c r="P75" s="2682"/>
      <c r="Q75" s="559"/>
    </row>
    <row r="76" spans="1:17" s="471" customFormat="1" ht="15.75" thickBot="1">
      <c r="A76" s="568"/>
      <c r="B76" s="569"/>
      <c r="C76" s="570"/>
      <c r="D76" s="570"/>
      <c r="E76" s="570"/>
      <c r="F76" s="570"/>
      <c r="G76" s="570"/>
      <c r="H76" s="571"/>
      <c r="I76" s="571"/>
      <c r="J76" s="571"/>
      <c r="K76" s="571"/>
      <c r="L76" s="571"/>
      <c r="M76" s="572"/>
      <c r="N76" s="1153"/>
      <c r="O76" s="1153"/>
      <c r="P76" s="2680"/>
      <c r="Q76" s="559"/>
    </row>
    <row r="77" spans="1:17">
      <c r="A77" s="527" t="s">
        <v>2547</v>
      </c>
      <c r="B77" s="528" t="s">
        <v>2685</v>
      </c>
      <c r="C77" s="573" t="s">
        <v>2585</v>
      </c>
      <c r="D77" s="573" t="s">
        <v>2586</v>
      </c>
      <c r="E77" s="573" t="s">
        <v>2587</v>
      </c>
      <c r="F77" s="573" t="s">
        <v>2588</v>
      </c>
      <c r="G77" s="573" t="s">
        <v>2589</v>
      </c>
      <c r="H77" s="529"/>
      <c r="I77" s="529"/>
      <c r="J77" s="529"/>
      <c r="K77" s="574"/>
      <c r="L77" s="575"/>
      <c r="M77" s="576"/>
      <c r="N77" s="1151"/>
      <c r="O77" s="1151"/>
      <c r="P77" s="2683"/>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2"/>
      <c r="O78" s="1152"/>
      <c r="P78" s="2679"/>
      <c r="Q78" s="504"/>
    </row>
    <row r="79" spans="1:17" ht="15.75" thickTop="1">
      <c r="A79" s="534"/>
      <c r="B79" s="538" t="s">
        <v>2590</v>
      </c>
      <c r="C79" s="578" t="s">
        <v>2585</v>
      </c>
      <c r="D79" s="578" t="s">
        <v>2586</v>
      </c>
      <c r="E79" s="578" t="s">
        <v>2587</v>
      </c>
      <c r="F79" s="578" t="s">
        <v>2588</v>
      </c>
      <c r="G79" s="578" t="s">
        <v>2589</v>
      </c>
      <c r="H79" s="539"/>
      <c r="I79" s="539"/>
      <c r="J79" s="539"/>
      <c r="K79" s="540"/>
      <c r="L79" s="541"/>
      <c r="M79" s="542"/>
      <c r="N79" s="1151"/>
      <c r="O79" s="1151"/>
      <c r="P79" s="2679"/>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2"/>
      <c r="O80" s="1152"/>
      <c r="P80" s="2679"/>
      <c r="Q80" s="504"/>
    </row>
    <row r="81" spans="1:17" ht="15.75" thickTop="1">
      <c r="A81" s="534"/>
      <c r="B81" s="538" t="s">
        <v>2591</v>
      </c>
      <c r="C81" s="578" t="s">
        <v>2585</v>
      </c>
      <c r="D81" s="578" t="s">
        <v>2586</v>
      </c>
      <c r="E81" s="578" t="s">
        <v>2587</v>
      </c>
      <c r="F81" s="578" t="s">
        <v>2588</v>
      </c>
      <c r="G81" s="578" t="s">
        <v>2589</v>
      </c>
      <c r="H81" s="539"/>
      <c r="I81" s="539"/>
      <c r="J81" s="539"/>
      <c r="K81" s="540"/>
      <c r="L81" s="541"/>
      <c r="M81" s="542"/>
      <c r="N81" s="1151"/>
      <c r="O81" s="1151"/>
      <c r="P81" s="2679"/>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2"/>
      <c r="O82" s="1152"/>
      <c r="P82" s="2679"/>
      <c r="Q82" s="504"/>
    </row>
    <row r="83" spans="1:17" ht="15.75" thickTop="1">
      <c r="A83" s="534"/>
      <c r="B83" s="546" t="s">
        <v>2677</v>
      </c>
      <c r="C83" s="660" t="s">
        <v>2663</v>
      </c>
      <c r="D83" s="660" t="s">
        <v>2664</v>
      </c>
      <c r="E83" s="660" t="s">
        <v>2665</v>
      </c>
      <c r="F83" s="660" t="s">
        <v>2666</v>
      </c>
      <c r="G83" s="660" t="s">
        <v>2667</v>
      </c>
      <c r="H83" s="539"/>
      <c r="I83" s="539"/>
      <c r="J83" s="539"/>
      <c r="K83" s="539"/>
      <c r="L83" s="539"/>
      <c r="M83" s="1381"/>
      <c r="N83" s="1152"/>
      <c r="O83" s="1152"/>
      <c r="P83" s="2679"/>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2"/>
      <c r="O84" s="1152"/>
      <c r="P84" s="2679"/>
      <c r="Q84" s="504"/>
    </row>
    <row r="85" spans="1:17" ht="15.75" thickTop="1">
      <c r="A85" s="534"/>
      <c r="B85" s="538" t="s">
        <v>2686</v>
      </c>
      <c r="C85" s="578" t="s">
        <v>2585</v>
      </c>
      <c r="D85" s="578" t="s">
        <v>2586</v>
      </c>
      <c r="E85" s="578" t="s">
        <v>2587</v>
      </c>
      <c r="F85" s="578" t="s">
        <v>2588</v>
      </c>
      <c r="G85" s="578" t="s">
        <v>2589</v>
      </c>
      <c r="H85" s="539"/>
      <c r="I85" s="539"/>
      <c r="J85" s="539"/>
      <c r="K85" s="540"/>
      <c r="L85" s="541"/>
      <c r="M85" s="542"/>
      <c r="N85" s="1151"/>
      <c r="O85" s="1151"/>
      <c r="P85" s="2679"/>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2"/>
      <c r="O86" s="1152"/>
      <c r="P86" s="2679"/>
      <c r="Q86" s="504"/>
    </row>
    <row r="87" spans="1:17" s="117" customFormat="1" ht="27.75" thickTop="1">
      <c r="A87" s="579"/>
      <c r="B87" s="538" t="s">
        <v>2687</v>
      </c>
      <c r="C87" s="554"/>
      <c r="D87" s="554"/>
      <c r="E87" s="554"/>
      <c r="F87" s="554"/>
      <c r="G87" s="554"/>
      <c r="H87" s="554"/>
      <c r="I87" s="554"/>
      <c r="J87" s="554"/>
      <c r="K87" s="554"/>
      <c r="L87" s="580"/>
      <c r="M87" s="581"/>
      <c r="N87" s="1150"/>
      <c r="O87" s="1150"/>
      <c r="P87" s="2679"/>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2"/>
      <c r="O88" s="1152"/>
      <c r="P88" s="2679"/>
      <c r="Q88" s="504"/>
    </row>
    <row r="89" spans="1:17" s="117" customFormat="1" ht="15.75" thickTop="1">
      <c r="A89" s="579"/>
      <c r="B89" s="538" t="str">
        <f>B27</f>
        <v>楼层</v>
      </c>
      <c r="C89" s="554"/>
      <c r="D89" s="554"/>
      <c r="E89" s="554"/>
      <c r="F89" s="2630"/>
      <c r="G89" s="554"/>
      <c r="H89" s="554"/>
      <c r="I89" s="554"/>
      <c r="J89" s="554"/>
      <c r="K89" s="554"/>
      <c r="L89" s="554"/>
      <c r="M89" s="581"/>
      <c r="N89" s="1150"/>
      <c r="O89" s="1150"/>
      <c r="P89" s="2679"/>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2"/>
      <c r="O90" s="1152"/>
      <c r="P90" s="2679"/>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8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3"/>
      <c r="O92" s="1153"/>
      <c r="P92" s="2680"/>
      <c r="Q92" s="559"/>
    </row>
    <row r="93" spans="1:17" ht="15.75" thickTop="1">
      <c r="A93" s="534"/>
      <c r="B93" s="538">
        <f>B29</f>
        <v>111</v>
      </c>
      <c r="C93" s="554"/>
      <c r="D93" s="554"/>
      <c r="E93" s="554"/>
      <c r="F93" s="554"/>
      <c r="G93" s="554"/>
      <c r="H93" s="554"/>
      <c r="I93" s="554"/>
      <c r="J93" s="554"/>
      <c r="K93" s="554"/>
      <c r="L93" s="580"/>
      <c r="M93" s="581"/>
      <c r="N93" s="1151"/>
      <c r="O93" s="1151"/>
      <c r="P93" s="2679"/>
      <c r="Q93" s="504"/>
    </row>
    <row r="94" spans="1:17" ht="15.75" thickBot="1">
      <c r="A94" s="534"/>
      <c r="B94" s="543"/>
      <c r="C94" s="560"/>
      <c r="D94" s="536"/>
      <c r="E94" s="536"/>
      <c r="F94" s="536"/>
      <c r="G94" s="536"/>
      <c r="H94" s="536"/>
      <c r="I94" s="536"/>
      <c r="J94" s="536"/>
      <c r="K94" s="536"/>
      <c r="L94" s="536"/>
      <c r="M94" s="537"/>
      <c r="N94" s="1152"/>
      <c r="O94" s="1152"/>
      <c r="P94" s="2679"/>
      <c r="Q94" s="504"/>
    </row>
    <row r="95" spans="1:17" ht="15.75" thickTop="1">
      <c r="A95" s="534"/>
      <c r="B95" s="538">
        <f>B30</f>
        <v>111</v>
      </c>
      <c r="C95" s="554"/>
      <c r="D95" s="554"/>
      <c r="E95" s="554"/>
      <c r="F95" s="554"/>
      <c r="G95" s="583"/>
      <c r="H95" s="583"/>
      <c r="I95" s="583"/>
      <c r="J95" s="583"/>
      <c r="K95" s="584"/>
      <c r="L95" s="585"/>
      <c r="M95" s="586"/>
      <c r="N95" s="1151"/>
      <c r="O95" s="1151"/>
      <c r="P95" s="2679"/>
      <c r="Q95" s="504"/>
    </row>
    <row r="96" spans="1:17" ht="15.75" thickBot="1">
      <c r="A96" s="534"/>
      <c r="B96" s="543"/>
      <c r="C96" s="560"/>
      <c r="D96" s="560"/>
      <c r="E96" s="560"/>
      <c r="F96" s="560"/>
      <c r="G96" s="536"/>
      <c r="H96" s="536"/>
      <c r="I96" s="536"/>
      <c r="J96" s="536"/>
      <c r="K96" s="536"/>
      <c r="L96" s="536"/>
      <c r="M96" s="537"/>
      <c r="N96" s="1152"/>
      <c r="O96" s="1152"/>
      <c r="P96" s="2679"/>
      <c r="Q96" s="504"/>
    </row>
    <row r="97" spans="1:17" ht="15.75" thickTop="1">
      <c r="A97" s="534"/>
      <c r="B97" s="538">
        <f>B31</f>
        <v>111</v>
      </c>
      <c r="C97" s="554"/>
      <c r="D97" s="554"/>
      <c r="E97" s="554"/>
      <c r="F97" s="554"/>
      <c r="G97" s="583"/>
      <c r="H97" s="583"/>
      <c r="I97" s="583"/>
      <c r="J97" s="583"/>
      <c r="K97" s="584"/>
      <c r="L97" s="585"/>
      <c r="M97" s="586"/>
      <c r="N97" s="1151"/>
      <c r="O97" s="1151"/>
      <c r="P97" s="2679"/>
      <c r="Q97" s="504"/>
    </row>
    <row r="98" spans="1:17" ht="15.75" thickBot="1">
      <c r="A98" s="534"/>
      <c r="B98" s="543"/>
      <c r="C98" s="560"/>
      <c r="D98" s="536"/>
      <c r="E98" s="536"/>
      <c r="F98" s="536"/>
      <c r="G98" s="536"/>
      <c r="H98" s="536"/>
      <c r="I98" s="536"/>
      <c r="J98" s="536"/>
      <c r="K98" s="536"/>
      <c r="L98" s="536"/>
      <c r="M98" s="537"/>
      <c r="N98" s="1152"/>
      <c r="O98" s="1152"/>
      <c r="P98" s="2679"/>
      <c r="Q98" s="504"/>
    </row>
    <row r="99" spans="1:17" ht="15.75" thickTop="1">
      <c r="A99" s="534"/>
      <c r="B99" s="546">
        <f>B32</f>
        <v>111</v>
      </c>
      <c r="C99" s="523"/>
      <c r="D99" s="523"/>
      <c r="E99" s="523"/>
      <c r="F99" s="523"/>
      <c r="G99" s="587"/>
      <c r="H99" s="587"/>
      <c r="I99" s="587"/>
      <c r="J99" s="587"/>
      <c r="K99" s="588"/>
      <c r="L99" s="589"/>
      <c r="M99" s="590"/>
      <c r="N99" s="1151"/>
      <c r="O99" s="1151"/>
      <c r="P99" s="2679"/>
      <c r="Q99" s="504"/>
    </row>
    <row r="100" spans="1:17" ht="15.75" thickBot="1">
      <c r="A100" s="2631"/>
      <c r="B100" s="569"/>
      <c r="C100" s="570"/>
      <c r="D100" s="570"/>
      <c r="E100" s="570"/>
      <c r="F100" s="570"/>
      <c r="G100" s="591"/>
      <c r="H100" s="591"/>
      <c r="I100" s="591"/>
      <c r="J100" s="591"/>
      <c r="K100" s="591"/>
      <c r="L100" s="591"/>
      <c r="M100" s="592"/>
      <c r="N100" s="1152"/>
      <c r="O100" s="1152"/>
      <c r="P100" s="2679"/>
      <c r="Q100" s="504"/>
    </row>
    <row r="101" spans="1:17">
      <c r="A101" s="527" t="s">
        <v>2551</v>
      </c>
      <c r="B101" s="528" t="s">
        <v>2600</v>
      </c>
      <c r="C101" s="530"/>
      <c r="D101" s="530"/>
      <c r="E101" s="530"/>
      <c r="F101" s="530"/>
      <c r="G101" s="530"/>
      <c r="H101" s="530"/>
      <c r="I101" s="530"/>
      <c r="J101" s="530"/>
      <c r="K101" s="531"/>
      <c r="L101" s="532"/>
      <c r="M101" s="533"/>
      <c r="N101" s="1151"/>
      <c r="O101" s="1151"/>
      <c r="P101" s="2679"/>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2"/>
      <c r="O102" s="1152"/>
      <c r="P102" s="2679"/>
      <c r="Q102" s="504"/>
    </row>
    <row r="103" spans="1:17" ht="15.75" thickTop="1">
      <c r="A103" s="534"/>
      <c r="B103" s="538" t="s">
        <v>2601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0"/>
      <c r="O103" s="1150"/>
      <c r="P103" s="2679"/>
      <c r="Q103" s="504"/>
    </row>
    <row r="104" spans="1:17" s="471" customFormat="1">
      <c r="A104" s="593"/>
      <c r="B104" s="594"/>
      <c r="C104" s="595"/>
      <c r="D104" s="595"/>
      <c r="E104" s="595"/>
      <c r="F104" s="595"/>
      <c r="G104" s="595"/>
      <c r="H104" s="595"/>
      <c r="I104" s="595"/>
      <c r="J104" s="596"/>
      <c r="K104" s="596"/>
      <c r="L104" s="597"/>
      <c r="M104" s="598"/>
      <c r="N104" s="1153"/>
      <c r="O104" s="1153"/>
      <c r="P104" s="2680"/>
      <c r="Q104" s="559"/>
    </row>
    <row r="105" spans="1:17" s="471" customFormat="1" ht="15.75" thickBot="1">
      <c r="A105" s="553"/>
      <c r="B105" s="543"/>
      <c r="C105" s="560"/>
      <c r="D105" s="536"/>
      <c r="E105" s="536"/>
      <c r="F105" s="536"/>
      <c r="G105" s="536"/>
      <c r="H105" s="536"/>
      <c r="I105" s="536"/>
      <c r="J105" s="536"/>
      <c r="K105" s="536"/>
      <c r="L105" s="536"/>
      <c r="M105" s="537"/>
      <c r="N105" s="1152"/>
      <c r="O105" s="1152"/>
      <c r="P105" s="2680"/>
      <c r="Q105" s="559"/>
    </row>
    <row r="106" spans="1:17" ht="15" thickTop="1">
      <c r="A106" s="599"/>
      <c r="B106" s="538" t="s">
        <v>2602</v>
      </c>
      <c r="C106" s="554"/>
      <c r="D106" s="554"/>
      <c r="E106" s="583"/>
      <c r="F106" s="583"/>
      <c r="G106" s="583"/>
      <c r="H106" s="583"/>
      <c r="I106" s="583"/>
      <c r="J106" s="583"/>
      <c r="K106" s="584"/>
      <c r="L106" s="585"/>
      <c r="M106" s="586"/>
      <c r="N106" s="1151"/>
      <c r="O106" s="1151"/>
      <c r="P106" s="2679"/>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2"/>
      <c r="O107" s="1152"/>
      <c r="P107" s="2679"/>
      <c r="Q107" s="504"/>
    </row>
    <row r="108" spans="1:17" ht="15" thickTop="1">
      <c r="A108" s="599"/>
      <c r="B108" s="538" t="s">
        <v>2604</v>
      </c>
      <c r="C108" s="554"/>
      <c r="D108" s="554"/>
      <c r="E108" s="554"/>
      <c r="F108" s="583"/>
      <c r="G108" s="583"/>
      <c r="H108" s="583"/>
      <c r="I108" s="583"/>
      <c r="J108" s="583"/>
      <c r="K108" s="584"/>
      <c r="L108" s="585"/>
      <c r="M108" s="586"/>
      <c r="N108" s="1151"/>
      <c r="O108" s="1151"/>
      <c r="P108" s="2679"/>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2"/>
      <c r="O109" s="1152"/>
      <c r="P109" s="2679"/>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79"/>
      <c r="Q110" s="504"/>
    </row>
    <row r="111" spans="1:17">
      <c r="A111" s="599"/>
      <c r="B111" s="546"/>
      <c r="C111" s="603">
        <v>0.5</v>
      </c>
      <c r="D111" s="603">
        <v>0.6</v>
      </c>
      <c r="E111" s="603">
        <v>0.7</v>
      </c>
      <c r="F111" s="603">
        <v>0.8</v>
      </c>
      <c r="G111" s="603">
        <v>0.9</v>
      </c>
      <c r="H111" s="603">
        <v>1.0001</v>
      </c>
      <c r="I111" s="623"/>
      <c r="J111" s="623"/>
      <c r="K111" s="624"/>
      <c r="L111" s="625"/>
      <c r="M111" s="626"/>
      <c r="N111" s="1151"/>
      <c r="O111" s="1151"/>
      <c r="P111" s="2679"/>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2"/>
      <c r="O112" s="1152"/>
      <c r="P112" s="2679"/>
      <c r="Q112" s="504"/>
    </row>
    <row r="113" spans="1:17" s="471" customFormat="1" ht="15" thickTop="1">
      <c r="A113" s="593"/>
      <c r="B113" s="538" t="s">
        <v>2688</v>
      </c>
      <c r="C113" s="554"/>
      <c r="D113" s="554"/>
      <c r="E113" s="554"/>
      <c r="F113" s="554"/>
      <c r="G113" s="554"/>
      <c r="H113" s="583"/>
      <c r="I113" s="583"/>
      <c r="J113" s="583"/>
      <c r="K113" s="584"/>
      <c r="L113" s="585"/>
      <c r="M113" s="586"/>
      <c r="N113" s="1153"/>
      <c r="O113" s="1153"/>
      <c r="P113" s="2680"/>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3"/>
      <c r="O114" s="1153"/>
      <c r="P114" s="2680"/>
      <c r="Q114" s="559"/>
    </row>
    <row r="115" spans="1:17" ht="15" thickTop="1">
      <c r="A115" s="599"/>
      <c r="B115" s="538" t="s">
        <v>2605</v>
      </c>
      <c r="C115" s="554"/>
      <c r="D115" s="554"/>
      <c r="E115" s="583"/>
      <c r="F115" s="583"/>
      <c r="G115" s="583"/>
      <c r="H115" s="583"/>
      <c r="I115" s="583"/>
      <c r="J115" s="583"/>
      <c r="K115" s="584"/>
      <c r="L115" s="585"/>
      <c r="M115" s="586"/>
      <c r="N115" s="1151"/>
      <c r="O115" s="1151"/>
      <c r="P115" s="2679"/>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2"/>
      <c r="O116" s="1152"/>
      <c r="P116" s="2679"/>
      <c r="Q116" s="504"/>
    </row>
    <row r="117" spans="1:17" ht="15" thickTop="1">
      <c r="A117" s="599"/>
      <c r="B117" s="538" t="s">
        <v>2606</v>
      </c>
      <c r="C117" s="554"/>
      <c r="D117" s="554"/>
      <c r="E117" s="554"/>
      <c r="F117" s="554"/>
      <c r="G117" s="554"/>
      <c r="H117" s="583"/>
      <c r="I117" s="583"/>
      <c r="J117" s="583"/>
      <c r="K117" s="584"/>
      <c r="L117" s="585"/>
      <c r="M117" s="586"/>
      <c r="N117" s="1151"/>
      <c r="O117" s="1151"/>
      <c r="P117" s="2679"/>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2"/>
      <c r="O118" s="1152"/>
      <c r="P118" s="2679"/>
      <c r="Q118" s="504"/>
    </row>
    <row r="119" spans="1:17" ht="15" thickTop="1">
      <c r="A119" s="599"/>
      <c r="B119" s="636" t="s">
        <v>2689</v>
      </c>
      <c r="C119" s="583"/>
      <c r="D119" s="583"/>
      <c r="E119" s="583"/>
      <c r="F119" s="583"/>
      <c r="G119" s="583"/>
      <c r="H119" s="583"/>
      <c r="I119" s="583"/>
      <c r="J119" s="583"/>
      <c r="K119" s="583"/>
      <c r="L119" s="2684"/>
      <c r="M119" s="2685"/>
      <c r="N119" s="1152"/>
      <c r="O119" s="1152"/>
      <c r="P119" s="2686"/>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2"/>
      <c r="O120" s="1152"/>
      <c r="P120" s="2679"/>
      <c r="Q120" s="504"/>
    </row>
    <row r="121" spans="1:17" s="471" customFormat="1" ht="15" thickTop="1">
      <c r="A121" s="593"/>
      <c r="B121" s="538" t="s">
        <v>2672</v>
      </c>
      <c r="C121" s="554"/>
      <c r="D121" s="554"/>
      <c r="E121" s="554"/>
      <c r="F121" s="583"/>
      <c r="G121" s="555"/>
      <c r="H121" s="555"/>
      <c r="I121" s="555"/>
      <c r="J121" s="555"/>
      <c r="K121" s="555"/>
      <c r="L121" s="556"/>
      <c r="M121" s="557"/>
      <c r="N121" s="1153"/>
      <c r="O121" s="1153"/>
      <c r="P121" s="2680"/>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80"/>
      <c r="Q122" s="559"/>
    </row>
    <row r="123" spans="1:17" ht="15" thickTop="1">
      <c r="A123" s="599"/>
      <c r="B123" s="538" t="s">
        <v>2608</v>
      </c>
      <c r="C123" s="554"/>
      <c r="D123" s="554"/>
      <c r="E123" s="554"/>
      <c r="F123" s="583"/>
      <c r="G123" s="583"/>
      <c r="H123" s="583"/>
      <c r="I123" s="583"/>
      <c r="J123" s="583"/>
      <c r="K123" s="584"/>
      <c r="L123" s="585"/>
      <c r="M123" s="586"/>
      <c r="N123" s="1151"/>
      <c r="O123" s="1151"/>
      <c r="P123" s="2679"/>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2"/>
      <c r="O124" s="1152"/>
      <c r="P124" s="2679"/>
      <c r="Q124" s="504"/>
    </row>
    <row r="125" spans="1:17" ht="15" thickTop="1">
      <c r="A125" s="599"/>
      <c r="B125" s="538" t="s">
        <v>2609</v>
      </c>
      <c r="C125" s="578" t="s">
        <v>2585</v>
      </c>
      <c r="D125" s="578" t="s">
        <v>2586</v>
      </c>
      <c r="E125" s="578" t="s">
        <v>2587</v>
      </c>
      <c r="F125" s="578" t="s">
        <v>2588</v>
      </c>
      <c r="G125" s="578" t="s">
        <v>2589</v>
      </c>
      <c r="H125" s="539"/>
      <c r="I125" s="539"/>
      <c r="J125" s="539"/>
      <c r="K125" s="540"/>
      <c r="L125" s="541"/>
      <c r="M125" s="542"/>
      <c r="N125" s="1151"/>
      <c r="O125" s="1151"/>
      <c r="P125" s="2680"/>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2"/>
      <c r="O126" s="1152"/>
      <c r="P126" s="2679"/>
      <c r="Q126" s="504"/>
    </row>
    <row r="127" spans="1:17" s="471" customFormat="1" ht="15" thickTop="1">
      <c r="A127" s="593"/>
      <c r="B127" s="538">
        <f>B45</f>
        <v>111</v>
      </c>
      <c r="C127" s="554"/>
      <c r="D127" s="554"/>
      <c r="E127" s="554"/>
      <c r="F127" s="554"/>
      <c r="G127" s="554"/>
      <c r="H127" s="555"/>
      <c r="I127" s="555"/>
      <c r="J127" s="555"/>
      <c r="K127" s="555"/>
      <c r="L127" s="556"/>
      <c r="M127" s="557"/>
      <c r="N127" s="1153"/>
      <c r="O127" s="1153"/>
      <c r="P127" s="2680"/>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80"/>
      <c r="Q128" s="559"/>
    </row>
    <row r="129" spans="1:17" ht="15" thickTop="1">
      <c r="A129" s="599"/>
      <c r="B129" s="538">
        <f>B46</f>
        <v>111</v>
      </c>
      <c r="C129" s="554"/>
      <c r="D129" s="554"/>
      <c r="E129" s="554"/>
      <c r="F129" s="554"/>
      <c r="G129" s="583"/>
      <c r="H129" s="583"/>
      <c r="I129" s="583"/>
      <c r="J129" s="583"/>
      <c r="K129" s="584"/>
      <c r="L129" s="585"/>
      <c r="M129" s="586"/>
      <c r="N129" s="1151"/>
      <c r="O129" s="1151"/>
      <c r="P129" s="2679"/>
      <c r="Q129" s="504"/>
    </row>
    <row r="130" spans="1:17" ht="15.75" thickBot="1">
      <c r="A130" s="534"/>
      <c r="B130" s="543"/>
      <c r="C130" s="560"/>
      <c r="D130" s="560"/>
      <c r="E130" s="560"/>
      <c r="F130" s="560"/>
      <c r="G130" s="536"/>
      <c r="H130" s="536"/>
      <c r="I130" s="536"/>
      <c r="J130" s="536"/>
      <c r="K130" s="536"/>
      <c r="L130" s="536"/>
      <c r="M130" s="537"/>
      <c r="N130" s="1152"/>
      <c r="O130" s="1152"/>
      <c r="P130" s="2679"/>
      <c r="Q130" s="504"/>
    </row>
    <row r="131" spans="1:17" ht="15" thickTop="1">
      <c r="A131" s="599"/>
      <c r="B131" s="546">
        <f>B47</f>
        <v>111</v>
      </c>
      <c r="C131" s="523"/>
      <c r="D131" s="523"/>
      <c r="E131" s="523"/>
      <c r="F131" s="523"/>
      <c r="G131" s="587"/>
      <c r="H131" s="587"/>
      <c r="I131" s="587"/>
      <c r="J131" s="587"/>
      <c r="K131" s="523"/>
      <c r="L131" s="524"/>
      <c r="M131" s="590"/>
      <c r="N131" s="1151"/>
      <c r="O131" s="1151"/>
      <c r="P131" s="2679"/>
      <c r="Q131" s="504"/>
    </row>
    <row r="132" spans="1:17" ht="15.75" thickBot="1">
      <c r="A132" s="2631"/>
      <c r="B132" s="569"/>
      <c r="C132" s="570"/>
      <c r="D132" s="570"/>
      <c r="E132" s="570"/>
      <c r="F132" s="570"/>
      <c r="G132" s="591"/>
      <c r="H132" s="591"/>
      <c r="I132" s="591"/>
      <c r="J132" s="591"/>
      <c r="K132" s="591"/>
      <c r="L132" s="591"/>
      <c r="M132" s="592"/>
      <c r="N132" s="1152"/>
      <c r="O132" s="1152"/>
      <c r="P132" s="2679"/>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8" priority="16" stopIfTrue="1" operator="containsText" text="超过">
      <formula>NOT(ISERROR(SEARCH("超过",F53)))</formula>
    </cfRule>
  </conditionalFormatting>
  <conditionalFormatting sqref="H55">
    <cfRule type="containsText" dxfId="117" priority="15" stopIfTrue="1" operator="containsText" text="超过">
      <formula>NOT(ISERROR(SEARCH("超过",H55)))</formula>
    </cfRule>
  </conditionalFormatting>
  <conditionalFormatting sqref="F55">
    <cfRule type="containsText" dxfId="116" priority="14" stopIfTrue="1" operator="containsText" text="超过">
      <formula>NOT(ISERROR(SEARCH("超过",F55)))</formula>
    </cfRule>
  </conditionalFormatting>
  <conditionalFormatting sqref="F54 H54">
    <cfRule type="containsText" dxfId="115" priority="13" stopIfTrue="1" operator="containsText" text="超过">
      <formula>NOT(ISERROR(SEARCH("超过",F54)))</formula>
    </cfRule>
  </conditionalFormatting>
  <conditionalFormatting sqref="E53">
    <cfRule type="expression" dxfId="114" priority="12" stopIfTrue="1">
      <formula>$F$53="超过30%"</formula>
    </cfRule>
  </conditionalFormatting>
  <conditionalFormatting sqref="E54">
    <cfRule type="expression" dxfId="113" priority="11" stopIfTrue="1">
      <formula>$F$54="超过20%"</formula>
    </cfRule>
  </conditionalFormatting>
  <conditionalFormatting sqref="E55">
    <cfRule type="expression" dxfId="112" priority="10" stopIfTrue="1">
      <formula>$F$55="超过30%"</formula>
    </cfRule>
  </conditionalFormatting>
  <conditionalFormatting sqref="G55">
    <cfRule type="expression" dxfId="111" priority="9" stopIfTrue="1">
      <formula>$H$55="超过30%"</formula>
    </cfRule>
  </conditionalFormatting>
  <conditionalFormatting sqref="G53">
    <cfRule type="expression" dxfId="110" priority="8" stopIfTrue="1">
      <formula>$H$53="超过30%"</formula>
    </cfRule>
  </conditionalFormatting>
  <conditionalFormatting sqref="G54">
    <cfRule type="expression" dxfId="109" priority="7" stopIfTrue="1">
      <formula>$H$54="超过20%"</formula>
    </cfRule>
  </conditionalFormatting>
  <conditionalFormatting sqref="J53">
    <cfRule type="containsText" dxfId="108" priority="6" stopIfTrue="1" operator="containsText" text="超过">
      <formula>NOT(ISERROR(SEARCH("超过",J53)))</formula>
    </cfRule>
  </conditionalFormatting>
  <conditionalFormatting sqref="J55">
    <cfRule type="containsText" dxfId="107" priority="5" stopIfTrue="1" operator="containsText" text="超过">
      <formula>NOT(ISERROR(SEARCH("超过",J55)))</formula>
    </cfRule>
  </conditionalFormatting>
  <conditionalFormatting sqref="J54">
    <cfRule type="containsText" dxfId="106" priority="4" stopIfTrue="1" operator="containsText" text="超过">
      <formula>NOT(ISERROR(SEARCH("超过",J54)))</formula>
    </cfRule>
  </conditionalFormatting>
  <conditionalFormatting sqref="I53">
    <cfRule type="expression" dxfId="105" priority="3" stopIfTrue="1">
      <formula>$J$53="超过30%"</formula>
    </cfRule>
  </conditionalFormatting>
  <conditionalFormatting sqref="I54">
    <cfRule type="expression" dxfId="104" priority="2" stopIfTrue="1">
      <formula>$J$53+$J$54="超过20%"</formula>
    </cfRule>
  </conditionalFormatting>
  <conditionalFormatting sqref="I55">
    <cfRule type="expression" dxfId="10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2516</v>
      </c>
      <c r="B1" s="2664" t="s">
        <v>2690</v>
      </c>
      <c r="C1" s="1619" t="s">
        <v>2518</v>
      </c>
      <c r="D1" s="1620"/>
      <c r="E1" s="1629"/>
      <c r="F1" s="2579"/>
      <c r="G1" s="1630" t="s">
        <v>2631</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2315</v>
      </c>
      <c r="B2" s="1417" t="e">
        <f ca="1">IF(C2="——",ROUND(C43*D3/10000,0),ROUND(C43*D3/10000,0)-D2)</f>
        <v>#DIV/0!</v>
      </c>
      <c r="C2" s="2581"/>
      <c r="D2" s="1123" t="e">
        <f ca="1">SUMIF(INDIRECT("'"&amp;F2&amp;"'"&amp;"!A:A"),"承租人权益价值",INDIRECT("'"&amp;F2&amp;"'"&amp;"!c:c"))</f>
        <v>#REF!</v>
      </c>
      <c r="E2" s="2582" t="s">
        <v>2316</v>
      </c>
      <c r="F2" s="2583"/>
      <c r="G2" s="1124"/>
      <c r="H2" s="1124"/>
      <c r="I2" s="1124"/>
      <c r="J2" s="1124"/>
      <c r="K2" s="1124"/>
      <c r="L2" s="1127"/>
      <c r="M2" s="1128"/>
      <c r="N2" s="1128"/>
      <c r="O2" s="1128"/>
      <c r="P2" s="767"/>
      <c r="Q2" s="767"/>
      <c r="R2" s="767"/>
      <c r="S2" s="767"/>
      <c r="T2" s="767"/>
      <c r="U2" s="767"/>
      <c r="V2" s="767"/>
      <c r="W2" s="767"/>
      <c r="X2" s="767"/>
      <c r="Y2" s="767"/>
      <c r="Z2" s="767"/>
      <c r="AA2" s="767"/>
      <c r="AB2" s="767"/>
      <c r="AC2" s="781"/>
    </row>
    <row r="3" spans="1:29" s="398" customFormat="1" ht="28.5" customHeight="1" thickBot="1">
      <c r="A3" s="247" t="s">
        <v>2317</v>
      </c>
      <c r="B3" s="609" t="e">
        <f ca="1">IF(C2="——",C43,ROUND(B2*10000/D3,0))</f>
        <v>#DIV/0!</v>
      </c>
      <c r="C3" s="400" t="s">
        <v>2632</v>
      </c>
      <c r="D3" s="399">
        <f>IF(D1="",'数据-汇总表'!E3,SUMIF('数据-汇总表'!$C19:$C33,D1,'数据-汇总表'!$E19:$E33))</f>
        <v>4163.47</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2633</v>
      </c>
      <c r="B4" s="402"/>
      <c r="C4" s="3224" t="s">
        <v>2634</v>
      </c>
      <c r="D4" s="3225"/>
      <c r="E4" s="3226" t="s">
        <v>2635</v>
      </c>
      <c r="F4" s="3227"/>
      <c r="G4" s="3224" t="s">
        <v>2636</v>
      </c>
      <c r="H4" s="3225"/>
      <c r="I4" s="3224" t="s">
        <v>2637</v>
      </c>
      <c r="J4" s="3225"/>
      <c r="K4" s="610" t="s">
        <v>2638</v>
      </c>
      <c r="L4" s="1129"/>
      <c r="M4" s="1130"/>
      <c r="N4" s="1130"/>
      <c r="O4" s="1130"/>
      <c r="P4" s="3228" t="s">
        <v>2639</v>
      </c>
      <c r="Q4" s="3229"/>
      <c r="R4" s="3211" t="s">
        <v>2635</v>
      </c>
      <c r="S4" s="3212"/>
      <c r="T4" s="3211" t="s">
        <v>2636</v>
      </c>
      <c r="U4" s="3212"/>
      <c r="V4" s="3208" t="s">
        <v>2637</v>
      </c>
      <c r="W4" s="3208"/>
      <c r="X4" s="1811"/>
      <c r="Y4" s="3211" t="s">
        <v>2639</v>
      </c>
      <c r="Z4" s="3212"/>
      <c r="AA4" s="3205" t="s">
        <v>2635</v>
      </c>
      <c r="AB4" s="3206" t="s">
        <v>2636</v>
      </c>
      <c r="AC4" s="3205" t="s">
        <v>2637</v>
      </c>
    </row>
    <row r="5" spans="1:29" ht="15">
      <c r="A5" s="404"/>
      <c r="B5" s="405"/>
      <c r="C5" s="3283" t="s">
        <v>2530</v>
      </c>
      <c r="D5" s="3218"/>
      <c r="E5" s="3282" t="s">
        <v>2531</v>
      </c>
      <c r="F5" s="3216"/>
      <c r="G5" s="3283" t="s">
        <v>2532</v>
      </c>
      <c r="H5" s="3218"/>
      <c r="I5" s="3283" t="s">
        <v>2533</v>
      </c>
      <c r="J5" s="3218"/>
      <c r="K5" s="610"/>
      <c r="L5" s="1129"/>
      <c r="M5" s="1130"/>
      <c r="N5" s="1130"/>
      <c r="O5" s="1130"/>
      <c r="P5" s="3230"/>
      <c r="Q5" s="3231"/>
      <c r="R5" s="3213"/>
      <c r="S5" s="3214"/>
      <c r="T5" s="3213"/>
      <c r="U5" s="3214"/>
      <c r="V5" s="3208"/>
      <c r="W5" s="3208"/>
      <c r="X5" s="1811"/>
      <c r="Y5" s="3213"/>
      <c r="Z5" s="3214"/>
      <c r="AA5" s="3206"/>
      <c r="AB5" s="3206"/>
      <c r="AC5" s="3206"/>
    </row>
    <row r="6" spans="1:29" ht="15.75" thickBot="1">
      <c r="A6" s="406"/>
      <c r="B6" s="407"/>
      <c r="C6" s="3219" t="s">
        <v>2534</v>
      </c>
      <c r="D6" s="3220"/>
      <c r="E6" s="3221" t="s">
        <v>2534</v>
      </c>
      <c r="F6" s="3222"/>
      <c r="G6" s="3219" t="s">
        <v>2534</v>
      </c>
      <c r="H6" s="3220"/>
      <c r="I6" s="3219" t="s">
        <v>2534</v>
      </c>
      <c r="J6" s="3220"/>
      <c r="K6" s="610" t="s">
        <v>2535</v>
      </c>
      <c r="L6" s="1129"/>
      <c r="M6" s="1130"/>
      <c r="N6" s="1130"/>
      <c r="O6" s="1130"/>
      <c r="P6" s="3232"/>
      <c r="Q6" s="3233"/>
      <c r="R6" s="3213"/>
      <c r="S6" s="3214"/>
      <c r="T6" s="3234"/>
      <c r="U6" s="3235"/>
      <c r="V6" s="3208"/>
      <c r="W6" s="3208"/>
      <c r="X6" s="1811"/>
      <c r="Y6" s="3234"/>
      <c r="Z6" s="3235"/>
      <c r="AA6" s="3207"/>
      <c r="AB6" s="3207"/>
      <c r="AC6" s="3207"/>
    </row>
    <row r="7" spans="1:29" s="117" customFormat="1" ht="15.75" thickBot="1">
      <c r="A7" s="408" t="s">
        <v>2536</v>
      </c>
      <c r="B7" s="409"/>
      <c r="C7" s="410">
        <f>'数据-取费表'!B2</f>
        <v>43132</v>
      </c>
      <c r="D7" s="411">
        <v>100</v>
      </c>
      <c r="E7" s="412"/>
      <c r="F7" s="413">
        <f>SUMIF(52:52,YEAR(E7)&amp;"-"&amp;MONTH(E7),53:53)</f>
        <v>0</v>
      </c>
      <c r="G7" s="412"/>
      <c r="H7" s="411">
        <f>SUMIF(52:52,YEAR(G7)&amp;"-"&amp;MONTH(G7),53:53)</f>
        <v>0</v>
      </c>
      <c r="I7" s="412"/>
      <c r="J7" s="411">
        <f>SUMIF(52:52,YEAR(I7)&amp;"-"&amp;MONTH(I7),53:53)</f>
        <v>0</v>
      </c>
      <c r="K7" s="611"/>
      <c r="L7" s="1131"/>
      <c r="M7" s="1132"/>
      <c r="N7" s="1132"/>
      <c r="O7" s="1132"/>
      <c r="P7" s="3209" t="s">
        <v>2537</v>
      </c>
      <c r="Q7" s="3236"/>
      <c r="R7" s="769" t="s">
        <v>17</v>
      </c>
      <c r="S7" s="770">
        <f t="shared" ref="S7:S15" si="0">F7</f>
        <v>0</v>
      </c>
      <c r="T7" s="769" t="s">
        <v>17</v>
      </c>
      <c r="U7" s="770">
        <f t="shared" ref="U7:U15" si="1">H7</f>
        <v>0</v>
      </c>
      <c r="V7" s="769" t="s">
        <v>17</v>
      </c>
      <c r="W7" s="770">
        <f t="shared" ref="W7:W15" si="2">J7</f>
        <v>0</v>
      </c>
      <c r="X7" s="771"/>
      <c r="Y7" s="3209" t="s">
        <v>2537</v>
      </c>
      <c r="Z7" s="3210"/>
      <c r="AA7" s="772" t="e">
        <f>D7/F7</f>
        <v>#DIV/0!</v>
      </c>
      <c r="AB7" s="772" t="e">
        <f>D7/H7</f>
        <v>#DIV/0!</v>
      </c>
      <c r="AC7" s="772" t="e">
        <f>D7/J7</f>
        <v>#DIV/0!</v>
      </c>
    </row>
    <row r="8" spans="1:29" s="117" customFormat="1" ht="15.75" thickBot="1">
      <c r="A8" s="408" t="s">
        <v>2538</v>
      </c>
      <c r="B8" s="409"/>
      <c r="C8" s="414" t="s">
        <v>2539</v>
      </c>
      <c r="D8" s="411">
        <v>100</v>
      </c>
      <c r="E8" s="414"/>
      <c r="F8" s="413">
        <f>SUMIF(55:55,E8,56:56)-SUMIF(55:55,C8,56:56)+100</f>
        <v>0</v>
      </c>
      <c r="G8" s="414"/>
      <c r="H8" s="411">
        <f>SUMIF(55:55,G8,56:56)-SUMIF(55:55,C8,56:56)+100</f>
        <v>0</v>
      </c>
      <c r="I8" s="414"/>
      <c r="J8" s="411">
        <f>SUMIF(55:55,I8,56:56)-SUMIF(55:55,C8,56:56)+100</f>
        <v>0</v>
      </c>
      <c r="K8" s="611"/>
      <c r="L8" s="1131"/>
      <c r="M8" s="1132"/>
      <c r="N8" s="1132"/>
      <c r="O8" s="1132"/>
      <c r="P8" s="3209" t="s">
        <v>2540</v>
      </c>
      <c r="Q8" s="3210"/>
      <c r="R8" s="769" t="s">
        <v>17</v>
      </c>
      <c r="S8" s="770">
        <f t="shared" si="0"/>
        <v>0</v>
      </c>
      <c r="T8" s="769" t="s">
        <v>17</v>
      </c>
      <c r="U8" s="770">
        <f t="shared" si="1"/>
        <v>0</v>
      </c>
      <c r="V8" s="769" t="s">
        <v>17</v>
      </c>
      <c r="W8" s="770">
        <f t="shared" si="2"/>
        <v>0</v>
      </c>
      <c r="X8" s="771"/>
      <c r="Y8" s="3209" t="s">
        <v>2540</v>
      </c>
      <c r="Z8" s="3210"/>
      <c r="AA8" s="772" t="e">
        <f t="shared" ref="AA8:AA40" si="3">D8/F8</f>
        <v>#DIV/0!</v>
      </c>
      <c r="AB8" s="772" t="e">
        <f t="shared" ref="AB8:AB40" si="4">D8/H8</f>
        <v>#DIV/0!</v>
      </c>
      <c r="AC8" s="772" t="e">
        <f t="shared" ref="AC8:AC40" si="5">D8/J8</f>
        <v>#DIV/0!</v>
      </c>
    </row>
    <row r="9" spans="1:29" s="117" customFormat="1">
      <c r="A9" s="415" t="s">
        <v>2541</v>
      </c>
      <c r="B9" s="71" t="s">
        <v>2542</v>
      </c>
      <c r="C9" s="416"/>
      <c r="D9" s="135">
        <v>100</v>
      </c>
      <c r="E9" s="419"/>
      <c r="F9" s="135">
        <f>SUMIF(57:57,E9,58:58)-SUMIF(57:57,C9,58:58)+100</f>
        <v>100</v>
      </c>
      <c r="G9" s="417"/>
      <c r="H9" s="135">
        <f>SUMIF(57:57,G9,58:58)-SUMIF(57:57,C9,58:58)+100</f>
        <v>100</v>
      </c>
      <c r="I9" s="417"/>
      <c r="J9" s="135">
        <f>SUMIF(57:57,I9,58:58)-SUMIF(57:57,C9,58:58)+100</f>
        <v>100</v>
      </c>
      <c r="K9" s="611"/>
      <c r="L9" s="1131"/>
      <c r="M9" s="1132"/>
      <c r="N9" s="1132"/>
      <c r="O9" s="1133"/>
      <c r="P9" s="3246" t="s">
        <v>2543</v>
      </c>
      <c r="Q9" s="1793" t="str">
        <f t="shared" ref="Q9:Q15" si="6">B9</f>
        <v>用途</v>
      </c>
      <c r="R9" s="769" t="s">
        <v>17</v>
      </c>
      <c r="S9" s="770">
        <f t="shared" si="0"/>
        <v>100</v>
      </c>
      <c r="T9" s="769" t="s">
        <v>17</v>
      </c>
      <c r="U9" s="770">
        <f t="shared" si="1"/>
        <v>100</v>
      </c>
      <c r="V9" s="769" t="s">
        <v>17</v>
      </c>
      <c r="W9" s="770">
        <f t="shared" si="2"/>
        <v>100</v>
      </c>
      <c r="X9" s="771"/>
      <c r="Y9" s="3082" t="s">
        <v>2544</v>
      </c>
      <c r="Z9" s="55" t="str">
        <f t="shared" ref="Z9:Z15" si="7">Q9</f>
        <v>用途</v>
      </c>
      <c r="AA9" s="772">
        <f t="shared" si="3"/>
        <v>1</v>
      </c>
      <c r="AB9" s="772">
        <f t="shared" si="4"/>
        <v>1</v>
      </c>
      <c r="AC9" s="772">
        <f t="shared" si="5"/>
        <v>1</v>
      </c>
    </row>
    <row r="10" spans="1:29" s="427" customFormat="1" ht="27">
      <c r="A10" s="421"/>
      <c r="B10" s="422" t="s">
        <v>2545</v>
      </c>
      <c r="C10" s="423"/>
      <c r="D10" s="136">
        <v>100</v>
      </c>
      <c r="E10" s="423"/>
      <c r="F10" s="136">
        <f>SUMIF(59:59,E10,60:60)-SUMIF(59:59,C10,60:60)+100</f>
        <v>100</v>
      </c>
      <c r="G10" s="424"/>
      <c r="H10" s="136">
        <f>SUMIF(59:59,G10,60:60)-SUMIF(59:59,C10,60:60)+100</f>
        <v>100</v>
      </c>
      <c r="I10" s="423"/>
      <c r="J10" s="136">
        <f>SUMIF(59:59,I10,60:60)-SUMIF(59:59,C10,60:60)+100</f>
        <v>100</v>
      </c>
      <c r="K10" s="612"/>
      <c r="L10" s="1134"/>
      <c r="M10" s="1135"/>
      <c r="N10" s="1135"/>
      <c r="O10" s="1136"/>
      <c r="P10" s="3246"/>
      <c r="Q10" s="1793" t="str">
        <f t="shared" si="6"/>
        <v>土地使用年限（年）</v>
      </c>
      <c r="R10" s="769" t="s">
        <v>17</v>
      </c>
      <c r="S10" s="770">
        <f t="shared" si="0"/>
        <v>100</v>
      </c>
      <c r="T10" s="769" t="s">
        <v>17</v>
      </c>
      <c r="U10" s="770">
        <f t="shared" si="1"/>
        <v>100</v>
      </c>
      <c r="V10" s="769" t="s">
        <v>17</v>
      </c>
      <c r="W10" s="770">
        <f t="shared" si="2"/>
        <v>100</v>
      </c>
      <c r="X10" s="771"/>
      <c r="Y10" s="3082"/>
      <c r="Z10" s="55" t="str">
        <f t="shared" si="7"/>
        <v>土地使用年限（年）</v>
      </c>
      <c r="AA10" s="772">
        <f t="shared" si="3"/>
        <v>1</v>
      </c>
      <c r="AB10" s="772">
        <f t="shared" si="4"/>
        <v>1</v>
      </c>
      <c r="AC10" s="772">
        <f t="shared" si="5"/>
        <v>1</v>
      </c>
    </row>
    <row r="11" spans="1:29" ht="15">
      <c r="A11" s="428"/>
      <c r="B11" s="422" t="s">
        <v>2546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7"/>
      <c r="M11" s="1130"/>
      <c r="N11" s="1130"/>
      <c r="O11" s="1138"/>
      <c r="P11" s="3246"/>
      <c r="Q11" s="1793" t="str">
        <f t="shared" si="6"/>
        <v>容积率</v>
      </c>
      <c r="R11" s="769" t="s">
        <v>17</v>
      </c>
      <c r="S11" s="770" t="e">
        <f t="shared" si="0"/>
        <v>#N/A</v>
      </c>
      <c r="T11" s="769" t="s">
        <v>17</v>
      </c>
      <c r="U11" s="770" t="e">
        <f t="shared" si="1"/>
        <v>#N/A</v>
      </c>
      <c r="V11" s="769" t="s">
        <v>17</v>
      </c>
      <c r="W11" s="770" t="e">
        <f t="shared" si="2"/>
        <v>#N/A</v>
      </c>
      <c r="X11" s="771"/>
      <c r="Y11" s="3082"/>
      <c r="Z11" s="55" t="str">
        <f t="shared" si="7"/>
        <v>容积率</v>
      </c>
      <c r="AA11" s="772" t="e">
        <f t="shared" si="3"/>
        <v>#N/A</v>
      </c>
      <c r="AB11" s="772" t="e">
        <f t="shared" si="4"/>
        <v>#N/A</v>
      </c>
      <c r="AC11" s="772" t="e">
        <f t="shared" si="5"/>
        <v>#N/A</v>
      </c>
    </row>
    <row r="12" spans="1:29" s="117" customFormat="1" ht="15">
      <c r="A12" s="431"/>
      <c r="B12" s="2595">
        <v>111</v>
      </c>
      <c r="C12" s="432"/>
      <c r="D12" s="433">
        <v>100</v>
      </c>
      <c r="E12" s="434"/>
      <c r="F12" s="136">
        <f>SUMIF(64:64,E12,65:65)-SUMIF(64:64,C12,65:65)+100</f>
        <v>100</v>
      </c>
      <c r="G12" s="2687"/>
      <c r="H12" s="136">
        <f>SUMIF(64:64,G12,65:65)-SUMIF(64:64,C12,65:65)+100</f>
        <v>100</v>
      </c>
      <c r="I12" s="469"/>
      <c r="J12" s="136">
        <f>SUMIF(64:64,I12,65:65)-SUMIF(64:64,C12,65:65)+100</f>
        <v>100</v>
      </c>
      <c r="K12" s="613"/>
      <c r="L12" s="1131"/>
      <c r="M12" s="1132"/>
      <c r="N12" s="1132"/>
      <c r="O12" s="1133"/>
      <c r="P12" s="3246"/>
      <c r="Q12" s="1793">
        <f t="shared" si="6"/>
        <v>111</v>
      </c>
      <c r="R12" s="769" t="s">
        <v>17</v>
      </c>
      <c r="S12" s="770">
        <f t="shared" si="0"/>
        <v>100</v>
      </c>
      <c r="T12" s="769" t="s">
        <v>17</v>
      </c>
      <c r="U12" s="770">
        <f t="shared" si="1"/>
        <v>100</v>
      </c>
      <c r="V12" s="769" t="s">
        <v>17</v>
      </c>
      <c r="W12" s="770">
        <f t="shared" si="2"/>
        <v>100</v>
      </c>
      <c r="X12" s="771"/>
      <c r="Y12" s="3082"/>
      <c r="Z12" s="55">
        <f t="shared" si="7"/>
        <v>111</v>
      </c>
      <c r="AA12" s="772">
        <f>D12/F12</f>
        <v>1</v>
      </c>
      <c r="AB12" s="772">
        <f>D12/H12</f>
        <v>1</v>
      </c>
      <c r="AC12" s="772">
        <f>D12/J12</f>
        <v>1</v>
      </c>
    </row>
    <row r="13" spans="1:29" ht="15">
      <c r="A13" s="428"/>
      <c r="B13" s="2595">
        <v>111</v>
      </c>
      <c r="C13" s="434"/>
      <c r="D13" s="435">
        <v>100</v>
      </c>
      <c r="E13" s="434"/>
      <c r="F13" s="136">
        <f>SUMIF(66:66,E13,67:67)-SUMIF(66:66,C13,67:67)+100</f>
        <v>100</v>
      </c>
      <c r="G13" s="2687"/>
      <c r="H13" s="435">
        <f>SUMIF(66:66,G13,67:67)-SUMIF(66:66,C13,67:67)+100</f>
        <v>100</v>
      </c>
      <c r="I13" s="469"/>
      <c r="J13" s="435">
        <f>SUMIF(66:66,I13,67:67)-SUMIF(66:66,C13,67:67)+100</f>
        <v>100</v>
      </c>
      <c r="K13" s="613"/>
      <c r="L13" s="1139"/>
      <c r="M13" s="1130"/>
      <c r="N13" s="1130"/>
      <c r="O13" s="1138"/>
      <c r="P13" s="3246"/>
      <c r="Q13" s="1793">
        <f t="shared" si="6"/>
        <v>111</v>
      </c>
      <c r="R13" s="769" t="s">
        <v>17</v>
      </c>
      <c r="S13" s="770">
        <f t="shared" si="0"/>
        <v>100</v>
      </c>
      <c r="T13" s="769" t="s">
        <v>17</v>
      </c>
      <c r="U13" s="770">
        <f t="shared" si="1"/>
        <v>100</v>
      </c>
      <c r="V13" s="769" t="s">
        <v>17</v>
      </c>
      <c r="W13" s="770">
        <f t="shared" si="2"/>
        <v>100</v>
      </c>
      <c r="X13" s="771"/>
      <c r="Y13" s="3082"/>
      <c r="Z13" s="55">
        <f t="shared" si="7"/>
        <v>111</v>
      </c>
      <c r="AA13" s="772">
        <f t="shared" si="3"/>
        <v>1</v>
      </c>
      <c r="AB13" s="772">
        <f t="shared" si="4"/>
        <v>1</v>
      </c>
      <c r="AC13" s="772">
        <f t="shared" si="5"/>
        <v>1</v>
      </c>
    </row>
    <row r="14" spans="1:29" ht="15.75" thickBot="1">
      <c r="A14" s="436"/>
      <c r="B14" s="2597">
        <v>111</v>
      </c>
      <c r="C14" s="437"/>
      <c r="D14" s="438">
        <v>100</v>
      </c>
      <c r="E14" s="437"/>
      <c r="F14" s="438">
        <f>SUMIF(68:68,E14,69:69)-SUMIF(68:68,C14,69:69)+100</f>
        <v>100</v>
      </c>
      <c r="G14" s="2687"/>
      <c r="H14" s="438">
        <f>SUMIF(68:68,G14,69:69)-SUMIF(68:68,C14,69:69)+100</f>
        <v>100</v>
      </c>
      <c r="I14" s="469"/>
      <c r="J14" s="438">
        <f>SUMIF(68:68,I14,69:69)-SUMIF(68:68,C14,69:69)+100</f>
        <v>100</v>
      </c>
      <c r="K14" s="613"/>
      <c r="L14" s="1139"/>
      <c r="M14" s="1130"/>
      <c r="N14" s="1130"/>
      <c r="O14" s="1138"/>
      <c r="P14" s="3246"/>
      <c r="Q14" s="1793">
        <f t="shared" si="6"/>
        <v>111</v>
      </c>
      <c r="R14" s="769" t="s">
        <v>17</v>
      </c>
      <c r="S14" s="770">
        <f t="shared" si="0"/>
        <v>100</v>
      </c>
      <c r="T14" s="769" t="s">
        <v>17</v>
      </c>
      <c r="U14" s="770">
        <f t="shared" si="1"/>
        <v>100</v>
      </c>
      <c r="V14" s="769" t="s">
        <v>17</v>
      </c>
      <c r="W14" s="770">
        <f t="shared" si="2"/>
        <v>100</v>
      </c>
      <c r="X14" s="771"/>
      <c r="Y14" s="3082"/>
      <c r="Z14" s="55">
        <f t="shared" si="7"/>
        <v>111</v>
      </c>
      <c r="AA14" s="772">
        <f t="shared" si="3"/>
        <v>1</v>
      </c>
      <c r="AB14" s="772">
        <f t="shared" si="4"/>
        <v>1</v>
      </c>
      <c r="AC14" s="772">
        <f t="shared" si="5"/>
        <v>1</v>
      </c>
    </row>
    <row r="15" spans="1:29" ht="15">
      <c r="A15" s="440" t="s">
        <v>2547</v>
      </c>
      <c r="B15" s="69" t="s">
        <v>2691</v>
      </c>
      <c r="C15" s="2688">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39"/>
      <c r="M15" s="1130"/>
      <c r="N15" s="1130"/>
      <c r="O15" s="1138"/>
      <c r="P15" s="3239" t="s">
        <v>2548</v>
      </c>
      <c r="Q15" s="1808" t="str">
        <f t="shared" si="6"/>
        <v>产业集聚程度</v>
      </c>
      <c r="R15" s="773" t="s">
        <v>17</v>
      </c>
      <c r="S15" s="774">
        <f t="shared" si="0"/>
        <v>100</v>
      </c>
      <c r="T15" s="773" t="s">
        <v>17</v>
      </c>
      <c r="U15" s="774">
        <f t="shared" si="1"/>
        <v>100</v>
      </c>
      <c r="V15" s="773" t="s">
        <v>17</v>
      </c>
      <c r="W15" s="774">
        <f t="shared" si="2"/>
        <v>100</v>
      </c>
      <c r="X15" s="1811"/>
      <c r="Y15" s="3239" t="s">
        <v>2548</v>
      </c>
      <c r="Z15" s="1812" t="str">
        <f t="shared" si="7"/>
        <v>产业集聚程度</v>
      </c>
      <c r="AA15" s="1809">
        <f t="shared" si="3"/>
        <v>1</v>
      </c>
      <c r="AB15" s="1809">
        <f t="shared" si="4"/>
        <v>1</v>
      </c>
      <c r="AC15" s="1809">
        <f t="shared" si="5"/>
        <v>1</v>
      </c>
    </row>
    <row r="16" spans="1:29" ht="15">
      <c r="A16" s="428"/>
      <c r="B16" s="446"/>
      <c r="C16" s="447"/>
      <c r="D16" s="448"/>
      <c r="E16" s="447"/>
      <c r="F16" s="449"/>
      <c r="G16" s="447"/>
      <c r="H16" s="450"/>
      <c r="I16" s="447"/>
      <c r="J16" s="448"/>
      <c r="K16" s="615"/>
      <c r="L16" s="1139"/>
      <c r="M16" s="1130"/>
      <c r="N16" s="1130"/>
      <c r="O16" s="1138"/>
      <c r="P16" s="3240"/>
      <c r="Q16" s="1808"/>
      <c r="R16" s="773"/>
      <c r="S16" s="774"/>
      <c r="T16" s="773"/>
      <c r="U16" s="774"/>
      <c r="V16" s="773"/>
      <c r="W16" s="774"/>
      <c r="X16" s="1811"/>
      <c r="Y16" s="3240"/>
      <c r="Z16" s="1812"/>
      <c r="AA16" s="1809">
        <v>1</v>
      </c>
      <c r="AB16" s="1809">
        <v>1</v>
      </c>
      <c r="AC16" s="1809">
        <v>1</v>
      </c>
    </row>
    <row r="17" spans="1:29" ht="15">
      <c r="A17" s="428"/>
      <c r="B17" s="451" t="s">
        <v>2090</v>
      </c>
      <c r="C17" s="2602">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39"/>
      <c r="M17" s="1130"/>
      <c r="N17" s="1130"/>
      <c r="O17" s="1138"/>
      <c r="P17" s="3240"/>
      <c r="Q17" s="1808" t="str">
        <f>B17</f>
        <v>交通便捷度</v>
      </c>
      <c r="R17" s="773" t="s">
        <v>17</v>
      </c>
      <c r="S17" s="774">
        <f>F17</f>
        <v>100</v>
      </c>
      <c r="T17" s="773" t="s">
        <v>17</v>
      </c>
      <c r="U17" s="774">
        <f>H17</f>
        <v>100</v>
      </c>
      <c r="V17" s="773" t="s">
        <v>17</v>
      </c>
      <c r="W17" s="774">
        <f>J17</f>
        <v>100</v>
      </c>
      <c r="X17" s="1811"/>
      <c r="Y17" s="3240"/>
      <c r="Z17" s="1812" t="str">
        <f>Q17</f>
        <v>交通便捷度</v>
      </c>
      <c r="AA17" s="1809">
        <f t="shared" si="3"/>
        <v>1</v>
      </c>
      <c r="AB17" s="1809">
        <f t="shared" si="4"/>
        <v>1</v>
      </c>
      <c r="AC17" s="1809">
        <f t="shared" si="5"/>
        <v>1</v>
      </c>
    </row>
    <row r="18" spans="1:29" ht="15">
      <c r="A18" s="428"/>
      <c r="B18" s="456"/>
      <c r="C18" s="2603"/>
      <c r="D18" s="450"/>
      <c r="E18" s="2605"/>
      <c r="F18" s="453"/>
      <c r="G18" s="2604"/>
      <c r="H18" s="448"/>
      <c r="I18" s="2605"/>
      <c r="J18" s="448"/>
      <c r="K18" s="615"/>
      <c r="L18" s="1139"/>
      <c r="M18" s="1130"/>
      <c r="N18" s="1130"/>
      <c r="O18" s="1138"/>
      <c r="P18" s="3240"/>
      <c r="Q18" s="1808"/>
      <c r="R18" s="773"/>
      <c r="S18" s="774"/>
      <c r="T18" s="773"/>
      <c r="U18" s="774"/>
      <c r="V18" s="773"/>
      <c r="W18" s="774"/>
      <c r="X18" s="1811"/>
      <c r="Y18" s="3240"/>
      <c r="Z18" s="1812"/>
      <c r="AA18" s="1809">
        <v>1</v>
      </c>
      <c r="AB18" s="1809">
        <v>1</v>
      </c>
      <c r="AC18" s="1809">
        <v>1</v>
      </c>
    </row>
    <row r="19" spans="1:29" ht="15">
      <c r="A19" s="428"/>
      <c r="B19" s="451" t="s">
        <v>2676</v>
      </c>
      <c r="C19" s="2602">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39"/>
      <c r="M19" s="1130"/>
      <c r="N19" s="1130"/>
      <c r="O19" s="1138"/>
      <c r="P19" s="3240"/>
      <c r="Q19" s="1808" t="str">
        <f>B19</f>
        <v>公共配套设施</v>
      </c>
      <c r="R19" s="773" t="s">
        <v>17</v>
      </c>
      <c r="S19" s="774">
        <f>F19</f>
        <v>100</v>
      </c>
      <c r="T19" s="773" t="s">
        <v>17</v>
      </c>
      <c r="U19" s="774">
        <f>H19</f>
        <v>100</v>
      </c>
      <c r="V19" s="773" t="s">
        <v>17</v>
      </c>
      <c r="W19" s="774">
        <f>J19</f>
        <v>100</v>
      </c>
      <c r="X19" s="1811"/>
      <c r="Y19" s="3240"/>
      <c r="Z19" s="1812" t="str">
        <f>Q19</f>
        <v>公共配套设施</v>
      </c>
      <c r="AA19" s="1809">
        <f t="shared" si="3"/>
        <v>1</v>
      </c>
      <c r="AB19" s="1809">
        <f t="shared" si="4"/>
        <v>1</v>
      </c>
      <c r="AC19" s="1809">
        <f t="shared" si="5"/>
        <v>1</v>
      </c>
    </row>
    <row r="20" spans="1:29" ht="15">
      <c r="A20" s="428"/>
      <c r="B20" s="456"/>
      <c r="C20" s="447"/>
      <c r="D20" s="448"/>
      <c r="E20" s="2600"/>
      <c r="F20" s="449"/>
      <c r="G20" s="2599"/>
      <c r="H20" s="448"/>
      <c r="I20" s="2600"/>
      <c r="J20" s="448"/>
      <c r="K20" s="615"/>
      <c r="L20" s="1139"/>
      <c r="M20" s="1130"/>
      <c r="N20" s="1130"/>
      <c r="O20" s="1138"/>
      <c r="P20" s="3240"/>
      <c r="Q20" s="1808"/>
      <c r="R20" s="773"/>
      <c r="S20" s="774"/>
      <c r="T20" s="773"/>
      <c r="U20" s="774"/>
      <c r="V20" s="773"/>
      <c r="W20" s="774"/>
      <c r="X20" s="1811"/>
      <c r="Y20" s="3240"/>
      <c r="Z20" s="1812"/>
      <c r="AA20" s="1809">
        <v>1</v>
      </c>
      <c r="AB20" s="1809">
        <v>1</v>
      </c>
      <c r="AC20" s="1809">
        <v>1</v>
      </c>
    </row>
    <row r="21" spans="1:29" ht="15">
      <c r="A21" s="428"/>
      <c r="B21" s="1383" t="s">
        <v>2677</v>
      </c>
      <c r="C21" s="2602">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39"/>
      <c r="M21" s="1130"/>
      <c r="N21" s="1130"/>
      <c r="O21" s="1138"/>
      <c r="P21" s="3240"/>
      <c r="Q21" s="1808" t="str">
        <f>B21</f>
        <v>基础设施水平</v>
      </c>
      <c r="R21" s="773" t="s">
        <v>17</v>
      </c>
      <c r="S21" s="774">
        <f>F21</f>
        <v>100</v>
      </c>
      <c r="T21" s="773" t="s">
        <v>17</v>
      </c>
      <c r="U21" s="774">
        <f>H21</f>
        <v>100</v>
      </c>
      <c r="V21" s="773" t="s">
        <v>17</v>
      </c>
      <c r="W21" s="774">
        <f>J21</f>
        <v>100</v>
      </c>
      <c r="X21" s="1811"/>
      <c r="Y21" s="3240"/>
      <c r="Z21" s="1812" t="str">
        <f>Q21</f>
        <v>基础设施水平</v>
      </c>
      <c r="AA21" s="1809">
        <f t="shared" ref="AA21" si="8">D21/F21</f>
        <v>1</v>
      </c>
      <c r="AB21" s="1809">
        <f t="shared" ref="AB21" si="9">D21/H21</f>
        <v>1</v>
      </c>
      <c r="AC21" s="1809">
        <f t="shared" ref="AC21" si="10">D21/J21</f>
        <v>1</v>
      </c>
    </row>
    <row r="22" spans="1:29" ht="15">
      <c r="A22" s="428"/>
      <c r="B22" s="1383"/>
      <c r="C22" s="2603"/>
      <c r="D22" s="448"/>
      <c r="E22" s="447"/>
      <c r="F22" s="449"/>
      <c r="G22" s="447"/>
      <c r="H22" s="448"/>
      <c r="I22" s="447"/>
      <c r="J22" s="448"/>
      <c r="K22" s="1382"/>
      <c r="L22" s="1139"/>
      <c r="M22" s="1130"/>
      <c r="N22" s="1130"/>
      <c r="O22" s="1138"/>
      <c r="P22" s="3240"/>
      <c r="Q22" s="1808"/>
      <c r="R22" s="773"/>
      <c r="S22" s="774"/>
      <c r="T22" s="773"/>
      <c r="U22" s="774"/>
      <c r="V22" s="773"/>
      <c r="W22" s="774"/>
      <c r="X22" s="1811"/>
      <c r="Y22" s="3240"/>
      <c r="Z22" s="1812"/>
      <c r="AA22" s="1809">
        <v>1</v>
      </c>
      <c r="AB22" s="1809">
        <v>1</v>
      </c>
      <c r="AC22" s="1809">
        <v>1</v>
      </c>
    </row>
    <row r="23" spans="1:29" ht="15">
      <c r="A23" s="428"/>
      <c r="B23" s="451" t="s">
        <v>2678</v>
      </c>
      <c r="C23" s="2602">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39"/>
      <c r="M23" s="1130"/>
      <c r="N23" s="1130"/>
      <c r="O23" s="1138"/>
      <c r="P23" s="3240"/>
      <c r="Q23" s="1808" t="str">
        <f>B23</f>
        <v>环境质量</v>
      </c>
      <c r="R23" s="773" t="s">
        <v>17</v>
      </c>
      <c r="S23" s="774">
        <f>F23</f>
        <v>100</v>
      </c>
      <c r="T23" s="773" t="s">
        <v>17</v>
      </c>
      <c r="U23" s="774">
        <f>H23</f>
        <v>100</v>
      </c>
      <c r="V23" s="773" t="s">
        <v>17</v>
      </c>
      <c r="W23" s="774">
        <f>J23</f>
        <v>100</v>
      </c>
      <c r="X23" s="1811"/>
      <c r="Y23" s="3240"/>
      <c r="Z23" s="1812" t="str">
        <f>Q23</f>
        <v>环境质量</v>
      </c>
      <c r="AA23" s="1809">
        <f t="shared" si="3"/>
        <v>1</v>
      </c>
      <c r="AB23" s="1809">
        <f t="shared" si="4"/>
        <v>1</v>
      </c>
      <c r="AC23" s="1809">
        <f t="shared" si="5"/>
        <v>1</v>
      </c>
    </row>
    <row r="24" spans="1:29" ht="15">
      <c r="A24" s="428"/>
      <c r="B24" s="1383"/>
      <c r="C24" s="447"/>
      <c r="D24" s="448"/>
      <c r="E24" s="2600"/>
      <c r="F24" s="449"/>
      <c r="G24" s="2599"/>
      <c r="H24" s="448"/>
      <c r="I24" s="2600"/>
      <c r="J24" s="448"/>
      <c r="K24" s="615"/>
      <c r="L24" s="1139"/>
      <c r="M24" s="1130"/>
      <c r="N24" s="1130"/>
      <c r="O24" s="1138"/>
      <c r="P24" s="3240"/>
      <c r="Q24" s="1808"/>
      <c r="R24" s="773"/>
      <c r="S24" s="774"/>
      <c r="T24" s="773"/>
      <c r="U24" s="774"/>
      <c r="V24" s="773"/>
      <c r="W24" s="774"/>
      <c r="X24" s="1811"/>
      <c r="Y24" s="3240"/>
      <c r="Z24" s="1812"/>
      <c r="AA24" s="1809">
        <v>1</v>
      </c>
      <c r="AB24" s="1809">
        <v>1</v>
      </c>
      <c r="AC24" s="1809">
        <v>1</v>
      </c>
    </row>
    <row r="25" spans="1:29" ht="15">
      <c r="A25" s="404"/>
      <c r="B25" s="1385">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9"/>
      <c r="M25" s="1130"/>
      <c r="N25" s="1130"/>
      <c r="O25" s="1138"/>
      <c r="P25" s="3240"/>
      <c r="Q25" s="1808">
        <f>B25</f>
        <v>111</v>
      </c>
      <c r="R25" s="773" t="s">
        <v>17</v>
      </c>
      <c r="S25" s="774">
        <f>F25</f>
        <v>100</v>
      </c>
      <c r="T25" s="773" t="s">
        <v>17</v>
      </c>
      <c r="U25" s="774">
        <f>H25</f>
        <v>100</v>
      </c>
      <c r="V25" s="773" t="s">
        <v>17</v>
      </c>
      <c r="W25" s="774">
        <f>J25</f>
        <v>100</v>
      </c>
      <c r="X25" s="1811"/>
      <c r="Y25" s="3240"/>
      <c r="Z25" s="1812">
        <f>Q25</f>
        <v>111</v>
      </c>
      <c r="AA25" s="1809">
        <f t="shared" si="3"/>
        <v>1</v>
      </c>
      <c r="AB25" s="1809">
        <f t="shared" si="4"/>
        <v>1</v>
      </c>
      <c r="AC25" s="1809">
        <f t="shared" si="5"/>
        <v>1</v>
      </c>
    </row>
    <row r="26" spans="1:29" ht="15">
      <c r="A26" s="428"/>
      <c r="B26" s="1385">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9"/>
      <c r="M26" s="1130"/>
      <c r="N26" s="1130"/>
      <c r="O26" s="1138"/>
      <c r="P26" s="3240"/>
      <c r="Q26" s="1808">
        <f t="shared" ref="Q26:Q40" si="11">B26</f>
        <v>111</v>
      </c>
      <c r="R26" s="773" t="s">
        <v>17</v>
      </c>
      <c r="S26" s="774">
        <f>F26</f>
        <v>100</v>
      </c>
      <c r="T26" s="773" t="s">
        <v>17</v>
      </c>
      <c r="U26" s="774">
        <f>H26</f>
        <v>100</v>
      </c>
      <c r="V26" s="773" t="s">
        <v>17</v>
      </c>
      <c r="W26" s="774">
        <f>J26</f>
        <v>100</v>
      </c>
      <c r="X26" s="1811"/>
      <c r="Y26" s="3240"/>
      <c r="Z26" s="1812">
        <f>Q26</f>
        <v>111</v>
      </c>
      <c r="AA26" s="1809">
        <f t="shared" si="3"/>
        <v>1</v>
      </c>
      <c r="AB26" s="1809">
        <f t="shared" si="4"/>
        <v>1</v>
      </c>
      <c r="AC26" s="1809">
        <f t="shared" si="5"/>
        <v>1</v>
      </c>
    </row>
    <row r="27" spans="1:29" s="117" customFormat="1" ht="15">
      <c r="A27" s="431"/>
      <c r="B27" s="1385">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1"/>
      <c r="M27" s="1132"/>
      <c r="N27" s="1132"/>
      <c r="O27" s="1133"/>
      <c r="P27" s="3240"/>
      <c r="Q27" s="1793">
        <f t="shared" si="11"/>
        <v>111</v>
      </c>
      <c r="R27" s="769" t="s">
        <v>17</v>
      </c>
      <c r="S27" s="770">
        <f>F27</f>
        <v>100</v>
      </c>
      <c r="T27" s="769" t="s">
        <v>17</v>
      </c>
      <c r="U27" s="770">
        <f>H27</f>
        <v>100</v>
      </c>
      <c r="V27" s="769" t="s">
        <v>17</v>
      </c>
      <c r="W27" s="770">
        <f>J27</f>
        <v>100</v>
      </c>
      <c r="X27" s="771"/>
      <c r="Y27" s="3240"/>
      <c r="Z27" s="55">
        <f>Q27</f>
        <v>111</v>
      </c>
      <c r="AA27" s="1809">
        <f>D27/F27</f>
        <v>1</v>
      </c>
      <c r="AB27" s="1809">
        <f>D27/H27</f>
        <v>1</v>
      </c>
      <c r="AC27" s="1809">
        <f>D27/J27</f>
        <v>1</v>
      </c>
    </row>
    <row r="28" spans="1:29" ht="15.75" thickBot="1">
      <c r="A28" s="436"/>
      <c r="B28" s="1385">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9"/>
      <c r="M28" s="1130"/>
      <c r="N28" s="1130"/>
      <c r="O28" s="1138"/>
      <c r="P28" s="3240"/>
      <c r="Q28" s="1808">
        <f t="shared" si="11"/>
        <v>111</v>
      </c>
      <c r="R28" s="773" t="s">
        <v>17</v>
      </c>
      <c r="S28" s="774">
        <f t="shared" ref="S28:S40" si="12">F28</f>
        <v>100</v>
      </c>
      <c r="T28" s="773" t="s">
        <v>17</v>
      </c>
      <c r="U28" s="774">
        <f t="shared" ref="U28:U40" si="13">H28</f>
        <v>100</v>
      </c>
      <c r="V28" s="773" t="s">
        <v>17</v>
      </c>
      <c r="W28" s="774">
        <f t="shared" ref="W28:W40" si="14">J28</f>
        <v>100</v>
      </c>
      <c r="X28" s="1811"/>
      <c r="Y28" s="3240"/>
      <c r="Z28" s="1812">
        <f t="shared" ref="Z28:Z40" si="15">Q28</f>
        <v>111</v>
      </c>
      <c r="AA28" s="1809">
        <f t="shared" si="3"/>
        <v>1</v>
      </c>
      <c r="AB28" s="1809">
        <f t="shared" si="4"/>
        <v>1</v>
      </c>
      <c r="AC28" s="1809">
        <f t="shared" si="5"/>
        <v>1</v>
      </c>
    </row>
    <row r="29" spans="1:29" ht="15">
      <c r="A29" s="466" t="s">
        <v>2551</v>
      </c>
      <c r="B29" s="71" t="s">
        <v>2681</v>
      </c>
      <c r="C29" s="2674"/>
      <c r="D29" s="467">
        <v>100</v>
      </c>
      <c r="E29" s="2674"/>
      <c r="F29" s="461">
        <f>SUMIF(88:88,E29,89:89)-SUMIF(88:88,C29,89:89)+100</f>
        <v>100</v>
      </c>
      <c r="G29" s="2674"/>
      <c r="H29" s="435">
        <f>SUMIF(88:88,G29,89:89)-SUMIF(88:88,C29,89:89)+100</f>
        <v>100</v>
      </c>
      <c r="I29" s="2674"/>
      <c r="J29" s="467">
        <f>SUMIF(88:88,I29,89:89)-SUMIF(88:88,C29,89:89)+100</f>
        <v>100</v>
      </c>
      <c r="K29" s="612"/>
      <c r="L29" s="1139"/>
      <c r="M29" s="1130"/>
      <c r="N29" s="1130"/>
      <c r="O29" s="1138"/>
      <c r="P29" s="3299" t="s">
        <v>2553</v>
      </c>
      <c r="Q29" s="1808" t="str">
        <f t="shared" si="11"/>
        <v>建筑类型</v>
      </c>
      <c r="R29" s="773" t="s">
        <v>17</v>
      </c>
      <c r="S29" s="774">
        <f t="shared" si="12"/>
        <v>100</v>
      </c>
      <c r="T29" s="773" t="s">
        <v>17</v>
      </c>
      <c r="U29" s="774">
        <f t="shared" si="13"/>
        <v>100</v>
      </c>
      <c r="V29" s="773" t="s">
        <v>17</v>
      </c>
      <c r="W29" s="774">
        <f t="shared" si="14"/>
        <v>100</v>
      </c>
      <c r="X29" s="1811"/>
      <c r="Y29" s="3244" t="s">
        <v>2553</v>
      </c>
      <c r="Z29" s="1812" t="str">
        <f t="shared" si="15"/>
        <v>建筑类型</v>
      </c>
      <c r="AA29" s="1809">
        <f t="shared" si="3"/>
        <v>1</v>
      </c>
      <c r="AB29" s="1809">
        <f t="shared" si="4"/>
        <v>1</v>
      </c>
      <c r="AC29" s="1809">
        <f t="shared" si="5"/>
        <v>1</v>
      </c>
    </row>
    <row r="30" spans="1:29" s="471" customFormat="1" ht="15">
      <c r="A30" s="468"/>
      <c r="B30" s="422" t="s">
        <v>2554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7"/>
      <c r="M30" s="1140"/>
      <c r="N30" s="1140"/>
      <c r="O30" s="1141"/>
      <c r="P30" s="3244"/>
      <c r="Q30" s="775" t="str">
        <f t="shared" si="11"/>
        <v>项目建筑规模</v>
      </c>
      <c r="R30" s="776" t="s">
        <v>17</v>
      </c>
      <c r="S30" s="777" t="e">
        <f t="shared" si="12"/>
        <v>#N/A</v>
      </c>
      <c r="T30" s="776" t="s">
        <v>17</v>
      </c>
      <c r="U30" s="777" t="e">
        <f t="shared" si="13"/>
        <v>#N/A</v>
      </c>
      <c r="V30" s="776" t="s">
        <v>17</v>
      </c>
      <c r="W30" s="777" t="e">
        <f t="shared" si="14"/>
        <v>#N/A</v>
      </c>
      <c r="X30" s="778"/>
      <c r="Y30" s="3244"/>
      <c r="Z30" s="779" t="str">
        <f t="shared" si="15"/>
        <v>项目建筑规模</v>
      </c>
      <c r="AA30" s="1809" t="e">
        <f t="shared" si="3"/>
        <v>#N/A</v>
      </c>
      <c r="AB30" s="1809" t="e">
        <f t="shared" si="4"/>
        <v>#N/A</v>
      </c>
      <c r="AC30" s="1809" t="e">
        <f t="shared" si="5"/>
        <v>#N/A</v>
      </c>
    </row>
    <row r="31" spans="1:29" ht="15">
      <c r="A31" s="472"/>
      <c r="B31" s="422" t="s">
        <v>2555</v>
      </c>
      <c r="C31" s="460"/>
      <c r="D31" s="435">
        <v>100</v>
      </c>
      <c r="E31" s="460"/>
      <c r="F31" s="461">
        <f>SUMIF(93:93,E31,94:94)-SUMIF(93:93,C31,94:94)+100</f>
        <v>100</v>
      </c>
      <c r="G31" s="460"/>
      <c r="H31" s="435">
        <f>SUMIF(93:93,G31,94:94)-SUMIF(93:93,C31,94:94)+100</f>
        <v>100</v>
      </c>
      <c r="I31" s="460"/>
      <c r="J31" s="435">
        <f>SUMIF(93:93,I31,94:94)-SUMIF(93:93,C31,94:94)+100</f>
        <v>100</v>
      </c>
      <c r="K31" s="612"/>
      <c r="L31" s="1139"/>
      <c r="M31" s="1130"/>
      <c r="N31" s="1130"/>
      <c r="O31" s="1138"/>
      <c r="P31" s="3244"/>
      <c r="Q31" s="1808" t="str">
        <f t="shared" si="11"/>
        <v>建筑结构</v>
      </c>
      <c r="R31" s="773" t="s">
        <v>17</v>
      </c>
      <c r="S31" s="774">
        <f t="shared" si="12"/>
        <v>100</v>
      </c>
      <c r="T31" s="773" t="s">
        <v>17</v>
      </c>
      <c r="U31" s="774">
        <f t="shared" si="13"/>
        <v>100</v>
      </c>
      <c r="V31" s="773" t="s">
        <v>17</v>
      </c>
      <c r="W31" s="774">
        <f t="shared" si="14"/>
        <v>100</v>
      </c>
      <c r="X31" s="1811"/>
      <c r="Y31" s="3244"/>
      <c r="Z31" s="1812" t="str">
        <f t="shared" si="15"/>
        <v>建筑结构</v>
      </c>
      <c r="AA31" s="1809">
        <f t="shared" si="3"/>
        <v>1</v>
      </c>
      <c r="AB31" s="1809">
        <f t="shared" si="4"/>
        <v>1</v>
      </c>
      <c r="AC31" s="1809">
        <f t="shared" si="5"/>
        <v>1</v>
      </c>
    </row>
    <row r="32" spans="1:29" ht="15">
      <c r="A32" s="472"/>
      <c r="B32" s="422" t="s">
        <v>2649</v>
      </c>
      <c r="C32" s="460"/>
      <c r="D32" s="435">
        <v>100</v>
      </c>
      <c r="E32" s="460"/>
      <c r="F32" s="461">
        <f>SUMIF(95:95,E32,96:96)-SUMIF(95:95,C32,96:96)+100</f>
        <v>100</v>
      </c>
      <c r="G32" s="460"/>
      <c r="H32" s="435">
        <f>SUMIF(95:95,G32,96:96)-SUMIF(95:95,C32,96:96)+100</f>
        <v>100</v>
      </c>
      <c r="I32" s="460"/>
      <c r="J32" s="435">
        <f>SUMIF(95:95,I32,96:96)-SUMIF(95:95,C32,96:96)+100</f>
        <v>100</v>
      </c>
      <c r="K32" s="612"/>
      <c r="L32" s="1139"/>
      <c r="M32" s="1130"/>
      <c r="N32" s="1130"/>
      <c r="O32" s="1138"/>
      <c r="P32" s="3244"/>
      <c r="Q32" s="1808" t="str">
        <f t="shared" si="11"/>
        <v>公共部分装修</v>
      </c>
      <c r="R32" s="773" t="s">
        <v>17</v>
      </c>
      <c r="S32" s="774">
        <f t="shared" si="12"/>
        <v>100</v>
      </c>
      <c r="T32" s="773" t="s">
        <v>17</v>
      </c>
      <c r="U32" s="774">
        <f t="shared" si="13"/>
        <v>100</v>
      </c>
      <c r="V32" s="773" t="s">
        <v>17</v>
      </c>
      <c r="W32" s="774">
        <f t="shared" si="14"/>
        <v>100</v>
      </c>
      <c r="X32" s="1811"/>
      <c r="Y32" s="3244"/>
      <c r="Z32" s="1812" t="str">
        <f t="shared" si="15"/>
        <v>公共部分装修</v>
      </c>
      <c r="AA32" s="1809">
        <f t="shared" si="3"/>
        <v>1</v>
      </c>
      <c r="AB32" s="1809">
        <f t="shared" si="4"/>
        <v>1</v>
      </c>
      <c r="AC32" s="1809">
        <f t="shared" si="5"/>
        <v>1</v>
      </c>
    </row>
    <row r="33" spans="1:29" ht="15">
      <c r="A33" s="472"/>
      <c r="B33" s="422" t="s">
        <v>2650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9"/>
      <c r="M33" s="1130"/>
      <c r="N33" s="1130"/>
      <c r="O33" s="1138"/>
      <c r="P33" s="3244"/>
      <c r="Q33" s="1808" t="str">
        <f t="shared" si="11"/>
        <v>成新度</v>
      </c>
      <c r="R33" s="773" t="s">
        <v>17</v>
      </c>
      <c r="S33" s="774" t="e">
        <f t="shared" si="12"/>
        <v>#N/A</v>
      </c>
      <c r="T33" s="773" t="s">
        <v>17</v>
      </c>
      <c r="U33" s="774" t="e">
        <f t="shared" si="13"/>
        <v>#N/A</v>
      </c>
      <c r="V33" s="773" t="s">
        <v>17</v>
      </c>
      <c r="W33" s="774" t="e">
        <f t="shared" si="14"/>
        <v>#N/A</v>
      </c>
      <c r="X33" s="1811"/>
      <c r="Y33" s="3244"/>
      <c r="Z33" s="1812" t="str">
        <f t="shared" si="15"/>
        <v>成新度</v>
      </c>
      <c r="AA33" s="1809" t="e">
        <f t="shared" si="3"/>
        <v>#N/A</v>
      </c>
      <c r="AB33" s="1809" t="e">
        <f t="shared" si="4"/>
        <v>#N/A</v>
      </c>
      <c r="AC33" s="1809" t="e">
        <f t="shared" si="5"/>
        <v>#N/A</v>
      </c>
    </row>
    <row r="34" spans="1:29" s="117" customFormat="1" ht="15">
      <c r="A34" s="473"/>
      <c r="B34" s="422" t="s">
        <v>2683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1"/>
      <c r="M34" s="1132"/>
      <c r="N34" s="1132"/>
      <c r="O34" s="1133"/>
      <c r="P34" s="3244"/>
      <c r="Q34" s="1793" t="str">
        <f t="shared" si="11"/>
        <v>物业管理</v>
      </c>
      <c r="R34" s="769" t="s">
        <v>17</v>
      </c>
      <c r="S34" s="770">
        <f t="shared" si="12"/>
        <v>100</v>
      </c>
      <c r="T34" s="769" t="s">
        <v>17</v>
      </c>
      <c r="U34" s="770">
        <f t="shared" si="13"/>
        <v>100</v>
      </c>
      <c r="V34" s="769" t="s">
        <v>17</v>
      </c>
      <c r="W34" s="770">
        <f t="shared" si="14"/>
        <v>100</v>
      </c>
      <c r="X34" s="771"/>
      <c r="Y34" s="3244"/>
      <c r="Z34" s="55" t="str">
        <f t="shared" si="15"/>
        <v>物业管理</v>
      </c>
      <c r="AA34" s="772">
        <f t="shared" si="3"/>
        <v>1</v>
      </c>
      <c r="AB34" s="772">
        <f t="shared" si="4"/>
        <v>1</v>
      </c>
      <c r="AC34" s="772">
        <f t="shared" si="5"/>
        <v>1</v>
      </c>
    </row>
    <row r="35" spans="1:29" ht="15">
      <c r="A35" s="472"/>
      <c r="B35" s="422" t="s">
        <v>2651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9"/>
      <c r="M35" s="1130"/>
      <c r="N35" s="1130"/>
      <c r="O35" s="1138"/>
      <c r="P35" s="3244" t="s">
        <v>2553</v>
      </c>
      <c r="Q35" s="1808" t="str">
        <f t="shared" si="11"/>
        <v>市政基础设施</v>
      </c>
      <c r="R35" s="773" t="s">
        <v>17</v>
      </c>
      <c r="S35" s="774">
        <f t="shared" si="12"/>
        <v>100</v>
      </c>
      <c r="T35" s="773" t="s">
        <v>17</v>
      </c>
      <c r="U35" s="774">
        <f t="shared" si="13"/>
        <v>100</v>
      </c>
      <c r="V35" s="773" t="s">
        <v>17</v>
      </c>
      <c r="W35" s="774">
        <f t="shared" si="14"/>
        <v>100</v>
      </c>
      <c r="X35" s="1811"/>
      <c r="Y35" s="3244" t="s">
        <v>2553</v>
      </c>
      <c r="Z35" s="1812" t="str">
        <f t="shared" si="15"/>
        <v>市政基础设施</v>
      </c>
      <c r="AA35" s="1809">
        <f t="shared" si="3"/>
        <v>1</v>
      </c>
      <c r="AB35" s="1809">
        <f t="shared" si="4"/>
        <v>1</v>
      </c>
      <c r="AC35" s="1809">
        <f t="shared" si="5"/>
        <v>1</v>
      </c>
    </row>
    <row r="36" spans="1:29" ht="15">
      <c r="A36" s="472"/>
      <c r="B36" s="422" t="s">
        <v>2656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9"/>
      <c r="M36" s="1130"/>
      <c r="N36" s="1130"/>
      <c r="O36" s="1138"/>
      <c r="P36" s="3244"/>
      <c r="Q36" s="1808" t="str">
        <f t="shared" si="11"/>
        <v>内部装修</v>
      </c>
      <c r="R36" s="773" t="s">
        <v>17</v>
      </c>
      <c r="S36" s="774">
        <f t="shared" si="12"/>
        <v>100</v>
      </c>
      <c r="T36" s="773" t="s">
        <v>17</v>
      </c>
      <c r="U36" s="774">
        <f t="shared" si="13"/>
        <v>100</v>
      </c>
      <c r="V36" s="773" t="s">
        <v>17</v>
      </c>
      <c r="W36" s="774">
        <f t="shared" si="14"/>
        <v>100</v>
      </c>
      <c r="X36" s="1811"/>
      <c r="Y36" s="3244"/>
      <c r="Z36" s="1812" t="str">
        <f t="shared" si="15"/>
        <v>内部装修</v>
      </c>
      <c r="AA36" s="1809">
        <f t="shared" si="3"/>
        <v>1</v>
      </c>
      <c r="AB36" s="1809">
        <f t="shared" si="4"/>
        <v>1</v>
      </c>
      <c r="AC36" s="1809">
        <f t="shared" si="5"/>
        <v>1</v>
      </c>
    </row>
    <row r="37" spans="1:29" ht="15">
      <c r="A37" s="472"/>
      <c r="B37" s="422" t="s">
        <v>2692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9"/>
      <c r="M37" s="1130"/>
      <c r="N37" s="1130"/>
      <c r="O37" s="1138"/>
      <c r="P37" s="3244"/>
      <c r="Q37" s="1808" t="str">
        <f t="shared" si="11"/>
        <v>内部装修状况</v>
      </c>
      <c r="R37" s="773" t="s">
        <v>17</v>
      </c>
      <c r="S37" s="774">
        <f t="shared" si="12"/>
        <v>100</v>
      </c>
      <c r="T37" s="773" t="s">
        <v>17</v>
      </c>
      <c r="U37" s="774">
        <f t="shared" si="13"/>
        <v>100</v>
      </c>
      <c r="V37" s="773" t="s">
        <v>17</v>
      </c>
      <c r="W37" s="774">
        <f t="shared" si="14"/>
        <v>100</v>
      </c>
      <c r="X37" s="1811"/>
      <c r="Y37" s="3244"/>
      <c r="Z37" s="1812" t="str">
        <f t="shared" si="15"/>
        <v>内部装修状况</v>
      </c>
      <c r="AA37" s="1809">
        <f t="shared" si="3"/>
        <v>1</v>
      </c>
      <c r="AB37" s="1809">
        <f t="shared" si="4"/>
        <v>1</v>
      </c>
      <c r="AC37" s="1809">
        <f t="shared" si="5"/>
        <v>1</v>
      </c>
    </row>
    <row r="38" spans="1:29" s="471" customFormat="1" ht="15">
      <c r="A38" s="468"/>
      <c r="B38" s="1385">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7"/>
      <c r="M38" s="1140"/>
      <c r="N38" s="1140"/>
      <c r="O38" s="1141"/>
      <c r="P38" s="3244"/>
      <c r="Q38" s="775">
        <f t="shared" si="11"/>
        <v>111</v>
      </c>
      <c r="R38" s="776" t="s">
        <v>17</v>
      </c>
      <c r="S38" s="777">
        <f t="shared" si="12"/>
        <v>100</v>
      </c>
      <c r="T38" s="776" t="s">
        <v>17</v>
      </c>
      <c r="U38" s="777">
        <f t="shared" si="13"/>
        <v>100</v>
      </c>
      <c r="V38" s="776" t="s">
        <v>17</v>
      </c>
      <c r="W38" s="777">
        <f t="shared" si="14"/>
        <v>100</v>
      </c>
      <c r="X38" s="778"/>
      <c r="Y38" s="3244"/>
      <c r="Z38" s="779">
        <f t="shared" si="15"/>
        <v>111</v>
      </c>
      <c r="AA38" s="1809">
        <f t="shared" si="3"/>
        <v>1</v>
      </c>
      <c r="AB38" s="1809">
        <f t="shared" si="4"/>
        <v>1</v>
      </c>
      <c r="AC38" s="1809">
        <f t="shared" si="5"/>
        <v>1</v>
      </c>
    </row>
    <row r="39" spans="1:29" ht="15">
      <c r="A39" s="472"/>
      <c r="B39" s="1385">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9"/>
      <c r="M39" s="1130"/>
      <c r="N39" s="1130"/>
      <c r="O39" s="1138"/>
      <c r="P39" s="3244"/>
      <c r="Q39" s="1808">
        <f t="shared" si="11"/>
        <v>111</v>
      </c>
      <c r="R39" s="773" t="s">
        <v>17</v>
      </c>
      <c r="S39" s="774">
        <f t="shared" si="12"/>
        <v>100</v>
      </c>
      <c r="T39" s="773" t="s">
        <v>17</v>
      </c>
      <c r="U39" s="774">
        <f t="shared" si="13"/>
        <v>100</v>
      </c>
      <c r="V39" s="773" t="s">
        <v>17</v>
      </c>
      <c r="W39" s="774">
        <f t="shared" si="14"/>
        <v>100</v>
      </c>
      <c r="X39" s="1811"/>
      <c r="Y39" s="3244"/>
      <c r="Z39" s="1812">
        <f t="shared" si="15"/>
        <v>111</v>
      </c>
      <c r="AA39" s="1809">
        <f t="shared" si="3"/>
        <v>1</v>
      </c>
      <c r="AB39" s="1809">
        <f t="shared" si="4"/>
        <v>1</v>
      </c>
      <c r="AC39" s="1809">
        <f t="shared" si="5"/>
        <v>1</v>
      </c>
    </row>
    <row r="40" spans="1:29" ht="15.75" thickBot="1">
      <c r="A40" s="478"/>
      <c r="B40" s="2597">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9"/>
      <c r="M40" s="1130"/>
      <c r="N40" s="1130"/>
      <c r="O40" s="1138"/>
      <c r="P40" s="3245"/>
      <c r="Q40" s="1808">
        <f t="shared" si="11"/>
        <v>111</v>
      </c>
      <c r="R40" s="773" t="s">
        <v>17</v>
      </c>
      <c r="S40" s="774">
        <f t="shared" si="12"/>
        <v>100</v>
      </c>
      <c r="T40" s="773" t="s">
        <v>17</v>
      </c>
      <c r="U40" s="774">
        <f t="shared" si="13"/>
        <v>100</v>
      </c>
      <c r="V40" s="773" t="s">
        <v>17</v>
      </c>
      <c r="W40" s="774">
        <f t="shared" si="14"/>
        <v>100</v>
      </c>
      <c r="X40" s="1811"/>
      <c r="Y40" s="3245"/>
      <c r="Z40" s="1812">
        <f t="shared" si="15"/>
        <v>111</v>
      </c>
      <c r="AA40" s="1809">
        <f t="shared" si="3"/>
        <v>1</v>
      </c>
      <c r="AB40" s="1809">
        <f t="shared" si="4"/>
        <v>1</v>
      </c>
      <c r="AC40" s="1809">
        <f t="shared" si="5"/>
        <v>1</v>
      </c>
    </row>
    <row r="41" spans="1:29" ht="15">
      <c r="A41" s="479" t="s">
        <v>2565</v>
      </c>
      <c r="B41" s="480"/>
      <c r="C41" s="1406" t="s">
        <v>1</v>
      </c>
      <c r="D41" s="1407"/>
      <c r="E41" s="1408"/>
      <c r="F41" s="1409"/>
      <c r="G41" s="1410"/>
      <c r="H41" s="1411"/>
      <c r="I41" s="1408"/>
      <c r="J41" s="1411"/>
      <c r="K41" s="782"/>
      <c r="L41" s="1142"/>
      <c r="M41" s="1143"/>
      <c r="N41" s="1130"/>
      <c r="O41" s="1143"/>
      <c r="P41" s="3246" t="str">
        <f>A41</f>
        <v>成交单价（元/平方米）</v>
      </c>
      <c r="Q41" s="3246"/>
      <c r="R41" s="3247">
        <f>E41</f>
        <v>0</v>
      </c>
      <c r="S41" s="3247"/>
      <c r="T41" s="3247">
        <f>G41</f>
        <v>0</v>
      </c>
      <c r="U41" s="3247"/>
      <c r="V41" s="3247">
        <f>I41</f>
        <v>0</v>
      </c>
      <c r="W41" s="3247"/>
      <c r="X41" s="758"/>
      <c r="Y41" s="780"/>
      <c r="Z41" s="758"/>
      <c r="AA41" s="758"/>
      <c r="AB41" s="758"/>
      <c r="AC41" s="758"/>
    </row>
    <row r="42" spans="1:29" ht="15.75" thickBot="1">
      <c r="A42" s="486" t="s">
        <v>2657</v>
      </c>
      <c r="B42" s="487"/>
      <c r="C42" s="1412" t="e">
        <f>R43</f>
        <v>#DIV/0!</v>
      </c>
      <c r="D42" s="1413"/>
      <c r="E42" s="1414" t="e">
        <f>R42</f>
        <v>#DIV/0!</v>
      </c>
      <c r="F42" s="1414"/>
      <c r="G42" s="1412" t="e">
        <f>T42</f>
        <v>#DIV/0!</v>
      </c>
      <c r="H42" s="1413"/>
      <c r="I42" s="1414" t="e">
        <f>V42</f>
        <v>#DIV/0!</v>
      </c>
      <c r="J42" s="1413"/>
      <c r="K42" s="783"/>
      <c r="L42" s="1142"/>
      <c r="M42" s="1143"/>
      <c r="N42" s="1130"/>
      <c r="O42" s="1143"/>
      <c r="P42" s="3246" t="str">
        <f>A42</f>
        <v>比较价值（元/平方米）</v>
      </c>
      <c r="Q42" s="3246"/>
      <c r="R42" s="3247" t="e">
        <f>IF(F1="售价",ROUND(PRODUCT(R41,AA7:AA40),0),ROUND(PRODUCT(R41,AA7:AA40),1))</f>
        <v>#DIV/0!</v>
      </c>
      <c r="S42" s="3247"/>
      <c r="T42" s="3247" t="e">
        <f>IF(F1="售价",ROUND(PRODUCT(T41,AB7:AB40),0),ROUND(PRODUCT(T41,AB7:AB40),1))</f>
        <v>#DIV/0!</v>
      </c>
      <c r="U42" s="3247"/>
      <c r="V42" s="3247" t="e">
        <f>IF(F1="售价",ROUND(PRODUCT(V41,AC7:AC40),0),ROUND(PRODUCT(V41,AC7:AC40),1))</f>
        <v>#DIV/0!</v>
      </c>
      <c r="W42" s="3247"/>
      <c r="X42" s="758"/>
      <c r="Y42" s="758"/>
      <c r="Z42" s="758"/>
      <c r="AA42" s="758"/>
      <c r="AB42" s="758"/>
      <c r="AC42" s="758"/>
    </row>
    <row r="43" spans="1:29" ht="15.75" thickBot="1">
      <c r="A43" s="492" t="s">
        <v>2658</v>
      </c>
      <c r="B43" s="493"/>
      <c r="C43" s="1416" t="e">
        <f>R43</f>
        <v>#DIV/0!</v>
      </c>
      <c r="D43" s="1416"/>
      <c r="E43" s="1416"/>
      <c r="F43" s="1416"/>
      <c r="G43" s="1416"/>
      <c r="H43" s="1416"/>
      <c r="I43" s="1416"/>
      <c r="J43" s="1416"/>
      <c r="K43" s="784"/>
      <c r="L43" s="1142"/>
      <c r="M43" s="1143"/>
      <c r="N43" s="1143"/>
      <c r="O43" s="1143"/>
      <c r="P43" s="3248" t="str">
        <f>A43</f>
        <v>估价对象XX用房的比较价值（楼面单价，元/平方米）</v>
      </c>
      <c r="Q43" s="3249"/>
      <c r="R43" s="3250" t="e">
        <f>IF(F1="售价",ROUND(AVERAGE(R42:V42),0),ROUND(AVERAGE(R42:V42),1))</f>
        <v>#DIV/0!</v>
      </c>
      <c r="S43" s="3250"/>
      <c r="T43" s="3250"/>
      <c r="U43" s="3250"/>
      <c r="V43" s="3250"/>
      <c r="W43" s="3250"/>
      <c r="X43" s="758"/>
      <c r="Y43" s="758"/>
      <c r="Z43" s="758"/>
      <c r="AA43" s="758"/>
      <c r="AB43" s="758"/>
      <c r="AC43" s="758"/>
    </row>
    <row r="44" spans="1:29">
      <c r="A44" s="1143"/>
      <c r="B44" s="1143"/>
      <c r="C44" s="1143"/>
      <c r="D44" s="1143"/>
      <c r="E44" s="1143"/>
      <c r="F44" s="1143"/>
      <c r="G44" s="1146"/>
      <c r="H44" s="1143"/>
      <c r="I44" s="1143"/>
      <c r="J44" s="1143"/>
      <c r="K44" s="1105"/>
      <c r="L44" s="1106"/>
      <c r="M44" s="1143"/>
      <c r="N44" s="1143"/>
      <c r="O44" s="1143"/>
    </row>
    <row r="45" spans="1:29">
      <c r="A45" s="1143"/>
      <c r="B45" s="1143"/>
      <c r="C45" s="1143"/>
      <c r="D45" s="1143"/>
      <c r="E45" s="1143"/>
      <c r="F45" s="1143"/>
      <c r="G45" s="1143"/>
      <c r="H45" s="1143"/>
      <c r="I45" s="1143"/>
      <c r="J45" s="1143"/>
      <c r="K45" s="1105"/>
      <c r="L45" s="1106"/>
      <c r="M45" s="1143"/>
      <c r="N45" s="1143"/>
      <c r="O45" s="1143"/>
    </row>
    <row r="46" spans="1:29" ht="13.5" customHeight="1">
      <c r="A46" s="1143"/>
      <c r="B46" s="1143"/>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3"/>
      <c r="N46" s="1143"/>
      <c r="O46" s="1143"/>
    </row>
    <row r="47" spans="1:29" ht="13.5" customHeight="1">
      <c r="A47" s="1143"/>
      <c r="B47" s="1143"/>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3"/>
      <c r="N47" s="1143"/>
      <c r="O47" s="1143"/>
    </row>
    <row r="48" spans="1:29" s="502" customFormat="1" ht="13.5" customHeight="1">
      <c r="A48" s="1144"/>
      <c r="B48" s="1144"/>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5"/>
      <c r="L50" s="1106"/>
      <c r="M50" s="1143"/>
      <c r="N50" s="1143"/>
      <c r="O50" s="1143"/>
    </row>
    <row r="51" spans="1:17" ht="21.75" thickBot="1">
      <c r="A51" s="762" t="s">
        <v>2662</v>
      </c>
      <c r="B51" s="758"/>
      <c r="C51" s="763"/>
      <c r="D51" s="763"/>
      <c r="E51" s="763"/>
      <c r="F51" s="764"/>
      <c r="G51" s="764"/>
      <c r="H51" s="763"/>
      <c r="I51" s="763"/>
      <c r="J51" s="763"/>
      <c r="K51" s="1159"/>
      <c r="L51" s="1160"/>
      <c r="M51" s="1158"/>
      <c r="N51" s="1158"/>
      <c r="O51" s="1158"/>
      <c r="P51" s="503"/>
      <c r="Q51" s="504"/>
    </row>
    <row r="52" spans="1:17" s="508" customFormat="1" ht="15">
      <c r="A52" s="505" t="s">
        <v>2536</v>
      </c>
      <c r="B52" s="506"/>
      <c r="C52" s="1573" t="str">
        <f>YEAR(C7)&amp;"-"&amp;MONTH(C7)</f>
        <v>2018-2</v>
      </c>
      <c r="D52" s="1574">
        <f>EDATE(C52,-1)</f>
        <v>43101</v>
      </c>
      <c r="E52" s="1574">
        <f t="shared" ref="E52:O52" si="16">EDATE(D52,-1)</f>
        <v>43070</v>
      </c>
      <c r="F52" s="1574">
        <f t="shared" si="16"/>
        <v>43040</v>
      </c>
      <c r="G52" s="1574">
        <f t="shared" si="16"/>
        <v>43009</v>
      </c>
      <c r="H52" s="1574">
        <f t="shared" si="16"/>
        <v>42979</v>
      </c>
      <c r="I52" s="1574">
        <f t="shared" si="16"/>
        <v>42948</v>
      </c>
      <c r="J52" s="1574">
        <f t="shared" si="16"/>
        <v>42917</v>
      </c>
      <c r="K52" s="1574">
        <f t="shared" si="16"/>
        <v>42887</v>
      </c>
      <c r="L52" s="1574">
        <f t="shared" si="16"/>
        <v>42856</v>
      </c>
      <c r="M52" s="1574">
        <f t="shared" si="16"/>
        <v>42826</v>
      </c>
      <c r="N52" s="1574">
        <f t="shared" si="16"/>
        <v>42795</v>
      </c>
      <c r="O52" s="1574">
        <f t="shared" si="16"/>
        <v>42767</v>
      </c>
      <c r="P52" s="507"/>
    </row>
    <row r="53" spans="1:17" s="117" customFormat="1" ht="15">
      <c r="A53" s="509"/>
      <c r="B53" s="510"/>
      <c r="C53" s="1572">
        <v>100</v>
      </c>
      <c r="D53" s="512"/>
      <c r="E53" s="512"/>
      <c r="F53" s="512"/>
      <c r="G53" s="512"/>
      <c r="H53" s="512"/>
      <c r="I53" s="512"/>
      <c r="J53" s="512"/>
      <c r="K53" s="512"/>
      <c r="L53" s="512"/>
      <c r="M53" s="513"/>
      <c r="N53" s="512"/>
      <c r="O53" s="514"/>
      <c r="P53" s="504"/>
    </row>
    <row r="54" spans="1:17" s="117" customFormat="1" ht="15.75" thickBot="1">
      <c r="A54" s="515" t="s">
        <v>2573</v>
      </c>
      <c r="B54" s="516"/>
      <c r="C54" s="517"/>
      <c r="D54" s="518"/>
      <c r="E54" s="518"/>
      <c r="F54" s="518"/>
      <c r="G54" s="518"/>
      <c r="H54" s="518"/>
      <c r="I54" s="518"/>
      <c r="J54" s="518"/>
      <c r="K54" s="518"/>
      <c r="L54" s="518"/>
      <c r="M54" s="519"/>
      <c r="N54" s="518"/>
      <c r="O54" s="520"/>
      <c r="P54" s="504"/>
      <c r="Q54" s="504"/>
    </row>
    <row r="55" spans="1:17" s="117" customFormat="1" ht="15">
      <c r="A55" s="521" t="s">
        <v>2538</v>
      </c>
      <c r="B55" s="510"/>
      <c r="C55" s="522" t="s">
        <v>2640</v>
      </c>
      <c r="D55" s="523"/>
      <c r="E55" s="523"/>
      <c r="F55" s="523"/>
      <c r="G55" s="523"/>
      <c r="H55" s="523"/>
      <c r="I55" s="523"/>
      <c r="J55" s="523"/>
      <c r="K55" s="523"/>
      <c r="L55" s="524"/>
      <c r="M55" s="525"/>
      <c r="N55" s="1150"/>
      <c r="O55" s="1150"/>
      <c r="P55" s="526"/>
      <c r="Q55" s="504"/>
    </row>
    <row r="56" spans="1:17" s="117" customFormat="1" ht="15.75" thickBot="1">
      <c r="A56" s="521"/>
      <c r="B56" s="510"/>
      <c r="C56" s="639">
        <v>100</v>
      </c>
      <c r="D56" s="512"/>
      <c r="E56" s="512"/>
      <c r="F56" s="512"/>
      <c r="G56" s="512"/>
      <c r="H56" s="512"/>
      <c r="I56" s="512"/>
      <c r="J56" s="512"/>
      <c r="K56" s="512"/>
      <c r="L56" s="512"/>
      <c r="M56" s="514"/>
      <c r="N56" s="1150"/>
      <c r="O56" s="1150"/>
      <c r="P56" s="504"/>
      <c r="Q56" s="504"/>
    </row>
    <row r="57" spans="1:17">
      <c r="A57" s="527" t="s">
        <v>2576</v>
      </c>
      <c r="B57" s="528" t="s">
        <v>2542</v>
      </c>
      <c r="C57" s="529">
        <f>C9</f>
        <v>0</v>
      </c>
      <c r="D57" s="530"/>
      <c r="E57" s="530"/>
      <c r="F57" s="530"/>
      <c r="G57" s="530"/>
      <c r="H57" s="530"/>
      <c r="I57" s="530"/>
      <c r="J57" s="530"/>
      <c r="K57" s="531"/>
      <c r="L57" s="532"/>
      <c r="M57" s="533"/>
      <c r="N57" s="1151"/>
      <c r="O57" s="1151"/>
      <c r="P57" s="45"/>
      <c r="Q57" s="504"/>
    </row>
    <row r="58" spans="1:17" ht="15.75" thickBot="1">
      <c r="A58" s="534"/>
      <c r="B58" s="535"/>
      <c r="C58" s="536">
        <v>100</v>
      </c>
      <c r="D58" s="536"/>
      <c r="E58" s="536"/>
      <c r="F58" s="536"/>
      <c r="G58" s="536"/>
      <c r="H58" s="536"/>
      <c r="I58" s="536"/>
      <c r="J58" s="536"/>
      <c r="K58" s="536"/>
      <c r="L58" s="536"/>
      <c r="M58" s="537"/>
      <c r="N58" s="1152"/>
      <c r="O58" s="1152"/>
      <c r="P58" s="45"/>
      <c r="Q58" s="504"/>
    </row>
    <row r="59" spans="1:17" ht="27.75" thickTop="1">
      <c r="A59" s="534"/>
      <c r="B59" s="538" t="s">
        <v>2545</v>
      </c>
      <c r="C59" s="539" t="s">
        <v>2577</v>
      </c>
      <c r="D59" s="539" t="s">
        <v>2578</v>
      </c>
      <c r="E59" s="539" t="s">
        <v>2579</v>
      </c>
      <c r="F59" s="539" t="s">
        <v>2580</v>
      </c>
      <c r="G59" s="539" t="s">
        <v>2581</v>
      </c>
      <c r="H59" s="539" t="s">
        <v>2582</v>
      </c>
      <c r="I59" s="539" t="s">
        <v>2583</v>
      </c>
      <c r="J59" s="539"/>
      <c r="K59" s="540"/>
      <c r="L59" s="541"/>
      <c r="M59" s="542"/>
      <c r="N59" s="1151"/>
      <c r="O59" s="1151"/>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2"/>
      <c r="O60" s="1152"/>
      <c r="P60" s="45"/>
      <c r="Q60" s="504"/>
    </row>
    <row r="61" spans="1:17" ht="15.75" thickTop="1">
      <c r="A61" s="534"/>
      <c r="B61" s="546" t="s">
        <v>2546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2"/>
      <c r="O61" s="1152"/>
      <c r="P61" s="45"/>
      <c r="Q61" s="504"/>
    </row>
    <row r="62" spans="1:17" ht="15">
      <c r="A62" s="534"/>
      <c r="B62" s="548"/>
      <c r="C62" s="549"/>
      <c r="D62" s="549"/>
      <c r="E62" s="549"/>
      <c r="F62" s="549"/>
      <c r="G62" s="549"/>
      <c r="H62" s="549"/>
      <c r="I62" s="549"/>
      <c r="J62" s="549"/>
      <c r="K62" s="550"/>
      <c r="L62" s="551"/>
      <c r="M62" s="552"/>
      <c r="N62" s="1151"/>
      <c r="O62" s="1151"/>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2"/>
      <c r="O63" s="1152"/>
      <c r="P63" s="45"/>
      <c r="Q63" s="504"/>
    </row>
    <row r="64" spans="1:17" s="471" customFormat="1" ht="15.75" thickTop="1">
      <c r="A64" s="553"/>
      <c r="B64" s="538">
        <f>B12</f>
        <v>111</v>
      </c>
      <c r="C64" s="554"/>
      <c r="D64" s="554"/>
      <c r="E64" s="554"/>
      <c r="F64" s="554"/>
      <c r="G64" s="554"/>
      <c r="H64" s="555"/>
      <c r="I64" s="555"/>
      <c r="J64" s="555"/>
      <c r="K64" s="555"/>
      <c r="L64" s="556"/>
      <c r="M64" s="557"/>
      <c r="N64" s="1153"/>
      <c r="O64" s="1153"/>
      <c r="P64" s="558"/>
      <c r="Q64" s="559"/>
    </row>
    <row r="65" spans="1:17" s="471" customFormat="1" ht="15.75" thickBot="1">
      <c r="A65" s="553"/>
      <c r="B65" s="543"/>
      <c r="C65" s="560"/>
      <c r="D65" s="536"/>
      <c r="E65" s="536"/>
      <c r="F65" s="536"/>
      <c r="G65" s="536"/>
      <c r="H65" s="536"/>
      <c r="I65" s="536"/>
      <c r="J65" s="536"/>
      <c r="K65" s="536"/>
      <c r="L65" s="536"/>
      <c r="M65" s="537"/>
      <c r="N65" s="1152"/>
      <c r="O65" s="1152"/>
      <c r="P65" s="558"/>
      <c r="Q65" s="559"/>
    </row>
    <row r="66" spans="1:17" s="471" customFormat="1" ht="15.75" thickTop="1">
      <c r="A66" s="553"/>
      <c r="B66" s="538">
        <f>B13</f>
        <v>111</v>
      </c>
      <c r="C66" s="554"/>
      <c r="D66" s="554"/>
      <c r="E66" s="554"/>
      <c r="F66" s="554"/>
      <c r="G66" s="554"/>
      <c r="H66" s="555"/>
      <c r="I66" s="555"/>
      <c r="J66" s="555"/>
      <c r="K66" s="555"/>
      <c r="L66" s="556"/>
      <c r="M66" s="557"/>
      <c r="N66" s="1153"/>
      <c r="O66" s="1153"/>
      <c r="P66" s="470"/>
      <c r="Q66" s="561"/>
    </row>
    <row r="67" spans="1:17" s="471" customFormat="1" ht="15.75" thickBot="1">
      <c r="A67" s="553"/>
      <c r="B67" s="543"/>
      <c r="C67" s="560"/>
      <c r="D67" s="536"/>
      <c r="E67" s="536"/>
      <c r="F67" s="536"/>
      <c r="G67" s="560"/>
      <c r="H67" s="562"/>
      <c r="I67" s="562"/>
      <c r="J67" s="562"/>
      <c r="K67" s="562"/>
      <c r="L67" s="562"/>
      <c r="M67" s="563"/>
      <c r="N67" s="1153"/>
      <c r="O67" s="1153"/>
      <c r="P67" s="558"/>
      <c r="Q67" s="559"/>
    </row>
    <row r="68" spans="1:17" s="471" customFormat="1" ht="15.75" thickTop="1">
      <c r="A68" s="553"/>
      <c r="B68" s="546">
        <f>B14</f>
        <v>111</v>
      </c>
      <c r="C68" s="523"/>
      <c r="D68" s="523"/>
      <c r="E68" s="523"/>
      <c r="F68" s="523"/>
      <c r="G68" s="523"/>
      <c r="H68" s="564"/>
      <c r="I68" s="564"/>
      <c r="J68" s="564"/>
      <c r="K68" s="564"/>
      <c r="L68" s="565"/>
      <c r="M68" s="566"/>
      <c r="N68" s="1153"/>
      <c r="O68" s="1153"/>
      <c r="P68" s="567"/>
      <c r="Q68" s="559"/>
    </row>
    <row r="69" spans="1:17" s="471" customFormat="1" ht="15.75" thickBot="1">
      <c r="A69" s="568"/>
      <c r="B69" s="569"/>
      <c r="C69" s="570"/>
      <c r="D69" s="570"/>
      <c r="E69" s="570"/>
      <c r="F69" s="570"/>
      <c r="G69" s="570"/>
      <c r="H69" s="571"/>
      <c r="I69" s="571"/>
      <c r="J69" s="571"/>
      <c r="K69" s="571"/>
      <c r="L69" s="571"/>
      <c r="M69" s="572"/>
      <c r="N69" s="1153"/>
      <c r="O69" s="1153"/>
      <c r="P69" s="558"/>
      <c r="Q69" s="559"/>
    </row>
    <row r="70" spans="1:17">
      <c r="A70" s="527" t="s">
        <v>2547</v>
      </c>
      <c r="B70" s="528" t="s">
        <v>2693</v>
      </c>
      <c r="C70" s="573" t="s">
        <v>2585</v>
      </c>
      <c r="D70" s="573" t="s">
        <v>2586</v>
      </c>
      <c r="E70" s="573" t="s">
        <v>2587</v>
      </c>
      <c r="F70" s="573" t="s">
        <v>2588</v>
      </c>
      <c r="G70" s="573" t="s">
        <v>2589</v>
      </c>
      <c r="H70" s="529"/>
      <c r="I70" s="529"/>
      <c r="J70" s="529"/>
      <c r="K70" s="574"/>
      <c r="L70" s="575"/>
      <c r="M70" s="576"/>
      <c r="N70" s="1151"/>
      <c r="O70" s="1151"/>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2"/>
      <c r="O71" s="1152"/>
      <c r="P71" s="45"/>
      <c r="Q71" s="504"/>
    </row>
    <row r="72" spans="1:17" ht="15.75" thickTop="1">
      <c r="A72" s="534"/>
      <c r="B72" s="538" t="s">
        <v>2590</v>
      </c>
      <c r="C72" s="578" t="s">
        <v>2585</v>
      </c>
      <c r="D72" s="578" t="s">
        <v>2586</v>
      </c>
      <c r="E72" s="578" t="s">
        <v>2587</v>
      </c>
      <c r="F72" s="578" t="s">
        <v>2588</v>
      </c>
      <c r="G72" s="578" t="s">
        <v>2589</v>
      </c>
      <c r="H72" s="539"/>
      <c r="I72" s="539"/>
      <c r="J72" s="539"/>
      <c r="K72" s="540"/>
      <c r="L72" s="541"/>
      <c r="M72" s="542"/>
      <c r="N72" s="1151"/>
      <c r="O72" s="1151"/>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2"/>
      <c r="O73" s="1152"/>
      <c r="P73" s="45"/>
      <c r="Q73" s="504"/>
    </row>
    <row r="74" spans="1:17" ht="15.75" thickTop="1">
      <c r="A74" s="534"/>
      <c r="B74" s="538" t="s">
        <v>2591</v>
      </c>
      <c r="C74" s="578" t="s">
        <v>2585</v>
      </c>
      <c r="D74" s="578" t="s">
        <v>2586</v>
      </c>
      <c r="E74" s="578" t="s">
        <v>2587</v>
      </c>
      <c r="F74" s="578" t="s">
        <v>2588</v>
      </c>
      <c r="G74" s="578" t="s">
        <v>2589</v>
      </c>
      <c r="H74" s="539"/>
      <c r="I74" s="539"/>
      <c r="J74" s="539"/>
      <c r="K74" s="540"/>
      <c r="L74" s="541"/>
      <c r="M74" s="542"/>
      <c r="N74" s="1151"/>
      <c r="O74" s="1151"/>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2"/>
      <c r="O75" s="1152"/>
      <c r="P75" s="45"/>
      <c r="Q75" s="504"/>
    </row>
    <row r="76" spans="1:17" ht="15.75" thickTop="1">
      <c r="A76" s="534"/>
      <c r="B76" s="546" t="s">
        <v>2677</v>
      </c>
      <c r="C76" s="660" t="s">
        <v>2663</v>
      </c>
      <c r="D76" s="660" t="s">
        <v>2664</v>
      </c>
      <c r="E76" s="660" t="s">
        <v>2665</v>
      </c>
      <c r="F76" s="660" t="s">
        <v>2666</v>
      </c>
      <c r="G76" s="660" t="s">
        <v>2667</v>
      </c>
      <c r="H76" s="539"/>
      <c r="I76" s="539"/>
      <c r="J76" s="539"/>
      <c r="K76" s="539"/>
      <c r="L76" s="539"/>
      <c r="M76" s="1381"/>
      <c r="N76" s="1152"/>
      <c r="O76" s="1152"/>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2"/>
      <c r="O77" s="1152"/>
      <c r="P77" s="45"/>
      <c r="Q77" s="504"/>
    </row>
    <row r="78" spans="1:17" ht="15.75" thickTop="1">
      <c r="A78" s="534"/>
      <c r="B78" s="538" t="s">
        <v>2686</v>
      </c>
      <c r="C78" s="578" t="s">
        <v>2585</v>
      </c>
      <c r="D78" s="578" t="s">
        <v>2586</v>
      </c>
      <c r="E78" s="578" t="s">
        <v>2587</v>
      </c>
      <c r="F78" s="578" t="s">
        <v>2588</v>
      </c>
      <c r="G78" s="578" t="s">
        <v>2589</v>
      </c>
      <c r="H78" s="539"/>
      <c r="I78" s="539"/>
      <c r="J78" s="539"/>
      <c r="K78" s="540"/>
      <c r="L78" s="541"/>
      <c r="M78" s="542"/>
      <c r="N78" s="1151"/>
      <c r="O78" s="1151"/>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2"/>
      <c r="O79" s="1152"/>
      <c r="P79" s="45"/>
      <c r="Q79" s="504"/>
    </row>
    <row r="80" spans="1:17" s="117" customFormat="1" ht="15.75" thickTop="1">
      <c r="A80" s="579"/>
      <c r="B80" s="538">
        <f>B25</f>
        <v>111</v>
      </c>
      <c r="C80" s="554"/>
      <c r="D80" s="554"/>
      <c r="E80" s="554"/>
      <c r="F80" s="554"/>
      <c r="G80" s="554"/>
      <c r="H80" s="554"/>
      <c r="I80" s="554"/>
      <c r="J80" s="554"/>
      <c r="K80" s="554"/>
      <c r="L80" s="580"/>
      <c r="M80" s="581"/>
      <c r="N80" s="1150"/>
      <c r="O80" s="1150"/>
      <c r="P80" s="45"/>
      <c r="Q80" s="504"/>
    </row>
    <row r="81" spans="1:17" s="117" customFormat="1" ht="15.75" thickBot="1">
      <c r="A81" s="579"/>
      <c r="B81" s="543"/>
      <c r="C81" s="560"/>
      <c r="D81" s="536"/>
      <c r="E81" s="536"/>
      <c r="F81" s="536"/>
      <c r="G81" s="536"/>
      <c r="H81" s="536"/>
      <c r="I81" s="536"/>
      <c r="J81" s="536"/>
      <c r="K81" s="536"/>
      <c r="L81" s="536"/>
      <c r="M81" s="537"/>
      <c r="N81" s="1152"/>
      <c r="O81" s="1152"/>
      <c r="P81" s="45"/>
      <c r="Q81" s="504"/>
    </row>
    <row r="82" spans="1:17" s="117" customFormat="1" ht="15.75" thickTop="1">
      <c r="A82" s="579"/>
      <c r="B82" s="538">
        <f>B26</f>
        <v>111</v>
      </c>
      <c r="C82" s="554"/>
      <c r="D82" s="554"/>
      <c r="E82" s="554"/>
      <c r="F82" s="554"/>
      <c r="G82" s="554"/>
      <c r="H82" s="554"/>
      <c r="I82" s="554"/>
      <c r="J82" s="554"/>
      <c r="K82" s="554"/>
      <c r="L82" s="580"/>
      <c r="M82" s="581"/>
      <c r="N82" s="1150"/>
      <c r="O82" s="1150"/>
      <c r="P82" s="45"/>
      <c r="Q82" s="504"/>
    </row>
    <row r="83" spans="1:17" s="117" customFormat="1" ht="15.75" thickBot="1">
      <c r="A83" s="579"/>
      <c r="B83" s="543"/>
      <c r="C83" s="560"/>
      <c r="D83" s="536"/>
      <c r="E83" s="536"/>
      <c r="F83" s="536"/>
      <c r="G83" s="536"/>
      <c r="H83" s="536"/>
      <c r="I83" s="536"/>
      <c r="J83" s="536"/>
      <c r="K83" s="536"/>
      <c r="L83" s="536"/>
      <c r="M83" s="537"/>
      <c r="N83" s="1152"/>
      <c r="O83" s="1152"/>
      <c r="P83" s="45"/>
      <c r="Q83" s="504"/>
    </row>
    <row r="84" spans="1:17" s="471" customFormat="1" ht="15.75" thickTop="1">
      <c r="A84" s="553"/>
      <c r="B84" s="538">
        <f>B27</f>
        <v>111</v>
      </c>
      <c r="C84" s="554"/>
      <c r="D84" s="554"/>
      <c r="E84" s="554"/>
      <c r="F84" s="554"/>
      <c r="G84" s="554"/>
      <c r="H84" s="554"/>
      <c r="I84" s="554"/>
      <c r="J84" s="554"/>
      <c r="K84" s="554"/>
      <c r="L84" s="580"/>
      <c r="M84" s="581"/>
      <c r="N84" s="1153"/>
      <c r="O84" s="1153"/>
      <c r="P84" s="558"/>
      <c r="Q84" s="559"/>
    </row>
    <row r="85" spans="1:17" s="471" customFormat="1" ht="15.75" thickBot="1">
      <c r="A85" s="553"/>
      <c r="B85" s="543"/>
      <c r="C85" s="560"/>
      <c r="D85" s="536"/>
      <c r="E85" s="536"/>
      <c r="F85" s="536"/>
      <c r="G85" s="536"/>
      <c r="H85" s="536"/>
      <c r="I85" s="536"/>
      <c r="J85" s="536"/>
      <c r="K85" s="536"/>
      <c r="L85" s="536"/>
      <c r="M85" s="537"/>
      <c r="N85" s="1153"/>
      <c r="O85" s="1153"/>
      <c r="P85" s="558"/>
      <c r="Q85" s="559"/>
    </row>
    <row r="86" spans="1:17" ht="15.75" thickTop="1">
      <c r="A86" s="534"/>
      <c r="B86" s="546">
        <f>B28</f>
        <v>111</v>
      </c>
      <c r="C86" s="523"/>
      <c r="D86" s="523"/>
      <c r="E86" s="523"/>
      <c r="F86" s="523"/>
      <c r="G86" s="587"/>
      <c r="H86" s="587"/>
      <c r="I86" s="587"/>
      <c r="J86" s="587"/>
      <c r="K86" s="588"/>
      <c r="L86" s="589"/>
      <c r="M86" s="590"/>
      <c r="N86" s="1151"/>
      <c r="O86" s="1151"/>
      <c r="P86" s="45"/>
      <c r="Q86" s="504"/>
    </row>
    <row r="87" spans="1:17" ht="15.75" thickBot="1">
      <c r="A87" s="2631"/>
      <c r="B87" s="569"/>
      <c r="C87" s="570"/>
      <c r="D87" s="570"/>
      <c r="E87" s="570"/>
      <c r="F87" s="570"/>
      <c r="G87" s="591"/>
      <c r="H87" s="591"/>
      <c r="I87" s="591"/>
      <c r="J87" s="591"/>
      <c r="K87" s="591"/>
      <c r="L87" s="591"/>
      <c r="M87" s="592"/>
      <c r="N87" s="1152"/>
      <c r="O87" s="1152"/>
      <c r="P87" s="45"/>
      <c r="Q87" s="504"/>
    </row>
    <row r="88" spans="1:17">
      <c r="A88" s="527" t="s">
        <v>2551</v>
      </c>
      <c r="B88" s="528" t="s">
        <v>2600</v>
      </c>
      <c r="C88" s="530"/>
      <c r="D88" s="530"/>
      <c r="E88" s="530"/>
      <c r="F88" s="530"/>
      <c r="G88" s="530"/>
      <c r="H88" s="530"/>
      <c r="I88" s="530"/>
      <c r="J88" s="530"/>
      <c r="K88" s="531"/>
      <c r="L88" s="532"/>
      <c r="M88" s="533"/>
      <c r="N88" s="1151"/>
      <c r="O88" s="1151"/>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2"/>
      <c r="O89" s="1152"/>
      <c r="P89" s="45"/>
      <c r="Q89" s="504"/>
    </row>
    <row r="90" spans="1:17" ht="15.75" thickTop="1">
      <c r="A90" s="534"/>
      <c r="B90" s="538" t="s">
        <v>2601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0"/>
      <c r="O90" s="1150"/>
      <c r="P90" s="45"/>
      <c r="Q90" s="504"/>
    </row>
    <row r="91" spans="1:17" s="471" customFormat="1">
      <c r="A91" s="593"/>
      <c r="B91" s="594"/>
      <c r="C91" s="595"/>
      <c r="D91" s="595"/>
      <c r="E91" s="595"/>
      <c r="F91" s="595"/>
      <c r="G91" s="595"/>
      <c r="H91" s="595"/>
      <c r="I91" s="595"/>
      <c r="J91" s="596"/>
      <c r="K91" s="596"/>
      <c r="L91" s="597"/>
      <c r="M91" s="598"/>
      <c r="N91" s="1153"/>
      <c r="O91" s="1153"/>
      <c r="P91" s="558"/>
      <c r="Q91" s="559"/>
    </row>
    <row r="92" spans="1:17" s="471" customFormat="1" ht="15.75" thickBot="1">
      <c r="A92" s="553"/>
      <c r="B92" s="543"/>
      <c r="C92" s="560"/>
      <c r="D92" s="536"/>
      <c r="E92" s="536"/>
      <c r="F92" s="536"/>
      <c r="G92" s="536"/>
      <c r="H92" s="536"/>
      <c r="I92" s="536"/>
      <c r="J92" s="536"/>
      <c r="K92" s="536"/>
      <c r="L92" s="536"/>
      <c r="M92" s="537"/>
      <c r="N92" s="1152"/>
      <c r="O92" s="1152"/>
      <c r="P92" s="558"/>
      <c r="Q92" s="559"/>
    </row>
    <row r="93" spans="1:17" ht="15" thickTop="1">
      <c r="A93" s="599"/>
      <c r="B93" s="538" t="s">
        <v>2602</v>
      </c>
      <c r="C93" s="554"/>
      <c r="D93" s="554"/>
      <c r="E93" s="583"/>
      <c r="F93" s="583"/>
      <c r="G93" s="583"/>
      <c r="H93" s="583"/>
      <c r="I93" s="583"/>
      <c r="J93" s="583"/>
      <c r="K93" s="584"/>
      <c r="L93" s="585"/>
      <c r="M93" s="586"/>
      <c r="N93" s="1151"/>
      <c r="O93" s="1151"/>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2"/>
      <c r="O94" s="1152"/>
      <c r="P94" s="45"/>
      <c r="Q94" s="504"/>
    </row>
    <row r="95" spans="1:17" ht="15" thickTop="1">
      <c r="A95" s="599"/>
      <c r="B95" s="538" t="s">
        <v>2604</v>
      </c>
      <c r="C95" s="554"/>
      <c r="D95" s="554"/>
      <c r="E95" s="554"/>
      <c r="F95" s="583"/>
      <c r="G95" s="583"/>
      <c r="H95" s="583"/>
      <c r="I95" s="583"/>
      <c r="J95" s="583"/>
      <c r="K95" s="584"/>
      <c r="L95" s="585"/>
      <c r="M95" s="586"/>
      <c r="N95" s="1151"/>
      <c r="O95" s="1151"/>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2"/>
      <c r="O96" s="1152"/>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1"/>
      <c r="O97" s="1151"/>
      <c r="P97" s="45"/>
      <c r="Q97" s="504"/>
    </row>
    <row r="98" spans="1:17">
      <c r="A98" s="599"/>
      <c r="B98" s="546"/>
      <c r="C98" s="603">
        <v>0.5</v>
      </c>
      <c r="D98" s="603">
        <v>0.6</v>
      </c>
      <c r="E98" s="603">
        <v>0.7</v>
      </c>
      <c r="F98" s="603">
        <v>0.8</v>
      </c>
      <c r="G98" s="603">
        <v>0.9</v>
      </c>
      <c r="H98" s="603">
        <v>1.0001</v>
      </c>
      <c r="I98" s="623"/>
      <c r="J98" s="623"/>
      <c r="K98" s="624"/>
      <c r="L98" s="625"/>
      <c r="M98" s="626"/>
      <c r="N98" s="1151"/>
      <c r="O98" s="1151"/>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2"/>
      <c r="O99" s="1152"/>
      <c r="P99" s="45"/>
      <c r="Q99" s="504"/>
    </row>
    <row r="100" spans="1:17" s="471" customFormat="1" ht="15" thickTop="1">
      <c r="A100" s="593"/>
      <c r="B100" s="538" t="s">
        <v>2605</v>
      </c>
      <c r="C100" s="554"/>
      <c r="D100" s="554"/>
      <c r="E100" s="554"/>
      <c r="F100" s="554"/>
      <c r="G100" s="554"/>
      <c r="H100" s="583"/>
      <c r="I100" s="583"/>
      <c r="J100" s="583"/>
      <c r="K100" s="584"/>
      <c r="L100" s="585"/>
      <c r="M100" s="586"/>
      <c r="N100" s="1153"/>
      <c r="O100" s="1153"/>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3"/>
      <c r="O101" s="1153"/>
      <c r="P101" s="558"/>
      <c r="Q101" s="559"/>
    </row>
    <row r="102" spans="1:17" ht="15" thickTop="1">
      <c r="A102" s="599"/>
      <c r="B102" s="538" t="s">
        <v>2606</v>
      </c>
      <c r="C102" s="554"/>
      <c r="D102" s="554"/>
      <c r="E102" s="554"/>
      <c r="F102" s="554"/>
      <c r="G102" s="554"/>
      <c r="H102" s="583"/>
      <c r="I102" s="583"/>
      <c r="J102" s="583"/>
      <c r="K102" s="584"/>
      <c r="L102" s="585"/>
      <c r="M102" s="586"/>
      <c r="N102" s="1151"/>
      <c r="O102" s="1151"/>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2"/>
      <c r="O103" s="1152"/>
      <c r="P103" s="45"/>
      <c r="Q103" s="504"/>
    </row>
    <row r="104" spans="1:17" ht="15" thickTop="1">
      <c r="A104" s="599"/>
      <c r="B104" s="538" t="s">
        <v>2608</v>
      </c>
      <c r="C104" s="554"/>
      <c r="D104" s="554"/>
      <c r="E104" s="554"/>
      <c r="F104" s="554"/>
      <c r="G104" s="554"/>
      <c r="H104" s="583"/>
      <c r="I104" s="583"/>
      <c r="J104" s="583"/>
      <c r="K104" s="584"/>
      <c r="L104" s="585"/>
      <c r="M104" s="586"/>
      <c r="N104" s="1151"/>
      <c r="O104" s="1151"/>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2"/>
      <c r="O105" s="1152"/>
      <c r="P105" s="45"/>
      <c r="Q105" s="504"/>
    </row>
    <row r="106" spans="1:17" ht="15" thickTop="1">
      <c r="A106" s="599"/>
      <c r="B106" s="636" t="s">
        <v>2694</v>
      </c>
      <c r="C106" s="578" t="s">
        <v>2585</v>
      </c>
      <c r="D106" s="578" t="s">
        <v>2586</v>
      </c>
      <c r="E106" s="578" t="s">
        <v>2587</v>
      </c>
      <c r="F106" s="578" t="s">
        <v>2588</v>
      </c>
      <c r="G106" s="578" t="s">
        <v>2589</v>
      </c>
      <c r="H106" s="539"/>
      <c r="I106" s="539"/>
      <c r="J106" s="539"/>
      <c r="K106" s="540"/>
      <c r="L106" s="541"/>
      <c r="M106" s="542"/>
      <c r="N106" s="1152"/>
      <c r="O106" s="1152"/>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2"/>
      <c r="O107" s="1152"/>
      <c r="P107" s="45"/>
      <c r="Q107" s="504"/>
    </row>
    <row r="108" spans="1:17" s="471" customFormat="1" ht="15" thickTop="1">
      <c r="A108" s="593"/>
      <c r="B108" s="538">
        <f>B38</f>
        <v>111</v>
      </c>
      <c r="C108" s="554"/>
      <c r="D108" s="554"/>
      <c r="E108" s="554"/>
      <c r="F108" s="554"/>
      <c r="G108" s="554"/>
      <c r="H108" s="555"/>
      <c r="I108" s="555"/>
      <c r="J108" s="555"/>
      <c r="K108" s="555"/>
      <c r="L108" s="556"/>
      <c r="M108" s="557"/>
      <c r="N108" s="1153"/>
      <c r="O108" s="1153"/>
      <c r="P108" s="558"/>
      <c r="Q108" s="559"/>
    </row>
    <row r="109" spans="1:17" s="471" customFormat="1" ht="15.75" thickBot="1">
      <c r="A109" s="553"/>
      <c r="B109" s="535"/>
      <c r="C109" s="560"/>
      <c r="D109" s="536"/>
      <c r="E109" s="536"/>
      <c r="F109" s="536"/>
      <c r="G109" s="560"/>
      <c r="H109" s="562"/>
      <c r="I109" s="562"/>
      <c r="J109" s="562"/>
      <c r="K109" s="562"/>
      <c r="L109" s="562"/>
      <c r="M109" s="563"/>
      <c r="N109" s="1153"/>
      <c r="O109" s="1153"/>
      <c r="P109" s="558"/>
      <c r="Q109" s="559"/>
    </row>
    <row r="110" spans="1:17" ht="15" thickTop="1">
      <c r="A110" s="599"/>
      <c r="B110" s="538">
        <f>B39</f>
        <v>111</v>
      </c>
      <c r="C110" s="554"/>
      <c r="D110" s="554"/>
      <c r="E110" s="554"/>
      <c r="F110" s="554"/>
      <c r="G110" s="554"/>
      <c r="H110" s="555"/>
      <c r="I110" s="555"/>
      <c r="J110" s="555"/>
      <c r="K110" s="555"/>
      <c r="L110" s="556"/>
      <c r="M110" s="557"/>
      <c r="N110" s="1151"/>
      <c r="O110" s="1151"/>
      <c r="P110" s="45"/>
      <c r="Q110" s="504"/>
    </row>
    <row r="111" spans="1:17" ht="15.75" thickBot="1">
      <c r="A111" s="534"/>
      <c r="B111" s="543"/>
      <c r="C111" s="560"/>
      <c r="D111" s="536"/>
      <c r="E111" s="536"/>
      <c r="F111" s="536"/>
      <c r="G111" s="560"/>
      <c r="H111" s="562"/>
      <c r="I111" s="562"/>
      <c r="J111" s="562"/>
      <c r="K111" s="562"/>
      <c r="L111" s="562"/>
      <c r="M111" s="563"/>
      <c r="N111" s="1152"/>
      <c r="O111" s="1152"/>
      <c r="P111" s="45"/>
      <c r="Q111" s="504"/>
    </row>
    <row r="112" spans="1:17" ht="15" thickTop="1">
      <c r="A112" s="599"/>
      <c r="B112" s="546">
        <f>B40</f>
        <v>111</v>
      </c>
      <c r="C112" s="523"/>
      <c r="D112" s="523"/>
      <c r="E112" s="523"/>
      <c r="F112" s="523"/>
      <c r="G112" s="587"/>
      <c r="H112" s="587"/>
      <c r="I112" s="587"/>
      <c r="J112" s="587"/>
      <c r="K112" s="523"/>
      <c r="L112" s="524"/>
      <c r="M112" s="590"/>
      <c r="N112" s="1151"/>
      <c r="O112" s="1151"/>
      <c r="P112" s="45"/>
      <c r="Q112" s="504"/>
    </row>
    <row r="113" spans="1:17" ht="15.75" thickBot="1">
      <c r="A113" s="2631"/>
      <c r="B113" s="569"/>
      <c r="C113" s="570"/>
      <c r="D113" s="570"/>
      <c r="E113" s="570"/>
      <c r="F113" s="570"/>
      <c r="G113" s="591"/>
      <c r="H113" s="591"/>
      <c r="I113" s="591"/>
      <c r="J113" s="591"/>
      <c r="K113" s="591"/>
      <c r="L113" s="591"/>
      <c r="M113" s="592"/>
      <c r="N113" s="1152"/>
      <c r="O113" s="1152"/>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102" priority="16" stopIfTrue="1" operator="containsText" text="超过">
      <formula>NOT(ISERROR(SEARCH("超过",F46)))</formula>
    </cfRule>
  </conditionalFormatting>
  <conditionalFormatting sqref="H48">
    <cfRule type="containsText" dxfId="101" priority="15" stopIfTrue="1" operator="containsText" text="超过">
      <formula>NOT(ISERROR(SEARCH("超过",H48)))</formula>
    </cfRule>
  </conditionalFormatting>
  <conditionalFormatting sqref="F48">
    <cfRule type="containsText" dxfId="100" priority="14" stopIfTrue="1" operator="containsText" text="超过">
      <formula>NOT(ISERROR(SEARCH("超过",F48)))</formula>
    </cfRule>
  </conditionalFormatting>
  <conditionalFormatting sqref="F47 H47">
    <cfRule type="containsText" dxfId="99" priority="13" stopIfTrue="1" operator="containsText" text="超过">
      <formula>NOT(ISERROR(SEARCH("超过",F47)))</formula>
    </cfRule>
  </conditionalFormatting>
  <conditionalFormatting sqref="E46">
    <cfRule type="expression" dxfId="98" priority="12" stopIfTrue="1">
      <formula>$F$46="超过30%"</formula>
    </cfRule>
  </conditionalFormatting>
  <conditionalFormatting sqref="E47">
    <cfRule type="expression" dxfId="97" priority="11" stopIfTrue="1">
      <formula>$F$47="超过20%"</formula>
    </cfRule>
  </conditionalFormatting>
  <conditionalFormatting sqref="E48">
    <cfRule type="expression" dxfId="96" priority="10" stopIfTrue="1">
      <formula>$F$48="超过30%"</formula>
    </cfRule>
  </conditionalFormatting>
  <conditionalFormatting sqref="G48">
    <cfRule type="expression" dxfId="95" priority="9" stopIfTrue="1">
      <formula>$H$48="超过30%"</formula>
    </cfRule>
  </conditionalFormatting>
  <conditionalFormatting sqref="G46">
    <cfRule type="expression" dxfId="94" priority="8" stopIfTrue="1">
      <formula>$H$46="超过30%"</formula>
    </cfRule>
  </conditionalFormatting>
  <conditionalFormatting sqref="G47">
    <cfRule type="expression" dxfId="93" priority="7" stopIfTrue="1">
      <formula>$H$47="超过20%"</formula>
    </cfRule>
  </conditionalFormatting>
  <conditionalFormatting sqref="J46">
    <cfRule type="containsText" dxfId="92" priority="6" stopIfTrue="1" operator="containsText" text="超过">
      <formula>NOT(ISERROR(SEARCH("超过",J46)))</formula>
    </cfRule>
  </conditionalFormatting>
  <conditionalFormatting sqref="J48">
    <cfRule type="containsText" dxfId="91" priority="5" stopIfTrue="1" operator="containsText" text="超过">
      <formula>NOT(ISERROR(SEARCH("超过",J48)))</formula>
    </cfRule>
  </conditionalFormatting>
  <conditionalFormatting sqref="J47">
    <cfRule type="containsText" dxfId="90" priority="4" stopIfTrue="1" operator="containsText" text="超过">
      <formula>NOT(ISERROR(SEARCH("超过",J47)))</formula>
    </cfRule>
  </conditionalFormatting>
  <conditionalFormatting sqref="I46">
    <cfRule type="expression" dxfId="89" priority="3" stopIfTrue="1">
      <formula>$J$46="超过30%"</formula>
    </cfRule>
  </conditionalFormatting>
  <conditionalFormatting sqref="I47">
    <cfRule type="expression" dxfId="88" priority="2" stopIfTrue="1">
      <formula>$J$47="超过20%"</formula>
    </cfRule>
  </conditionalFormatting>
  <conditionalFormatting sqref="I48">
    <cfRule type="expression" dxfId="8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3" customWidth="1"/>
    <col min="2" max="16384" width="9" style="1943"/>
  </cols>
  <sheetData>
    <row r="1" spans="1:1" ht="23.25">
      <c r="A1" s="1942" t="s">
        <v>1611</v>
      </c>
    </row>
    <row r="2" spans="1:1">
      <c r="A2" s="1944"/>
    </row>
    <row r="3" spans="1:1" ht="18">
      <c r="A3" s="1945" t="str">
        <f>项目基本情况!B5&amp;"："</f>
        <v>北京匠心置业有限公司：</v>
      </c>
    </row>
    <row r="4" spans="1:1" ht="36">
      <c r="A4" s="1946" t="str">
        <f>"受贵公司委托，我公司对"&amp;项目基本情况!S1&amp;"进行了预评估。"</f>
        <v>受贵公司委托，我公司对北京市丰台区马家堡东路168号院6号楼房地产抵押价值进行了预评估。</v>
      </c>
    </row>
    <row r="5" spans="1:1" ht="18.75">
      <c r="A5" s="1947" t="s">
        <v>1612</v>
      </c>
    </row>
    <row r="6" spans="1:1" ht="18.75">
      <c r="A6" s="1948" t="s">
        <v>1613</v>
      </c>
    </row>
    <row r="7" spans="1:1" ht="90">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马家堡东路168号院6号楼房地产，为北京匠心置业有限公司所有。根据《国有土地使用证》、《北京匠心置业有限公司丰台区马家堡东路168号院面积分摊计算说明》，估价对象（分摊）出让国有建设用地使用权面积为1606.66平方米。根据《房屋所有权证》，估价对象建筑面积为4163.47平方米。</v>
      </c>
    </row>
    <row r="8" spans="1:1" ht="57.75">
      <c r="A8" s="1949" t="s">
        <v>1614</v>
      </c>
    </row>
    <row r="9" spans="1:1" ht="18.75">
      <c r="A9" s="1948" t="s">
        <v>1615</v>
      </c>
    </row>
    <row r="10" spans="1:1" ht="90">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马家堡东路168号院6号楼房地产,属北京匠心置业有限公司开发建设的商业项目，该项目尚在开发建设中。根据《国有土地使用证》、《北京匠心置业有限公司丰台区马家堡东路168号院面积分摊计算说明》，估价对象（分摊）出让国有建设用地使用权面积为1606.66平方米。根据《房屋所有权证》，估价对象规划建筑面积为4163.47平方米。</v>
      </c>
    </row>
    <row r="11" spans="1:1" ht="76.5">
      <c r="A11" s="1949" t="s">
        <v>1616</v>
      </c>
    </row>
    <row r="12" spans="1:1" ht="18.75">
      <c r="A12" s="1947" t="s">
        <v>1617</v>
      </c>
    </row>
    <row r="13" spans="1:1" ht="38.25" customHeight="1">
      <c r="A13" s="1950" t="str">
        <f>IF(项目基本情况!B8="抵押",IF(项目基本情况!B5=项目基本情况!B6,定义!C51,定义!B51),定义!D51)</f>
        <v>为估价委托人在向中国建设银行股份有限公司江苏分行太仓支行办理贷款手续过程中，确定房地产抵押贷款额度提供参考依据而评估房地产抵押价值。</v>
      </c>
    </row>
    <row r="14" spans="1:1" ht="18.75">
      <c r="A14" s="1951" t="s">
        <v>1618</v>
      </c>
    </row>
    <row r="15" spans="1:1" ht="18">
      <c r="A15" s="1952" t="str">
        <f>TEXT(项目基本情况!D3,"yyyy年m月d日;;")&amp;IF(项目基本情况!D3=项目基本情况!B3,"（评估专业人员实地查勘之日）","")</f>
        <v>2018年2月1日（评估专业人员实地查勘之日）</v>
      </c>
    </row>
    <row r="16" spans="1:1" ht="18.75">
      <c r="A16" s="1951" t="s">
        <v>1619</v>
      </c>
    </row>
    <row r="17" spans="1:1" ht="75">
      <c r="A17" s="1946" t="s">
        <v>1620</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2月1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1609</v>
      </c>
    </row>
    <row r="24" spans="1:1" ht="18">
      <c r="A24" s="1953" t="str">
        <f>"本次评估采用的主估价方法为"&amp;结果表!K4&amp;"和"&amp;结果表!L4&amp;"。"</f>
        <v>本次评估采用的主估价方法为基准地价系数修正法和收益法。</v>
      </c>
    </row>
    <row r="25" spans="1:1" ht="18">
      <c r="A25" s="1953"/>
    </row>
    <row r="26" spans="1:1" ht="18.75">
      <c r="A26" s="1954" t="s">
        <v>1610</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2695</v>
      </c>
      <c r="B1" s="1618"/>
      <c r="C1" s="1619" t="s">
        <v>2518</v>
      </c>
      <c r="D1" s="1620"/>
      <c r="E1" s="1621"/>
      <c r="F1" s="2579"/>
      <c r="G1" s="1622" t="s">
        <v>2631</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2315</v>
      </c>
      <c r="B2" s="1417" t="e">
        <f ca="1">IF(C2="——",IF(B37="元/平方米",ROUND(C39*D3/10000,0),ROUND(F3*C39/10000,0)),IF(B37="元/平方米",ROUND(C39*D3/10000,0),ROUND(F3*C39/10000,0))-D2)</f>
        <v>#DIV/0!</v>
      </c>
      <c r="C2" s="2581"/>
      <c r="D2" s="1123" t="e">
        <f ca="1">SUMIF(INDIRECT("'"&amp;F2&amp;"'"&amp;"!A:A"),"承租人权益价值",INDIRECT("'"&amp;F2&amp;"'"&amp;"!c:c"))</f>
        <v>#REF!</v>
      </c>
      <c r="E2" s="2582" t="s">
        <v>2316</v>
      </c>
      <c r="F2" s="2583"/>
      <c r="G2" s="1124"/>
      <c r="H2" s="1124"/>
      <c r="I2" s="1124"/>
      <c r="J2" s="1124"/>
      <c r="K2" s="1126"/>
      <c r="L2" s="1127"/>
      <c r="M2" s="1128"/>
      <c r="N2" s="1128"/>
      <c r="O2" s="1128"/>
      <c r="P2" s="1418"/>
      <c r="Q2" s="767"/>
      <c r="R2" s="767"/>
      <c r="S2" s="767"/>
      <c r="T2" s="767"/>
      <c r="U2" s="767"/>
      <c r="V2" s="767"/>
      <c r="W2" s="767"/>
      <c r="X2" s="767"/>
      <c r="Y2" s="767"/>
      <c r="Z2" s="767"/>
      <c r="AA2" s="767"/>
      <c r="AB2" s="767"/>
      <c r="AC2" s="768"/>
    </row>
    <row r="3" spans="1:29" s="398" customFormat="1" ht="28.5" customHeight="1" thickBot="1">
      <c r="A3" s="247" t="s">
        <v>2317</v>
      </c>
      <c r="B3" s="609" t="e">
        <f ca="1">IF(AND(C2="——",B37="元/平方米"),C39,ROUND(B2*10000/D3,0))</f>
        <v>#DIV/0!</v>
      </c>
      <c r="C3" s="400" t="s">
        <v>2632</v>
      </c>
      <c r="D3" s="399">
        <f>SUMIF('数据-汇总表'!$C19:$C33,D1,'数据-汇总表'!$E19:$E33)</f>
        <v>0</v>
      </c>
      <c r="E3" s="400" t="s">
        <v>2696</v>
      </c>
      <c r="F3" s="399">
        <f>SUMIF('数据-取费表'!A5:A15,D1,'数据-取费表'!AH5:AH15)</f>
        <v>0</v>
      </c>
      <c r="G3" s="1124"/>
      <c r="H3" s="1124"/>
      <c r="I3" s="1124"/>
      <c r="J3" s="1124"/>
      <c r="K3" s="1126"/>
      <c r="L3" s="1127"/>
      <c r="M3" s="1128"/>
      <c r="N3" s="1128"/>
      <c r="O3" s="1128"/>
      <c r="P3" s="1418"/>
      <c r="Q3" s="767"/>
      <c r="R3" s="767"/>
      <c r="S3" s="767"/>
      <c r="T3" s="767"/>
      <c r="U3" s="767"/>
      <c r="V3" s="767"/>
      <c r="W3" s="767"/>
      <c r="X3" s="767"/>
      <c r="Y3" s="767"/>
      <c r="Z3" s="767"/>
      <c r="AA3" s="767"/>
      <c r="AB3" s="785"/>
      <c r="AC3" s="781"/>
    </row>
    <row r="4" spans="1:29" ht="15">
      <c r="A4" s="401" t="s">
        <v>2633</v>
      </c>
      <c r="B4" s="402"/>
      <c r="C4" s="3224" t="s">
        <v>2634</v>
      </c>
      <c r="D4" s="3225"/>
      <c r="E4" s="3226" t="s">
        <v>2635</v>
      </c>
      <c r="F4" s="3227"/>
      <c r="G4" s="3224" t="s">
        <v>2636</v>
      </c>
      <c r="H4" s="3225"/>
      <c r="I4" s="3224" t="s">
        <v>2637</v>
      </c>
      <c r="J4" s="3225"/>
      <c r="K4" s="610" t="s">
        <v>2638</v>
      </c>
      <c r="L4" s="1129"/>
      <c r="M4" s="1130"/>
      <c r="N4" s="1130"/>
      <c r="O4" s="1130"/>
      <c r="P4" s="3228" t="s">
        <v>2639</v>
      </c>
      <c r="Q4" s="3229"/>
      <c r="R4" s="3211" t="s">
        <v>2635</v>
      </c>
      <c r="S4" s="3212"/>
      <c r="T4" s="3211" t="s">
        <v>2636</v>
      </c>
      <c r="U4" s="3212"/>
      <c r="V4" s="3208" t="s">
        <v>2637</v>
      </c>
      <c r="W4" s="3208"/>
      <c r="X4" s="1811"/>
      <c r="Y4" s="3211" t="s">
        <v>2639</v>
      </c>
      <c r="Z4" s="3212"/>
      <c r="AA4" s="3205" t="s">
        <v>2635</v>
      </c>
      <c r="AB4" s="3206" t="s">
        <v>2636</v>
      </c>
      <c r="AC4" s="3205" t="s">
        <v>2637</v>
      </c>
    </row>
    <row r="5" spans="1:29" ht="15">
      <c r="A5" s="404"/>
      <c r="B5" s="405"/>
      <c r="C5" s="3283" t="s">
        <v>2530</v>
      </c>
      <c r="D5" s="3218"/>
      <c r="E5" s="3282" t="s">
        <v>2531</v>
      </c>
      <c r="F5" s="3216"/>
      <c r="G5" s="3283" t="s">
        <v>2532</v>
      </c>
      <c r="H5" s="3218"/>
      <c r="I5" s="3283" t="s">
        <v>2533</v>
      </c>
      <c r="J5" s="3218"/>
      <c r="K5" s="610"/>
      <c r="L5" s="1129"/>
      <c r="M5" s="1130"/>
      <c r="N5" s="1130"/>
      <c r="O5" s="1130"/>
      <c r="P5" s="3230"/>
      <c r="Q5" s="3231"/>
      <c r="R5" s="3213"/>
      <c r="S5" s="3214"/>
      <c r="T5" s="3213"/>
      <c r="U5" s="3214"/>
      <c r="V5" s="3208"/>
      <c r="W5" s="3208"/>
      <c r="X5" s="1811"/>
      <c r="Y5" s="3213"/>
      <c r="Z5" s="3214"/>
      <c r="AA5" s="3206"/>
      <c r="AB5" s="3206"/>
      <c r="AC5" s="3206"/>
    </row>
    <row r="6" spans="1:29" ht="15.75" thickBot="1">
      <c r="A6" s="406"/>
      <c r="B6" s="407"/>
      <c r="C6" s="3219" t="s">
        <v>2534</v>
      </c>
      <c r="D6" s="3220"/>
      <c r="E6" s="3221" t="s">
        <v>2534</v>
      </c>
      <c r="F6" s="3222"/>
      <c r="G6" s="3219" t="s">
        <v>2534</v>
      </c>
      <c r="H6" s="3220"/>
      <c r="I6" s="3219" t="s">
        <v>2534</v>
      </c>
      <c r="J6" s="3220"/>
      <c r="K6" s="610" t="s">
        <v>2535</v>
      </c>
      <c r="L6" s="1129"/>
      <c r="M6" s="1130"/>
      <c r="N6" s="1130"/>
      <c r="O6" s="1130"/>
      <c r="P6" s="3232"/>
      <c r="Q6" s="3233"/>
      <c r="R6" s="3213"/>
      <c r="S6" s="3214"/>
      <c r="T6" s="3234"/>
      <c r="U6" s="3235"/>
      <c r="V6" s="3208"/>
      <c r="W6" s="3208"/>
      <c r="X6" s="1811"/>
      <c r="Y6" s="3234"/>
      <c r="Z6" s="3235"/>
      <c r="AA6" s="3207"/>
      <c r="AB6" s="3207"/>
      <c r="AC6" s="3207"/>
    </row>
    <row r="7" spans="1:29" s="117" customFormat="1" ht="15.75" thickBot="1">
      <c r="A7" s="408" t="s">
        <v>2536</v>
      </c>
      <c r="B7" s="409"/>
      <c r="C7" s="410">
        <f>'数据-取费表'!B2</f>
        <v>43132</v>
      </c>
      <c r="D7" s="411">
        <v>100</v>
      </c>
      <c r="E7" s="412"/>
      <c r="F7" s="413">
        <f>SUMIF(48:48,YEAR(E7)&amp;"-"&amp;MONTH(E7),49:49)</f>
        <v>0</v>
      </c>
      <c r="G7" s="412"/>
      <c r="H7" s="411">
        <f>SUMIF(48:48,YEAR(G7)&amp;"-"&amp;MONTH(G7),49:49)</f>
        <v>0</v>
      </c>
      <c r="I7" s="412"/>
      <c r="J7" s="411">
        <f>SUMIF(48:48,YEAR(I7)&amp;"-"&amp;MONTH(I7),49:49)</f>
        <v>0</v>
      </c>
      <c r="K7" s="611"/>
      <c r="L7" s="1131"/>
      <c r="M7" s="1132"/>
      <c r="N7" s="1132"/>
      <c r="O7" s="1132"/>
      <c r="P7" s="3209" t="s">
        <v>2537</v>
      </c>
      <c r="Q7" s="3236"/>
      <c r="R7" s="769" t="s">
        <v>17</v>
      </c>
      <c r="S7" s="770">
        <f t="shared" ref="S7:S14" si="0">F7</f>
        <v>0</v>
      </c>
      <c r="T7" s="769" t="s">
        <v>17</v>
      </c>
      <c r="U7" s="770">
        <f t="shared" ref="U7:U14" si="1">H7</f>
        <v>0</v>
      </c>
      <c r="V7" s="769" t="s">
        <v>17</v>
      </c>
      <c r="W7" s="770">
        <f t="shared" ref="W7:W14" si="2">J7</f>
        <v>0</v>
      </c>
      <c r="X7" s="771"/>
      <c r="Y7" s="3209" t="s">
        <v>2537</v>
      </c>
      <c r="Z7" s="3210"/>
      <c r="AA7" s="772" t="e">
        <f>D7/F7</f>
        <v>#DIV/0!</v>
      </c>
      <c r="AB7" s="772" t="e">
        <f>D7/H7</f>
        <v>#DIV/0!</v>
      </c>
      <c r="AC7" s="772" t="e">
        <f>D7/J7</f>
        <v>#DIV/0!</v>
      </c>
    </row>
    <row r="8" spans="1:29" s="117" customFormat="1" ht="15.75" thickBot="1">
      <c r="A8" s="408" t="s">
        <v>2538</v>
      </c>
      <c r="B8" s="409"/>
      <c r="C8" s="414" t="s">
        <v>2640</v>
      </c>
      <c r="D8" s="411">
        <v>100</v>
      </c>
      <c r="E8" s="414"/>
      <c r="F8" s="413">
        <f>SUMIF(51:51,E8,52:52)-SUMIF(51:51,C8,52:52)+100</f>
        <v>0</v>
      </c>
      <c r="G8" s="414"/>
      <c r="H8" s="411">
        <f>SUMIF(51:51,G8,52:52)-SUMIF(51:51,C8,52:52)+100</f>
        <v>0</v>
      </c>
      <c r="I8" s="414"/>
      <c r="J8" s="411">
        <f>SUMIF(51:51,I8,52:52)-SUMIF(51:51,C8,52:52)+100</f>
        <v>0</v>
      </c>
      <c r="K8" s="611"/>
      <c r="L8" s="1131"/>
      <c r="M8" s="1132"/>
      <c r="N8" s="1132"/>
      <c r="O8" s="1132"/>
      <c r="P8" s="3209" t="s">
        <v>2540</v>
      </c>
      <c r="Q8" s="3210"/>
      <c r="R8" s="769" t="s">
        <v>17</v>
      </c>
      <c r="S8" s="770">
        <f t="shared" si="0"/>
        <v>0</v>
      </c>
      <c r="T8" s="769" t="s">
        <v>17</v>
      </c>
      <c r="U8" s="770">
        <f t="shared" si="1"/>
        <v>0</v>
      </c>
      <c r="V8" s="769" t="s">
        <v>17</v>
      </c>
      <c r="W8" s="770">
        <f t="shared" si="2"/>
        <v>0</v>
      </c>
      <c r="X8" s="771"/>
      <c r="Y8" s="3209" t="s">
        <v>2540</v>
      </c>
      <c r="Z8" s="3210"/>
      <c r="AA8" s="772" t="e">
        <f t="shared" ref="AA8:AA36" si="3">D8/F8</f>
        <v>#DIV/0!</v>
      </c>
      <c r="AB8" s="772" t="e">
        <f t="shared" ref="AB8:AB36" si="4">D8/H8</f>
        <v>#DIV/0!</v>
      </c>
      <c r="AC8" s="772" t="e">
        <f t="shared" ref="AC8:AC36" si="5">D8/J8</f>
        <v>#DIV/0!</v>
      </c>
    </row>
    <row r="9" spans="1:29" s="117" customFormat="1">
      <c r="A9" s="68" t="s">
        <v>2541</v>
      </c>
      <c r="B9" s="640" t="s">
        <v>2542</v>
      </c>
      <c r="C9" s="416"/>
      <c r="D9" s="135">
        <v>100</v>
      </c>
      <c r="E9" s="419"/>
      <c r="F9" s="135">
        <f>SUMIF(53:53,E9,54:54)-SUMIF(53:53,C9,54:54)+100</f>
        <v>100</v>
      </c>
      <c r="G9" s="417"/>
      <c r="H9" s="135">
        <f>SUMIF(53:53,G9,54:54)-SUMIF(53:53,C9,54:54)+100</f>
        <v>100</v>
      </c>
      <c r="I9" s="417"/>
      <c r="J9" s="135">
        <f>SUMIF(53:53,I9,54:54)-SUMIF(53:53,C9,54:54)+100</f>
        <v>100</v>
      </c>
      <c r="K9" s="611"/>
      <c r="L9" s="1131"/>
      <c r="M9" s="1132"/>
      <c r="N9" s="1132"/>
      <c r="O9" s="1132"/>
      <c r="P9" s="3246" t="s">
        <v>2543</v>
      </c>
      <c r="Q9" s="1793" t="str">
        <f t="shared" ref="Q9:Q14" si="6">B9</f>
        <v>用途</v>
      </c>
      <c r="R9" s="769" t="s">
        <v>17</v>
      </c>
      <c r="S9" s="770">
        <f t="shared" si="0"/>
        <v>100</v>
      </c>
      <c r="T9" s="769" t="s">
        <v>17</v>
      </c>
      <c r="U9" s="770">
        <f t="shared" si="1"/>
        <v>100</v>
      </c>
      <c r="V9" s="769" t="s">
        <v>17</v>
      </c>
      <c r="W9" s="770">
        <f t="shared" si="2"/>
        <v>100</v>
      </c>
      <c r="X9" s="771"/>
      <c r="Y9" s="3082" t="s">
        <v>2544</v>
      </c>
      <c r="Z9" s="55" t="str">
        <f t="shared" ref="Z9:Z14" si="7">Q9</f>
        <v>用途</v>
      </c>
      <c r="AA9" s="772">
        <f t="shared" si="3"/>
        <v>1</v>
      </c>
      <c r="AB9" s="772">
        <f t="shared" si="4"/>
        <v>1</v>
      </c>
      <c r="AC9" s="772">
        <f t="shared" si="5"/>
        <v>1</v>
      </c>
    </row>
    <row r="10" spans="1:29" s="427" customFormat="1" ht="27">
      <c r="A10" s="641"/>
      <c r="B10" s="642" t="s">
        <v>2545</v>
      </c>
      <c r="C10" s="423"/>
      <c r="D10" s="136">
        <v>100</v>
      </c>
      <c r="E10" s="423"/>
      <c r="F10" s="136">
        <f>SUMIF(55:55,E10,56:56)-SUMIF(55:55,C10,56:56)+100</f>
        <v>100</v>
      </c>
      <c r="G10" s="424"/>
      <c r="H10" s="136">
        <f>SUMIF(55:55,G10,56:56)-SUMIF(55:55,C10,56:56)+100</f>
        <v>100</v>
      </c>
      <c r="I10" s="423"/>
      <c r="J10" s="136">
        <f>SUMIF(55:55,I10,56:56)-SUMIF(55:55,C10,56:56)+100</f>
        <v>100</v>
      </c>
      <c r="K10" s="612"/>
      <c r="L10" s="1134"/>
      <c r="M10" s="1135"/>
      <c r="N10" s="1135"/>
      <c r="O10" s="1135"/>
      <c r="P10" s="3246"/>
      <c r="Q10" s="1793" t="str">
        <f t="shared" si="6"/>
        <v>土地使用年限（年）</v>
      </c>
      <c r="R10" s="769" t="s">
        <v>17</v>
      </c>
      <c r="S10" s="770">
        <f t="shared" si="0"/>
        <v>100</v>
      </c>
      <c r="T10" s="769" t="s">
        <v>17</v>
      </c>
      <c r="U10" s="770">
        <f t="shared" si="1"/>
        <v>100</v>
      </c>
      <c r="V10" s="769" t="s">
        <v>17</v>
      </c>
      <c r="W10" s="770">
        <f t="shared" si="2"/>
        <v>100</v>
      </c>
      <c r="X10" s="771"/>
      <c r="Y10" s="3082"/>
      <c r="Z10" s="55" t="str">
        <f t="shared" si="7"/>
        <v>土地使用年限（年）</v>
      </c>
      <c r="AA10" s="772">
        <f t="shared" si="3"/>
        <v>1</v>
      </c>
      <c r="AB10" s="772">
        <f t="shared" si="4"/>
        <v>1</v>
      </c>
      <c r="AC10" s="772">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7"/>
      <c r="M11" s="1130"/>
      <c r="N11" s="1130"/>
      <c r="O11" s="1130"/>
      <c r="P11" s="3246"/>
      <c r="Q11" s="1793">
        <f t="shared" si="6"/>
        <v>111</v>
      </c>
      <c r="R11" s="769" t="s">
        <v>17</v>
      </c>
      <c r="S11" s="770">
        <f t="shared" si="0"/>
        <v>100</v>
      </c>
      <c r="T11" s="769" t="s">
        <v>17</v>
      </c>
      <c r="U11" s="770">
        <f t="shared" si="1"/>
        <v>100</v>
      </c>
      <c r="V11" s="769" t="s">
        <v>17</v>
      </c>
      <c r="W11" s="770">
        <f t="shared" si="2"/>
        <v>100</v>
      </c>
      <c r="X11" s="771"/>
      <c r="Y11" s="3082"/>
      <c r="Z11" s="55">
        <f t="shared" si="7"/>
        <v>111</v>
      </c>
      <c r="AA11" s="772">
        <f t="shared" si="3"/>
        <v>1</v>
      </c>
      <c r="AB11" s="772">
        <f t="shared" si="4"/>
        <v>1</v>
      </c>
      <c r="AC11" s="772">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1"/>
      <c r="M12" s="1132"/>
      <c r="N12" s="1132"/>
      <c r="O12" s="1132"/>
      <c r="P12" s="3246"/>
      <c r="Q12" s="1793">
        <f t="shared" si="6"/>
        <v>111</v>
      </c>
      <c r="R12" s="769" t="s">
        <v>17</v>
      </c>
      <c r="S12" s="770">
        <f t="shared" si="0"/>
        <v>100</v>
      </c>
      <c r="T12" s="769" t="s">
        <v>17</v>
      </c>
      <c r="U12" s="770">
        <f t="shared" si="1"/>
        <v>100</v>
      </c>
      <c r="V12" s="769" t="s">
        <v>17</v>
      </c>
      <c r="W12" s="770">
        <f t="shared" si="2"/>
        <v>100</v>
      </c>
      <c r="X12" s="771"/>
      <c r="Y12" s="3082"/>
      <c r="Z12" s="55">
        <f t="shared" si="7"/>
        <v>111</v>
      </c>
      <c r="AA12" s="772">
        <f>D12/F12</f>
        <v>1</v>
      </c>
      <c r="AB12" s="772">
        <f>D12/H12</f>
        <v>1</v>
      </c>
      <c r="AC12" s="772">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9"/>
      <c r="M13" s="1130"/>
      <c r="N13" s="1130"/>
      <c r="O13" s="1130"/>
      <c r="P13" s="3246"/>
      <c r="Q13" s="1793">
        <f t="shared" si="6"/>
        <v>111</v>
      </c>
      <c r="R13" s="769" t="s">
        <v>17</v>
      </c>
      <c r="S13" s="770">
        <f t="shared" si="0"/>
        <v>100</v>
      </c>
      <c r="T13" s="769" t="s">
        <v>17</v>
      </c>
      <c r="U13" s="770">
        <f t="shared" si="1"/>
        <v>100</v>
      </c>
      <c r="V13" s="769" t="s">
        <v>17</v>
      </c>
      <c r="W13" s="770">
        <f t="shared" si="2"/>
        <v>100</v>
      </c>
      <c r="X13" s="771"/>
      <c r="Y13" s="3082"/>
      <c r="Z13" s="55">
        <f t="shared" si="7"/>
        <v>111</v>
      </c>
      <c r="AA13" s="772">
        <f t="shared" si="3"/>
        <v>1</v>
      </c>
      <c r="AB13" s="772">
        <f t="shared" si="4"/>
        <v>1</v>
      </c>
      <c r="AC13" s="772">
        <f t="shared" si="5"/>
        <v>1</v>
      </c>
    </row>
    <row r="14" spans="1:29" ht="128.25">
      <c r="A14" s="401" t="s">
        <v>2547</v>
      </c>
      <c r="B14" s="629" t="s">
        <v>2697</v>
      </c>
      <c r="C14" s="2688" t="str">
        <f>IF(B1="工业",估价对象房地状况!G4,估价对象房地状况!C6)</f>
        <v>估价对象周边有485、501、602、736、957路及地铁十号线等、公共交通通达情况较好、停车便捷程度较好，综合评价交通便捷度较好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9"/>
      <c r="M14" s="1130"/>
      <c r="N14" s="1130"/>
      <c r="O14" s="1130"/>
      <c r="P14" s="3239" t="s">
        <v>2548</v>
      </c>
      <c r="Q14" s="1808" t="str">
        <f t="shared" si="6"/>
        <v>交通便捷度</v>
      </c>
      <c r="R14" s="773" t="s">
        <v>17</v>
      </c>
      <c r="S14" s="774">
        <f t="shared" si="0"/>
        <v>100</v>
      </c>
      <c r="T14" s="773" t="s">
        <v>17</v>
      </c>
      <c r="U14" s="774">
        <f t="shared" si="1"/>
        <v>100</v>
      </c>
      <c r="V14" s="773" t="s">
        <v>17</v>
      </c>
      <c r="W14" s="774">
        <f t="shared" si="2"/>
        <v>100</v>
      </c>
      <c r="X14" s="1811"/>
      <c r="Y14" s="3239" t="s">
        <v>2548</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39"/>
      <c r="M15" s="1130"/>
      <c r="N15" s="1130"/>
      <c r="O15" s="1130"/>
      <c r="P15" s="3240"/>
      <c r="Q15" s="1808"/>
      <c r="R15" s="773"/>
      <c r="S15" s="774"/>
      <c r="T15" s="773"/>
      <c r="U15" s="774"/>
      <c r="V15" s="773"/>
      <c r="W15" s="774"/>
      <c r="X15" s="1811"/>
      <c r="Y15" s="3240"/>
      <c r="Z15" s="1812"/>
      <c r="AA15" s="1809">
        <v>1</v>
      </c>
      <c r="AB15" s="1809">
        <v>1</v>
      </c>
      <c r="AC15" s="1809">
        <v>1</v>
      </c>
    </row>
    <row r="16" spans="1:29" ht="114">
      <c r="A16" s="404"/>
      <c r="B16" s="631" t="s">
        <v>2676</v>
      </c>
      <c r="C16" s="2602" t="str">
        <f>IF(B1="工业",估价对象房地状况!G5,估价对象房地状况!C7)</f>
        <v>周边有中国建设银行、广东发展银行、集美家居、物美超市、西马金润小学、丰台第一小学远洋分校等，公共配套设施较齐备</v>
      </c>
      <c r="D16" s="455">
        <v>100</v>
      </c>
      <c r="E16" s="457"/>
      <c r="F16" s="458">
        <f>SUMIF(65:65,E17,66:66)-SUMIF(65:65,C17,66:66)+100</f>
        <v>100</v>
      </c>
      <c r="G16" s="459"/>
      <c r="H16" s="455">
        <f>SUMIF(65:65,G17,66:66)-SUMIF(65:65,C17,66:66)+100</f>
        <v>100</v>
      </c>
      <c r="I16" s="457"/>
      <c r="J16" s="455">
        <f>SUMIF(65:65,I17,66:66)-SUMIF(65:65,C17,66:66)+100</f>
        <v>100</v>
      </c>
      <c r="K16" s="614"/>
      <c r="L16" s="1139"/>
      <c r="M16" s="1130"/>
      <c r="N16" s="1130"/>
      <c r="O16" s="1130"/>
      <c r="P16" s="3240"/>
      <c r="Q16" s="1808" t="str">
        <f>B16</f>
        <v>公共配套设施</v>
      </c>
      <c r="R16" s="773" t="s">
        <v>17</v>
      </c>
      <c r="S16" s="774">
        <f>F16</f>
        <v>100</v>
      </c>
      <c r="T16" s="773" t="s">
        <v>17</v>
      </c>
      <c r="U16" s="774">
        <f>H16</f>
        <v>100</v>
      </c>
      <c r="V16" s="773" t="s">
        <v>17</v>
      </c>
      <c r="W16" s="774">
        <f>J16</f>
        <v>100</v>
      </c>
      <c r="X16" s="1811"/>
      <c r="Y16" s="3240"/>
      <c r="Z16" s="1812" t="str">
        <f>Q16</f>
        <v>公共配套设施</v>
      </c>
      <c r="AA16" s="1809">
        <f t="shared" si="3"/>
        <v>1</v>
      </c>
      <c r="AB16" s="1809">
        <f t="shared" si="4"/>
        <v>1</v>
      </c>
      <c r="AC16" s="1809">
        <f t="shared" si="5"/>
        <v>1</v>
      </c>
    </row>
    <row r="17" spans="1:29" ht="15">
      <c r="A17" s="404"/>
      <c r="B17" s="632"/>
      <c r="C17" s="2603"/>
      <c r="D17" s="448"/>
      <c r="E17" s="447"/>
      <c r="F17" s="449"/>
      <c r="G17" s="447"/>
      <c r="H17" s="448"/>
      <c r="I17" s="447"/>
      <c r="J17" s="448"/>
      <c r="K17" s="615"/>
      <c r="L17" s="1139"/>
      <c r="M17" s="1130"/>
      <c r="N17" s="1130"/>
      <c r="O17" s="1130"/>
      <c r="P17" s="3240"/>
      <c r="Q17" s="1808"/>
      <c r="R17" s="773"/>
      <c r="S17" s="774"/>
      <c r="T17" s="773"/>
      <c r="U17" s="774"/>
      <c r="V17" s="773"/>
      <c r="W17" s="774"/>
      <c r="X17" s="1811"/>
      <c r="Y17" s="3240"/>
      <c r="Z17" s="1812"/>
      <c r="AA17" s="1809">
        <v>1</v>
      </c>
      <c r="AB17" s="1809">
        <v>1</v>
      </c>
      <c r="AC17" s="1809">
        <v>1</v>
      </c>
    </row>
    <row r="18" spans="1:29" ht="15">
      <c r="A18" s="404"/>
      <c r="B18" s="633" t="s">
        <v>2677</v>
      </c>
      <c r="C18" s="2602"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39"/>
      <c r="M18" s="1130"/>
      <c r="N18" s="1130"/>
      <c r="O18" s="1130"/>
      <c r="P18" s="3240"/>
      <c r="Q18" s="1808" t="str">
        <f>B18</f>
        <v>基础设施水平</v>
      </c>
      <c r="R18" s="773" t="s">
        <v>17</v>
      </c>
      <c r="S18" s="774">
        <f>F18</f>
        <v>100</v>
      </c>
      <c r="T18" s="773" t="s">
        <v>17</v>
      </c>
      <c r="U18" s="774">
        <f>H18</f>
        <v>100</v>
      </c>
      <c r="V18" s="773" t="s">
        <v>17</v>
      </c>
      <c r="W18" s="774">
        <f>J18</f>
        <v>100</v>
      </c>
      <c r="X18" s="1811"/>
      <c r="Y18" s="3240"/>
      <c r="Z18" s="1812" t="str">
        <f>Q18</f>
        <v>基础设施水平</v>
      </c>
      <c r="AA18" s="1809">
        <f t="shared" ref="AA18" si="8">D18/F18</f>
        <v>1</v>
      </c>
      <c r="AB18" s="1809">
        <f t="shared" ref="AB18" si="9">D18/H18</f>
        <v>1</v>
      </c>
      <c r="AC18" s="1809">
        <f t="shared" ref="AC18" si="10">D18/J18</f>
        <v>1</v>
      </c>
    </row>
    <row r="19" spans="1:29" ht="15">
      <c r="A19" s="404"/>
      <c r="B19" s="633"/>
      <c r="C19" s="2603"/>
      <c r="D19" s="450"/>
      <c r="E19" s="2603"/>
      <c r="F19" s="453"/>
      <c r="G19" s="2603"/>
      <c r="H19" s="448"/>
      <c r="I19" s="447"/>
      <c r="J19" s="448"/>
      <c r="K19" s="1382"/>
      <c r="L19" s="1139"/>
      <c r="M19" s="1130"/>
      <c r="N19" s="1130"/>
      <c r="O19" s="1130"/>
      <c r="P19" s="3240"/>
      <c r="Q19" s="1808"/>
      <c r="R19" s="773"/>
      <c r="S19" s="774"/>
      <c r="T19" s="773"/>
      <c r="U19" s="774"/>
      <c r="V19" s="773"/>
      <c r="W19" s="774"/>
      <c r="X19" s="1811"/>
      <c r="Y19" s="3240"/>
      <c r="Z19" s="1812"/>
      <c r="AA19" s="1809">
        <v>1</v>
      </c>
      <c r="AB19" s="1809">
        <v>1</v>
      </c>
      <c r="AC19" s="1809">
        <v>1</v>
      </c>
    </row>
    <row r="20" spans="1:29" ht="42.75">
      <c r="A20" s="404"/>
      <c r="B20" s="631" t="s">
        <v>2698</v>
      </c>
      <c r="C20" s="2602" t="str">
        <f>IF(B1="工业",估价对象房地状况!G7,估价对象房地状况!C9)</f>
        <v>周边有桃苑公园自然及人文环境一般</v>
      </c>
      <c r="D20" s="455">
        <v>100</v>
      </c>
      <c r="E20" s="457"/>
      <c r="F20" s="458">
        <f>SUMIF(69:69,E21,70:70)-SUMIF(69:69,C21,70:70)+100</f>
        <v>100</v>
      </c>
      <c r="G20" s="459"/>
      <c r="H20" s="450">
        <f>SUMIF(69:69,G21,70:70)-SUMIF(69:69,C21,70:70)+100</f>
        <v>100</v>
      </c>
      <c r="I20" s="452"/>
      <c r="J20" s="450">
        <f>SUMIF(69:69,I21,70:70)-SUMIF(69:69,C21,70:70)+100</f>
        <v>100</v>
      </c>
      <c r="K20" s="614"/>
      <c r="L20" s="1139"/>
      <c r="M20" s="1130"/>
      <c r="N20" s="1130"/>
      <c r="O20" s="1130"/>
      <c r="P20" s="3240"/>
      <c r="Q20" s="1808" t="str">
        <f>B20</f>
        <v>自然及人文环境</v>
      </c>
      <c r="R20" s="773" t="s">
        <v>17</v>
      </c>
      <c r="S20" s="774">
        <f>F20</f>
        <v>100</v>
      </c>
      <c r="T20" s="773" t="s">
        <v>17</v>
      </c>
      <c r="U20" s="774">
        <f>H20</f>
        <v>100</v>
      </c>
      <c r="V20" s="773" t="s">
        <v>17</v>
      </c>
      <c r="W20" s="774">
        <f>J20</f>
        <v>100</v>
      </c>
      <c r="X20" s="1811"/>
      <c r="Y20" s="3240"/>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39"/>
      <c r="M21" s="1130"/>
      <c r="N21" s="1130"/>
      <c r="O21" s="1130"/>
      <c r="P21" s="3240"/>
      <c r="Q21" s="1808"/>
      <c r="R21" s="773"/>
      <c r="S21" s="774"/>
      <c r="T21" s="773"/>
      <c r="U21" s="774"/>
      <c r="V21" s="773"/>
      <c r="W21" s="774"/>
      <c r="X21" s="1811"/>
      <c r="Y21" s="3240"/>
      <c r="Z21" s="1812"/>
      <c r="AA21" s="1809">
        <v>1</v>
      </c>
      <c r="AB21" s="1809">
        <v>1</v>
      </c>
      <c r="AC21" s="1809">
        <v>1</v>
      </c>
    </row>
    <row r="22" spans="1:29" ht="15">
      <c r="A22" s="404"/>
      <c r="B22" s="631" t="s">
        <v>2699</v>
      </c>
      <c r="C22" s="616"/>
      <c r="D22" s="450">
        <v>100</v>
      </c>
      <c r="E22" s="616"/>
      <c r="F22" s="461">
        <f>SUMIF(71:71,E22,72:72)-SUMIF(71:71,C22,72:72)+100</f>
        <v>100</v>
      </c>
      <c r="G22" s="616"/>
      <c r="H22" s="435">
        <f>SUMIF(71:71,G22,72:72)-SUMIF(71:71,C22,72:72)+100</f>
        <v>100</v>
      </c>
      <c r="I22" s="616"/>
      <c r="J22" s="435">
        <f>SUMIF(71:71,I22,72:72)-SUMIF(71:71,C22,72:72)+100</f>
        <v>100</v>
      </c>
      <c r="K22" s="612"/>
      <c r="L22" s="1139"/>
      <c r="M22" s="1130"/>
      <c r="N22" s="1130"/>
      <c r="O22" s="1130"/>
      <c r="P22" s="3240"/>
      <c r="Q22" s="1808" t="str">
        <f>B22</f>
        <v>楼层</v>
      </c>
      <c r="R22" s="773" t="s">
        <v>17</v>
      </c>
      <c r="S22" s="774">
        <f>F22</f>
        <v>100</v>
      </c>
      <c r="T22" s="773" t="s">
        <v>17</v>
      </c>
      <c r="U22" s="774">
        <f>H22</f>
        <v>100</v>
      </c>
      <c r="V22" s="773" t="s">
        <v>17</v>
      </c>
      <c r="W22" s="774">
        <f>J22</f>
        <v>100</v>
      </c>
      <c r="X22" s="1811"/>
      <c r="Y22" s="3240"/>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9"/>
      <c r="M23" s="1130"/>
      <c r="N23" s="1130"/>
      <c r="O23" s="1130"/>
      <c r="P23" s="3240"/>
      <c r="Q23" s="1808">
        <f>B23</f>
        <v>111</v>
      </c>
      <c r="R23" s="773" t="s">
        <v>17</v>
      </c>
      <c r="S23" s="774">
        <f>F23</f>
        <v>100</v>
      </c>
      <c r="T23" s="773" t="s">
        <v>17</v>
      </c>
      <c r="U23" s="774">
        <f>H23</f>
        <v>100</v>
      </c>
      <c r="V23" s="773" t="s">
        <v>17</v>
      </c>
      <c r="W23" s="774">
        <f>J23</f>
        <v>100</v>
      </c>
      <c r="X23" s="1811"/>
      <c r="Y23" s="3240"/>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9"/>
      <c r="M24" s="1130"/>
      <c r="N24" s="1130"/>
      <c r="O24" s="1130"/>
      <c r="P24" s="3240"/>
      <c r="Q24" s="1808">
        <f t="shared" ref="Q24:Q36" si="11">B24</f>
        <v>111</v>
      </c>
      <c r="R24" s="773" t="s">
        <v>17</v>
      </c>
      <c r="S24" s="774">
        <f>F24</f>
        <v>100</v>
      </c>
      <c r="T24" s="773" t="s">
        <v>17</v>
      </c>
      <c r="U24" s="774">
        <f>H24</f>
        <v>100</v>
      </c>
      <c r="V24" s="773" t="s">
        <v>17</v>
      </c>
      <c r="W24" s="774">
        <f>J24</f>
        <v>100</v>
      </c>
      <c r="X24" s="1811"/>
      <c r="Y24" s="3240"/>
      <c r="Z24" s="1812">
        <f>Q24</f>
        <v>111</v>
      </c>
      <c r="AA24" s="1809">
        <f t="shared" si="3"/>
        <v>1</v>
      </c>
      <c r="AB24" s="1809">
        <f t="shared" si="4"/>
        <v>1</v>
      </c>
      <c r="AC24" s="1809">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1"/>
      <c r="M25" s="1132"/>
      <c r="N25" s="1132"/>
      <c r="O25" s="1132"/>
      <c r="P25" s="3240"/>
      <c r="Q25" s="1793">
        <f t="shared" si="11"/>
        <v>111</v>
      </c>
      <c r="R25" s="769" t="s">
        <v>17</v>
      </c>
      <c r="S25" s="770">
        <f>F25</f>
        <v>100</v>
      </c>
      <c r="T25" s="769" t="s">
        <v>17</v>
      </c>
      <c r="U25" s="770">
        <f>H25</f>
        <v>100</v>
      </c>
      <c r="V25" s="769" t="s">
        <v>17</v>
      </c>
      <c r="W25" s="770">
        <f>J25</f>
        <v>100</v>
      </c>
      <c r="X25" s="771"/>
      <c r="Y25" s="3240"/>
      <c r="Z25" s="55">
        <f>Q25</f>
        <v>111</v>
      </c>
      <c r="AA25" s="1809">
        <f>D25/F25</f>
        <v>1</v>
      </c>
      <c r="AB25" s="1809">
        <f>D25/H25</f>
        <v>1</v>
      </c>
      <c r="AC25" s="1809">
        <f>D25/J25</f>
        <v>1</v>
      </c>
    </row>
    <row r="26" spans="1:29" ht="15">
      <c r="A26" s="652" t="s">
        <v>2551</v>
      </c>
      <c r="B26" s="70" t="s">
        <v>2700</v>
      </c>
      <c r="C26" s="2689">
        <f>B1</f>
        <v>0</v>
      </c>
      <c r="D26" s="448">
        <v>100</v>
      </c>
      <c r="E26" s="447"/>
      <c r="F26" s="449">
        <f>SUMIF(79:79,E26,80:80)-SUMIF(79:79,C26,80:80)+100</f>
        <v>100</v>
      </c>
      <c r="G26" s="447"/>
      <c r="H26" s="448">
        <f>SUMIF(79:79,G26,80:80)-SUMIF(79:79,C26,80:80)+100</f>
        <v>100</v>
      </c>
      <c r="I26" s="447"/>
      <c r="J26" s="448">
        <f>SUMIF(79:79,I26,80:80)-SUMIF(79:79,C26,80:80)+100</f>
        <v>100</v>
      </c>
      <c r="K26" s="612"/>
      <c r="L26" s="1139"/>
      <c r="M26" s="1130"/>
      <c r="N26" s="1130"/>
      <c r="O26" s="1130"/>
      <c r="P26" s="3299" t="s">
        <v>2553</v>
      </c>
      <c r="Q26" s="1808" t="str">
        <f t="shared" si="11"/>
        <v>配套类型</v>
      </c>
      <c r="R26" s="773" t="s">
        <v>17</v>
      </c>
      <c r="S26" s="774">
        <f t="shared" ref="S26:S36" si="12">F26</f>
        <v>100</v>
      </c>
      <c r="T26" s="773" t="s">
        <v>17</v>
      </c>
      <c r="U26" s="774">
        <f t="shared" ref="U26:U36" si="13">H26</f>
        <v>100</v>
      </c>
      <c r="V26" s="773" t="s">
        <v>17</v>
      </c>
      <c r="W26" s="774">
        <f t="shared" ref="W26:W36" si="14">J26</f>
        <v>100</v>
      </c>
      <c r="X26" s="1811"/>
      <c r="Y26" s="3244" t="s">
        <v>2553</v>
      </c>
      <c r="Z26" s="1812" t="str">
        <f t="shared" ref="Z26:Z36" si="15">Q26</f>
        <v>配套类型</v>
      </c>
      <c r="AA26" s="1809">
        <f t="shared" si="3"/>
        <v>1</v>
      </c>
      <c r="AB26" s="1809">
        <f t="shared" si="4"/>
        <v>1</v>
      </c>
      <c r="AC26" s="1809">
        <f t="shared" si="5"/>
        <v>1</v>
      </c>
    </row>
    <row r="27" spans="1:29" s="471" customFormat="1" ht="15">
      <c r="A27" s="653"/>
      <c r="B27" s="654" t="s">
        <v>2701</v>
      </c>
      <c r="C27" s="655"/>
      <c r="D27" s="136">
        <v>100</v>
      </c>
      <c r="E27" s="655"/>
      <c r="F27" s="461">
        <f>SUMIF(81:81,E27,82:82)-SUMIF(81:81,C27,82:82)+100</f>
        <v>100</v>
      </c>
      <c r="G27" s="655"/>
      <c r="H27" s="435">
        <f>SUMIF(81:81,G27,82:82)-SUMIF(81:81,C27,82:82)+100</f>
        <v>100</v>
      </c>
      <c r="I27" s="655"/>
      <c r="J27" s="435">
        <f>SUMIF(81:81,I27,82:82)-SUMIF(81:81,C27,82:82)+100</f>
        <v>100</v>
      </c>
      <c r="K27" s="613"/>
      <c r="L27" s="1137"/>
      <c r="M27" s="1140"/>
      <c r="N27" s="1140"/>
      <c r="O27" s="1140"/>
      <c r="P27" s="3244"/>
      <c r="Q27" s="775" t="str">
        <f t="shared" si="11"/>
        <v>项目停车位配比</v>
      </c>
      <c r="R27" s="776" t="s">
        <v>17</v>
      </c>
      <c r="S27" s="777">
        <f t="shared" si="12"/>
        <v>100</v>
      </c>
      <c r="T27" s="776" t="s">
        <v>17</v>
      </c>
      <c r="U27" s="777">
        <f t="shared" si="13"/>
        <v>100</v>
      </c>
      <c r="V27" s="776" t="s">
        <v>17</v>
      </c>
      <c r="W27" s="777">
        <f t="shared" si="14"/>
        <v>100</v>
      </c>
      <c r="X27" s="778"/>
      <c r="Y27" s="3244"/>
      <c r="Z27" s="779" t="str">
        <f t="shared" si="15"/>
        <v>项目停车位配比</v>
      </c>
      <c r="AA27" s="1809">
        <f t="shared" si="3"/>
        <v>1</v>
      </c>
      <c r="AB27" s="1809">
        <f t="shared" si="4"/>
        <v>1</v>
      </c>
      <c r="AC27" s="1809">
        <f t="shared" si="5"/>
        <v>1</v>
      </c>
    </row>
    <row r="28" spans="1:29" ht="15">
      <c r="A28" s="656"/>
      <c r="B28" s="654" t="s">
        <v>2702</v>
      </c>
      <c r="C28" s="460"/>
      <c r="D28" s="435">
        <v>100</v>
      </c>
      <c r="E28" s="460"/>
      <c r="F28" s="461">
        <f>SUMIF(83:83,E28,84:84)-SUMIF(83:83,C28,84:84)+100</f>
        <v>100</v>
      </c>
      <c r="G28" s="460"/>
      <c r="H28" s="435">
        <f>SUMIF(83:83,G28,84:84)-SUMIF(83:83,C28,84:84)+100</f>
        <v>100</v>
      </c>
      <c r="I28" s="460"/>
      <c r="J28" s="435">
        <f>SUMIF(83:83,I28,84:84)-SUMIF(83:83,C28,84:84)+100</f>
        <v>100</v>
      </c>
      <c r="K28" s="612"/>
      <c r="L28" s="1139"/>
      <c r="M28" s="1130"/>
      <c r="N28" s="1130"/>
      <c r="O28" s="1130"/>
      <c r="P28" s="3244"/>
      <c r="Q28" s="1808" t="str">
        <f t="shared" si="11"/>
        <v>公共部分装修</v>
      </c>
      <c r="R28" s="773" t="s">
        <v>17</v>
      </c>
      <c r="S28" s="774">
        <f t="shared" si="12"/>
        <v>100</v>
      </c>
      <c r="T28" s="773" t="s">
        <v>17</v>
      </c>
      <c r="U28" s="774">
        <f t="shared" si="13"/>
        <v>100</v>
      </c>
      <c r="V28" s="773" t="s">
        <v>17</v>
      </c>
      <c r="W28" s="774">
        <f t="shared" si="14"/>
        <v>100</v>
      </c>
      <c r="X28" s="1811"/>
      <c r="Y28" s="3244"/>
      <c r="Z28" s="1812" t="str">
        <f t="shared" si="15"/>
        <v>公共部分装修</v>
      </c>
      <c r="AA28" s="1809">
        <f t="shared" si="3"/>
        <v>1</v>
      </c>
      <c r="AB28" s="1809">
        <f t="shared" si="4"/>
        <v>1</v>
      </c>
      <c r="AC28" s="1809">
        <f t="shared" si="5"/>
        <v>1</v>
      </c>
    </row>
    <row r="29" spans="1:29" ht="15">
      <c r="A29" s="656"/>
      <c r="B29" s="654" t="s">
        <v>2703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9"/>
      <c r="M29" s="1130"/>
      <c r="N29" s="1130"/>
      <c r="O29" s="1130"/>
      <c r="P29" s="3244"/>
      <c r="Q29" s="1808" t="str">
        <f t="shared" si="11"/>
        <v>成新率</v>
      </c>
      <c r="R29" s="773" t="s">
        <v>17</v>
      </c>
      <c r="S29" s="774" t="e">
        <f t="shared" si="12"/>
        <v>#N/A</v>
      </c>
      <c r="T29" s="773" t="s">
        <v>17</v>
      </c>
      <c r="U29" s="774" t="e">
        <f t="shared" si="13"/>
        <v>#N/A</v>
      </c>
      <c r="V29" s="773" t="s">
        <v>17</v>
      </c>
      <c r="W29" s="774" t="e">
        <f t="shared" si="14"/>
        <v>#N/A</v>
      </c>
      <c r="X29" s="1811"/>
      <c r="Y29" s="3244"/>
      <c r="Z29" s="1812" t="str">
        <f t="shared" si="15"/>
        <v>成新率</v>
      </c>
      <c r="AA29" s="1809" t="e">
        <f t="shared" si="3"/>
        <v>#N/A</v>
      </c>
      <c r="AB29" s="1809" t="e">
        <f t="shared" si="4"/>
        <v>#N/A</v>
      </c>
      <c r="AC29" s="1809" t="e">
        <f t="shared" si="5"/>
        <v>#N/A</v>
      </c>
    </row>
    <row r="30" spans="1:29" ht="15">
      <c r="A30" s="656"/>
      <c r="B30" s="654" t="s">
        <v>2704</v>
      </c>
      <c r="C30" s="657"/>
      <c r="D30" s="435">
        <v>100</v>
      </c>
      <c r="E30" s="657"/>
      <c r="F30" s="461">
        <f>SUMIF(88:88,E30,89:89)-SUMIF(88:88,C30,89:89)+100</f>
        <v>100</v>
      </c>
      <c r="G30" s="657"/>
      <c r="H30" s="435">
        <f>SUMIF(88:88,E30,89:89)-SUMIF(88:88,C30,89:89)+100</f>
        <v>100</v>
      </c>
      <c r="I30" s="657"/>
      <c r="J30" s="435">
        <f>SUMIF(88:88,E30,89:89)-SUMIF(88:88,C30,89:89)+100</f>
        <v>100</v>
      </c>
      <c r="K30" s="612"/>
      <c r="L30" s="1139"/>
      <c r="M30" s="1130"/>
      <c r="N30" s="1130"/>
      <c r="O30" s="1130"/>
      <c r="P30" s="3244"/>
      <c r="Q30" s="1808" t="str">
        <f t="shared" si="11"/>
        <v>物业等级</v>
      </c>
      <c r="R30" s="773" t="s">
        <v>17</v>
      </c>
      <c r="S30" s="774">
        <f t="shared" si="12"/>
        <v>100</v>
      </c>
      <c r="T30" s="773" t="s">
        <v>17</v>
      </c>
      <c r="U30" s="774">
        <f t="shared" si="13"/>
        <v>100</v>
      </c>
      <c r="V30" s="773" t="s">
        <v>17</v>
      </c>
      <c r="W30" s="774">
        <f t="shared" si="14"/>
        <v>100</v>
      </c>
      <c r="X30" s="1811"/>
      <c r="Y30" s="3244"/>
      <c r="Z30" s="1812" t="str">
        <f t="shared" si="15"/>
        <v>物业等级</v>
      </c>
      <c r="AA30" s="1809">
        <f t="shared" si="3"/>
        <v>1</v>
      </c>
      <c r="AB30" s="1809">
        <f t="shared" si="4"/>
        <v>1</v>
      </c>
      <c r="AC30" s="1809">
        <f t="shared" si="5"/>
        <v>1</v>
      </c>
    </row>
    <row r="31" spans="1:29" s="117" customFormat="1" ht="15">
      <c r="A31" s="658"/>
      <c r="B31" s="654" t="s">
        <v>2705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1"/>
      <c r="M31" s="1132"/>
      <c r="N31" s="1132"/>
      <c r="O31" s="1132"/>
      <c r="P31" s="3244"/>
      <c r="Q31" s="1793" t="str">
        <f t="shared" si="11"/>
        <v>停车位面积</v>
      </c>
      <c r="R31" s="769" t="s">
        <v>17</v>
      </c>
      <c r="S31" s="770" t="e">
        <f t="shared" si="12"/>
        <v>#N/A</v>
      </c>
      <c r="T31" s="769" t="s">
        <v>17</v>
      </c>
      <c r="U31" s="770" t="e">
        <f t="shared" si="13"/>
        <v>#N/A</v>
      </c>
      <c r="V31" s="769" t="s">
        <v>17</v>
      </c>
      <c r="W31" s="770" t="e">
        <f t="shared" si="14"/>
        <v>#N/A</v>
      </c>
      <c r="X31" s="771"/>
      <c r="Y31" s="3244"/>
      <c r="Z31" s="55" t="str">
        <f t="shared" si="15"/>
        <v>停车位面积</v>
      </c>
      <c r="AA31" s="772" t="e">
        <f t="shared" si="3"/>
        <v>#N/A</v>
      </c>
      <c r="AB31" s="772" t="e">
        <f t="shared" si="4"/>
        <v>#N/A</v>
      </c>
      <c r="AC31" s="772" t="e">
        <f t="shared" si="5"/>
        <v>#N/A</v>
      </c>
    </row>
    <row r="32" spans="1:29" ht="15">
      <c r="A32" s="656"/>
      <c r="B32" s="654" t="s">
        <v>2706</v>
      </c>
      <c r="C32" s="460"/>
      <c r="D32" s="435">
        <v>100</v>
      </c>
      <c r="E32" s="460"/>
      <c r="F32" s="461">
        <f>SUMIF(93:93,E32,94:94)-SUMIF(93:93,C32,94:94)+100</f>
        <v>100</v>
      </c>
      <c r="G32" s="460"/>
      <c r="H32" s="435">
        <f>SUMIF(93:93,G32,94:94)-SUMIF(93:93,C32,94:94)+100</f>
        <v>100</v>
      </c>
      <c r="I32" s="460"/>
      <c r="J32" s="435">
        <f>SUMIF(93:93,I32,94:94)-SUMIF(93:93,C32,94:94)+100</f>
        <v>100</v>
      </c>
      <c r="K32" s="612"/>
      <c r="L32" s="1139"/>
      <c r="M32" s="1130"/>
      <c r="N32" s="1130"/>
      <c r="O32" s="1130"/>
      <c r="P32" s="3244" t="s">
        <v>2553</v>
      </c>
      <c r="Q32" s="1808" t="str">
        <f t="shared" si="11"/>
        <v>车位类型</v>
      </c>
      <c r="R32" s="773" t="s">
        <v>17</v>
      </c>
      <c r="S32" s="774">
        <f t="shared" si="12"/>
        <v>100</v>
      </c>
      <c r="T32" s="773" t="s">
        <v>17</v>
      </c>
      <c r="U32" s="774">
        <f t="shared" si="13"/>
        <v>100</v>
      </c>
      <c r="V32" s="773" t="s">
        <v>17</v>
      </c>
      <c r="W32" s="774">
        <f t="shared" si="14"/>
        <v>100</v>
      </c>
      <c r="X32" s="1811"/>
      <c r="Y32" s="3244" t="s">
        <v>2553</v>
      </c>
      <c r="Z32" s="1812" t="str">
        <f t="shared" si="15"/>
        <v>车位类型</v>
      </c>
      <c r="AA32" s="1809">
        <f t="shared" si="3"/>
        <v>1</v>
      </c>
      <c r="AB32" s="1809">
        <f t="shared" si="4"/>
        <v>1</v>
      </c>
      <c r="AC32" s="1809">
        <f t="shared" si="5"/>
        <v>1</v>
      </c>
    </row>
    <row r="33" spans="1:29" ht="15">
      <c r="A33" s="656"/>
      <c r="B33" s="654" t="s">
        <v>2707</v>
      </c>
      <c r="C33" s="460"/>
      <c r="D33" s="435">
        <v>100</v>
      </c>
      <c r="E33" s="460"/>
      <c r="F33" s="461">
        <f>SUMIF(95:95,E33,96:96)-SUMIF(95:95,C33,96:96)+100</f>
        <v>100</v>
      </c>
      <c r="G33" s="460"/>
      <c r="H33" s="435">
        <f>SUMIF(95:95,G33,96:96)-SUMIF(95:95,C33,96:96)+100</f>
        <v>100</v>
      </c>
      <c r="I33" s="460"/>
      <c r="J33" s="435">
        <f>SUMIF(95:95,I33,96:96)-SUMIF(95:95,C33,96:96)+100</f>
        <v>100</v>
      </c>
      <c r="K33" s="612"/>
      <c r="L33" s="1139"/>
      <c r="M33" s="1130"/>
      <c r="N33" s="1130"/>
      <c r="O33" s="1130"/>
      <c r="P33" s="3244"/>
      <c r="Q33" s="1808" t="str">
        <f t="shared" si="11"/>
        <v>是否直接入户</v>
      </c>
      <c r="R33" s="773" t="s">
        <v>17</v>
      </c>
      <c r="S33" s="774">
        <f t="shared" si="12"/>
        <v>100</v>
      </c>
      <c r="T33" s="773" t="s">
        <v>17</v>
      </c>
      <c r="U33" s="774">
        <f t="shared" si="13"/>
        <v>100</v>
      </c>
      <c r="V33" s="773" t="s">
        <v>17</v>
      </c>
      <c r="W33" s="774">
        <f t="shared" si="14"/>
        <v>100</v>
      </c>
      <c r="X33" s="1811"/>
      <c r="Y33" s="3244"/>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9"/>
      <c r="M34" s="1130"/>
      <c r="N34" s="1130"/>
      <c r="O34" s="1130"/>
      <c r="P34" s="3244"/>
      <c r="Q34" s="1808">
        <f t="shared" si="11"/>
        <v>111</v>
      </c>
      <c r="R34" s="773" t="s">
        <v>17</v>
      </c>
      <c r="S34" s="774">
        <f t="shared" si="12"/>
        <v>100</v>
      </c>
      <c r="T34" s="773" t="s">
        <v>17</v>
      </c>
      <c r="U34" s="774">
        <f t="shared" si="13"/>
        <v>100</v>
      </c>
      <c r="V34" s="773" t="s">
        <v>17</v>
      </c>
      <c r="W34" s="774">
        <f t="shared" si="14"/>
        <v>100</v>
      </c>
      <c r="X34" s="1811"/>
      <c r="Y34" s="3244"/>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7"/>
      <c r="M35" s="1140"/>
      <c r="N35" s="1140"/>
      <c r="O35" s="1140"/>
      <c r="P35" s="3244"/>
      <c r="Q35" s="775">
        <f t="shared" si="11"/>
        <v>111</v>
      </c>
      <c r="R35" s="776" t="s">
        <v>17</v>
      </c>
      <c r="S35" s="777">
        <f t="shared" si="12"/>
        <v>100</v>
      </c>
      <c r="T35" s="776" t="s">
        <v>17</v>
      </c>
      <c r="U35" s="777">
        <f t="shared" si="13"/>
        <v>100</v>
      </c>
      <c r="V35" s="776" t="s">
        <v>17</v>
      </c>
      <c r="W35" s="777">
        <f t="shared" si="14"/>
        <v>100</v>
      </c>
      <c r="X35" s="778"/>
      <c r="Y35" s="3244"/>
      <c r="Z35" s="779">
        <f t="shared" si="15"/>
        <v>111</v>
      </c>
      <c r="AA35" s="1809">
        <f t="shared" si="3"/>
        <v>1</v>
      </c>
      <c r="AB35" s="1809">
        <f t="shared" si="4"/>
        <v>1</v>
      </c>
      <c r="AC35" s="1809">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9"/>
      <c r="M36" s="1130"/>
      <c r="N36" s="1130"/>
      <c r="O36" s="1130"/>
      <c r="P36" s="3244"/>
      <c r="Q36" s="1808">
        <f t="shared" si="11"/>
        <v>111</v>
      </c>
      <c r="R36" s="773" t="s">
        <v>17</v>
      </c>
      <c r="S36" s="774">
        <f t="shared" si="12"/>
        <v>100</v>
      </c>
      <c r="T36" s="773" t="s">
        <v>17</v>
      </c>
      <c r="U36" s="774">
        <f t="shared" si="13"/>
        <v>100</v>
      </c>
      <c r="V36" s="773" t="s">
        <v>17</v>
      </c>
      <c r="W36" s="774">
        <f t="shared" si="14"/>
        <v>100</v>
      </c>
      <c r="X36" s="1811"/>
      <c r="Y36" s="3244"/>
      <c r="Z36" s="1812">
        <f t="shared" si="15"/>
        <v>111</v>
      </c>
      <c r="AA36" s="1809">
        <f t="shared" si="3"/>
        <v>1</v>
      </c>
      <c r="AB36" s="1809">
        <f t="shared" si="4"/>
        <v>1</v>
      </c>
      <c r="AC36" s="1809">
        <f t="shared" si="5"/>
        <v>1</v>
      </c>
    </row>
    <row r="37" spans="1:29" ht="15">
      <c r="A37" s="479" t="s">
        <v>2708</v>
      </c>
      <c r="B37" s="2690" t="s">
        <v>2709</v>
      </c>
      <c r="C37" s="1406" t="s">
        <v>1</v>
      </c>
      <c r="D37" s="1407"/>
      <c r="E37" s="1408"/>
      <c r="F37" s="1409"/>
      <c r="G37" s="1410"/>
      <c r="H37" s="1411"/>
      <c r="I37" s="1408"/>
      <c r="J37" s="1411"/>
      <c r="K37" s="619"/>
      <c r="L37" s="1142"/>
      <c r="M37" s="1143"/>
      <c r="N37" s="1130"/>
      <c r="O37" s="1143"/>
      <c r="P37" s="3246" t="str">
        <f>A37</f>
        <v>成交单价</v>
      </c>
      <c r="Q37" s="3246"/>
      <c r="R37" s="3247">
        <f>E37</f>
        <v>0</v>
      </c>
      <c r="S37" s="3247"/>
      <c r="T37" s="3247">
        <f>G37</f>
        <v>0</v>
      </c>
      <c r="U37" s="3247"/>
      <c r="V37" s="3247">
        <f>I37</f>
        <v>0</v>
      </c>
      <c r="W37" s="3247"/>
      <c r="X37" s="758"/>
      <c r="Y37" s="780"/>
      <c r="Z37" s="758"/>
      <c r="AA37" s="758"/>
      <c r="AB37" s="758"/>
      <c r="AC37" s="758"/>
    </row>
    <row r="38" spans="1:29" ht="15.75" thickBot="1">
      <c r="A38" s="486" t="s">
        <v>2710</v>
      </c>
      <c r="B38" s="487" t="str">
        <f>B37</f>
        <v>元/车位</v>
      </c>
      <c r="C38" s="1412" t="e">
        <f>R39</f>
        <v>#DIV/0!</v>
      </c>
      <c r="D38" s="1413"/>
      <c r="E38" s="1414" t="e">
        <f>R38</f>
        <v>#DIV/0!</v>
      </c>
      <c r="F38" s="1414"/>
      <c r="G38" s="1412" t="e">
        <f>T38</f>
        <v>#DIV/0!</v>
      </c>
      <c r="H38" s="1413"/>
      <c r="I38" s="1414" t="e">
        <f>V38</f>
        <v>#DIV/0!</v>
      </c>
      <c r="J38" s="1413"/>
      <c r="K38" s="620"/>
      <c r="L38" s="1142"/>
      <c r="M38" s="1143"/>
      <c r="N38" s="1143"/>
      <c r="O38" s="1143"/>
      <c r="P38" s="3246" t="str">
        <f>A38</f>
        <v>比较价值（元/平方米）</v>
      </c>
      <c r="Q38" s="3246"/>
      <c r="R38" s="3247" t="e">
        <f>IF(F1="售价",ROUND(PRODUCT(R37,AA7:AA36),0),ROUND(PRODUCT(R37,AA7:AA36),1))</f>
        <v>#DIV/0!</v>
      </c>
      <c r="S38" s="3247"/>
      <c r="T38" s="3247" t="e">
        <f>IF(F1="售价",ROUND(PRODUCT(T37,AB7:AB36),0),ROUND(PRODUCT(T37,AB7:AB36),1))</f>
        <v>#DIV/0!</v>
      </c>
      <c r="U38" s="3247"/>
      <c r="V38" s="3247" t="e">
        <f>IF(F1="售价",ROUND(PRODUCT(V37,AC7:AC36),0),ROUND(PRODUCT(V37,AC7:AC36),1))</f>
        <v>#DIV/0!</v>
      </c>
      <c r="W38" s="3247"/>
      <c r="X38" s="758"/>
      <c r="Y38" s="758"/>
      <c r="Z38" s="758"/>
      <c r="AA38" s="758"/>
      <c r="AB38" s="758"/>
      <c r="AC38" s="758"/>
    </row>
    <row r="39" spans="1:29" ht="15.75" thickBot="1">
      <c r="A39" s="492" t="s">
        <v>2711</v>
      </c>
      <c r="B39" s="493"/>
      <c r="C39" s="1416" t="e">
        <f>R39</f>
        <v>#DIV/0!</v>
      </c>
      <c r="D39" s="1416"/>
      <c r="E39" s="1416"/>
      <c r="F39" s="1416"/>
      <c r="G39" s="1416"/>
      <c r="H39" s="1416"/>
      <c r="I39" s="1416"/>
      <c r="J39" s="1416"/>
      <c r="K39" s="621"/>
      <c r="L39" s="1142"/>
      <c r="M39" s="1143"/>
      <c r="N39" s="1143"/>
      <c r="O39" s="1143"/>
      <c r="P39" s="3248" t="str">
        <f>A39</f>
        <v>估价对象XX用房的比较价值（楼面单价，元/平方米）</v>
      </c>
      <c r="Q39" s="3249"/>
      <c r="R39" s="3250" t="e">
        <f>IF(F1="售价",ROUND(AVERAGE(R38:V38),0),ROUND(AVERAGE(R38:V38),1))</f>
        <v>#DIV/0!</v>
      </c>
      <c r="S39" s="3250"/>
      <c r="T39" s="3250"/>
      <c r="U39" s="3250"/>
      <c r="V39" s="3250"/>
      <c r="W39" s="3250"/>
      <c r="X39" s="758"/>
      <c r="Y39" s="758"/>
      <c r="Z39" s="758"/>
      <c r="AA39" s="758"/>
      <c r="AB39" s="758"/>
      <c r="AC39" s="758"/>
    </row>
    <row r="40" spans="1:29">
      <c r="A40" s="1143"/>
      <c r="B40" s="1143"/>
      <c r="C40" s="1143"/>
      <c r="D40" s="1143"/>
      <c r="E40" s="1143"/>
      <c r="F40" s="1143"/>
      <c r="G40" s="1146"/>
      <c r="H40" s="1143"/>
      <c r="I40" s="1143"/>
      <c r="J40" s="1143"/>
      <c r="K40" s="1105"/>
      <c r="L40" s="1106"/>
      <c r="M40" s="1143"/>
      <c r="N40" s="1143"/>
      <c r="O40" s="1143"/>
      <c r="P40" s="1419"/>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5"/>
      <c r="L41" s="1106"/>
      <c r="M41" s="1143"/>
      <c r="N41" s="1143"/>
      <c r="O41" s="1143"/>
      <c r="P41" s="1419"/>
      <c r="Q41" s="1143"/>
      <c r="R41" s="1143"/>
      <c r="S41" s="1143"/>
      <c r="T41" s="1143"/>
      <c r="U41" s="1143"/>
      <c r="V41" s="1143"/>
      <c r="W41" s="1143"/>
      <c r="X41" s="1143"/>
      <c r="Y41" s="1143"/>
      <c r="Z41" s="1143"/>
      <c r="AA41" s="1143"/>
      <c r="AB41" s="1143"/>
      <c r="AC41" s="1143"/>
    </row>
    <row r="42" spans="1:29" ht="13.5" customHeight="1">
      <c r="A42" s="1143"/>
      <c r="B42" s="1143"/>
      <c r="C42" s="497" t="s">
        <v>2712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3"/>
      <c r="N42" s="1143"/>
      <c r="O42" s="1143"/>
      <c r="P42" s="1419"/>
      <c r="Q42" s="1143"/>
      <c r="R42" s="1143"/>
      <c r="S42" s="1143"/>
      <c r="T42" s="1143"/>
      <c r="U42" s="1143"/>
      <c r="V42" s="1143"/>
      <c r="W42" s="1143"/>
      <c r="X42" s="1143"/>
      <c r="Y42" s="1143"/>
      <c r="Z42" s="1143"/>
      <c r="AA42" s="1143"/>
      <c r="AB42" s="1143"/>
      <c r="AC42" s="1143"/>
    </row>
    <row r="43" spans="1:29" ht="13.5" customHeight="1">
      <c r="A43" s="1143"/>
      <c r="B43" s="1143"/>
      <c r="C43" s="497" t="s">
        <v>2713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3"/>
      <c r="N43" s="1143"/>
      <c r="O43" s="1143"/>
      <c r="P43" s="1419"/>
      <c r="Q43" s="1143"/>
      <c r="R43" s="1143"/>
      <c r="S43" s="1143"/>
      <c r="T43" s="1143"/>
      <c r="U43" s="1143"/>
      <c r="V43" s="1143"/>
      <c r="W43" s="1143"/>
      <c r="X43" s="1143"/>
      <c r="Y43" s="1143"/>
      <c r="Z43" s="1143"/>
      <c r="AA43" s="1143"/>
      <c r="AB43" s="1143"/>
      <c r="AC43" s="1143"/>
    </row>
    <row r="44" spans="1:29" s="502" customFormat="1" ht="13.5" customHeight="1">
      <c r="A44" s="1144"/>
      <c r="B44" s="1144"/>
      <c r="C44" s="497" t="s">
        <v>2714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7"/>
      <c r="L44" s="1148"/>
      <c r="M44" s="1144"/>
      <c r="N44" s="1144"/>
      <c r="O44" s="1144"/>
      <c r="P44" s="1420"/>
      <c r="Q44" s="1144"/>
      <c r="R44" s="1144"/>
      <c r="S44" s="1144"/>
      <c r="T44" s="1144"/>
      <c r="U44" s="1144"/>
      <c r="V44" s="1144"/>
      <c r="W44" s="1144"/>
      <c r="X44" s="1144"/>
      <c r="Y44" s="1144"/>
      <c r="Z44" s="1144"/>
      <c r="AA44" s="1144"/>
      <c r="AB44" s="1144"/>
      <c r="AC44" s="1144"/>
    </row>
    <row r="45" spans="1:29" s="502" customFormat="1">
      <c r="A45" s="1144"/>
      <c r="B45" s="1145"/>
      <c r="C45" s="1149"/>
      <c r="D45" s="1144"/>
      <c r="E45" s="1144"/>
      <c r="F45" s="1144"/>
      <c r="G45" s="1144"/>
      <c r="H45" s="1144"/>
      <c r="I45" s="1144"/>
      <c r="J45" s="1144"/>
      <c r="K45" s="1147"/>
      <c r="L45" s="1148"/>
      <c r="M45" s="1144"/>
      <c r="N45" s="1144"/>
      <c r="O45" s="1144"/>
      <c r="P45" s="1420"/>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5"/>
      <c r="L46" s="1106"/>
      <c r="M46" s="1143"/>
      <c r="N46" s="1143"/>
      <c r="O46" s="1143"/>
      <c r="P46" s="1419"/>
      <c r="Q46" s="1143"/>
      <c r="R46" s="1143"/>
      <c r="S46" s="1143"/>
      <c r="T46" s="1143"/>
      <c r="U46" s="1143"/>
      <c r="V46" s="1143"/>
      <c r="W46" s="1143"/>
      <c r="X46" s="1143"/>
      <c r="Y46" s="1143"/>
      <c r="Z46" s="1143"/>
      <c r="AA46" s="1143"/>
      <c r="AB46" s="1143"/>
      <c r="AC46" s="1143"/>
    </row>
    <row r="47" spans="1:29" ht="21.75" thickBot="1">
      <c r="A47" s="1423" t="s">
        <v>2715</v>
      </c>
      <c r="B47" s="1143"/>
      <c r="C47" s="1158"/>
      <c r="D47" s="1158"/>
      <c r="E47" s="1158"/>
      <c r="F47" s="1424"/>
      <c r="G47" s="1424"/>
      <c r="H47" s="1158"/>
      <c r="I47" s="1158"/>
      <c r="J47" s="1158"/>
      <c r="K47" s="1159"/>
      <c r="L47" s="1160"/>
      <c r="M47" s="1158"/>
      <c r="N47" s="1158"/>
      <c r="O47" s="1158"/>
      <c r="P47" s="1421"/>
      <c r="Q47" s="1422"/>
      <c r="R47" s="1143"/>
      <c r="S47" s="1143"/>
      <c r="T47" s="1143"/>
      <c r="U47" s="1143"/>
      <c r="V47" s="1143"/>
      <c r="W47" s="1143"/>
      <c r="X47" s="1143"/>
      <c r="Y47" s="1143"/>
      <c r="Z47" s="1143"/>
      <c r="AA47" s="1143"/>
      <c r="AB47" s="1143"/>
      <c r="AC47" s="1143"/>
    </row>
    <row r="48" spans="1:29" s="508" customFormat="1" ht="15">
      <c r="A48" s="505" t="s">
        <v>2716</v>
      </c>
      <c r="B48" s="506"/>
      <c r="C48" s="1573" t="str">
        <f>YEAR(C7)&amp;"-"&amp;MONTH(C7)</f>
        <v>2018-2</v>
      </c>
      <c r="D48" s="1574">
        <f>EDATE(C48,-1)</f>
        <v>43101</v>
      </c>
      <c r="E48" s="1574">
        <f t="shared" ref="E48:O48" si="16">EDATE(D48,-1)</f>
        <v>43070</v>
      </c>
      <c r="F48" s="1574">
        <f t="shared" si="16"/>
        <v>43040</v>
      </c>
      <c r="G48" s="1574">
        <f t="shared" si="16"/>
        <v>43009</v>
      </c>
      <c r="H48" s="1574">
        <f t="shared" si="16"/>
        <v>42979</v>
      </c>
      <c r="I48" s="1574">
        <f t="shared" si="16"/>
        <v>42948</v>
      </c>
      <c r="J48" s="1574">
        <f t="shared" si="16"/>
        <v>42917</v>
      </c>
      <c r="K48" s="1574">
        <f t="shared" si="16"/>
        <v>42887</v>
      </c>
      <c r="L48" s="1574">
        <f t="shared" si="16"/>
        <v>42856</v>
      </c>
      <c r="M48" s="1574">
        <f t="shared" si="16"/>
        <v>42826</v>
      </c>
      <c r="N48" s="1574">
        <f t="shared" si="16"/>
        <v>42795</v>
      </c>
      <c r="O48" s="1574">
        <f t="shared" si="16"/>
        <v>42767</v>
      </c>
      <c r="P48" s="1437"/>
      <c r="Q48" s="1438"/>
      <c r="R48" s="1438"/>
      <c r="S48" s="1438"/>
      <c r="T48" s="1438"/>
      <c r="U48" s="1438"/>
      <c r="V48" s="1438"/>
      <c r="W48" s="1438"/>
      <c r="X48" s="1438"/>
      <c r="Y48" s="1438"/>
      <c r="Z48" s="1438"/>
      <c r="AA48" s="1438"/>
      <c r="AB48" s="1438"/>
      <c r="AC48" s="1438"/>
    </row>
    <row r="49" spans="1:29" s="117" customFormat="1" ht="15">
      <c r="A49" s="509"/>
      <c r="B49" s="510"/>
      <c r="C49" s="1565">
        <v>100</v>
      </c>
      <c r="D49" s="512"/>
      <c r="E49" s="512"/>
      <c r="F49" s="512"/>
      <c r="G49" s="512"/>
      <c r="H49" s="512"/>
      <c r="I49" s="512"/>
      <c r="J49" s="512"/>
      <c r="K49" s="512"/>
      <c r="L49" s="512"/>
      <c r="M49" s="513"/>
      <c r="N49" s="512"/>
      <c r="O49" s="513"/>
      <c r="P49" s="1427"/>
      <c r="Q49" s="1426"/>
      <c r="R49" s="1426"/>
      <c r="S49" s="1426"/>
      <c r="T49" s="1426"/>
      <c r="U49" s="1426"/>
      <c r="V49" s="1426"/>
      <c r="W49" s="1426"/>
      <c r="X49" s="1426"/>
      <c r="Y49" s="1426"/>
      <c r="Z49" s="1426"/>
      <c r="AA49" s="1426"/>
      <c r="AB49" s="1426"/>
      <c r="AC49" s="1426"/>
    </row>
    <row r="50" spans="1:29" s="117" customFormat="1" ht="15.75" thickBot="1">
      <c r="A50" s="515" t="s">
        <v>2573</v>
      </c>
      <c r="B50" s="516"/>
      <c r="C50" s="517"/>
      <c r="D50" s="518"/>
      <c r="E50" s="518"/>
      <c r="F50" s="518"/>
      <c r="G50" s="518"/>
      <c r="H50" s="518"/>
      <c r="I50" s="518"/>
      <c r="J50" s="518"/>
      <c r="K50" s="518"/>
      <c r="L50" s="518"/>
      <c r="M50" s="519"/>
      <c r="N50" s="518"/>
      <c r="O50" s="519"/>
      <c r="P50" s="1427"/>
      <c r="Q50" s="1422"/>
      <c r="R50" s="1426"/>
      <c r="S50" s="1426"/>
      <c r="T50" s="1426"/>
      <c r="U50" s="1426"/>
      <c r="V50" s="1426"/>
      <c r="W50" s="1426"/>
      <c r="X50" s="1426"/>
      <c r="Y50" s="1426"/>
      <c r="Z50" s="1426"/>
      <c r="AA50" s="1426"/>
      <c r="AB50" s="1426"/>
      <c r="AC50" s="1426"/>
    </row>
    <row r="51" spans="1:29" s="117" customFormat="1" ht="15">
      <c r="A51" s="521" t="s">
        <v>2538</v>
      </c>
      <c r="B51" s="510"/>
      <c r="C51" s="522" t="s">
        <v>2640</v>
      </c>
      <c r="D51" s="523"/>
      <c r="E51" s="523"/>
      <c r="F51" s="523"/>
      <c r="G51" s="523"/>
      <c r="H51" s="523"/>
      <c r="I51" s="523"/>
      <c r="J51" s="523"/>
      <c r="K51" s="523"/>
      <c r="L51" s="524"/>
      <c r="M51" s="525"/>
      <c r="N51" s="1150"/>
      <c r="O51" s="1150"/>
      <c r="P51" s="1425"/>
      <c r="Q51" s="1422"/>
      <c r="R51" s="1426"/>
      <c r="S51" s="1426"/>
      <c r="T51" s="1426"/>
      <c r="U51" s="1426"/>
      <c r="V51" s="1426"/>
      <c r="W51" s="1426"/>
      <c r="X51" s="1426"/>
      <c r="Y51" s="1426"/>
      <c r="Z51" s="1426"/>
      <c r="AA51" s="1426"/>
      <c r="AB51" s="1426"/>
      <c r="AC51" s="1426"/>
    </row>
    <row r="52" spans="1:29" s="117" customFormat="1" ht="15.75" thickBot="1">
      <c r="A52" s="521"/>
      <c r="B52" s="510"/>
      <c r="C52" s="639">
        <v>100</v>
      </c>
      <c r="D52" s="512"/>
      <c r="E52" s="512"/>
      <c r="F52" s="512"/>
      <c r="G52" s="512"/>
      <c r="H52" s="512"/>
      <c r="I52" s="512"/>
      <c r="J52" s="512"/>
      <c r="K52" s="512"/>
      <c r="L52" s="512"/>
      <c r="M52" s="514"/>
      <c r="N52" s="1150"/>
      <c r="O52" s="1150"/>
      <c r="P52" s="1427"/>
      <c r="Q52" s="1422"/>
      <c r="R52" s="1426"/>
      <c r="S52" s="1426"/>
      <c r="T52" s="1426"/>
      <c r="U52" s="1426"/>
      <c r="V52" s="1426"/>
      <c r="W52" s="1426"/>
      <c r="X52" s="1426"/>
      <c r="Y52" s="1426"/>
      <c r="Z52" s="1426"/>
      <c r="AA52" s="1426"/>
      <c r="AB52" s="1426"/>
      <c r="AC52" s="1426"/>
    </row>
    <row r="53" spans="1:29">
      <c r="A53" s="527" t="s">
        <v>2576</v>
      </c>
      <c r="B53" s="528" t="s">
        <v>2542</v>
      </c>
      <c r="C53" s="529">
        <f>C9</f>
        <v>0</v>
      </c>
      <c r="D53" s="530"/>
      <c r="E53" s="530"/>
      <c r="F53" s="530"/>
      <c r="G53" s="530"/>
      <c r="H53" s="530"/>
      <c r="I53" s="530"/>
      <c r="J53" s="530"/>
      <c r="K53" s="531"/>
      <c r="L53" s="532"/>
      <c r="M53" s="533"/>
      <c r="N53" s="1151"/>
      <c r="O53" s="1151"/>
      <c r="P53" s="1428"/>
      <c r="Q53" s="1422"/>
      <c r="R53" s="1143"/>
      <c r="S53" s="1143"/>
      <c r="T53" s="1143"/>
      <c r="U53" s="1143"/>
      <c r="V53" s="1143"/>
      <c r="W53" s="1143"/>
      <c r="X53" s="1143"/>
      <c r="Y53" s="1143"/>
      <c r="Z53" s="1143"/>
      <c r="AA53" s="1143"/>
      <c r="AB53" s="1143"/>
      <c r="AC53" s="1143"/>
    </row>
    <row r="54" spans="1:29" ht="15.75" thickBot="1">
      <c r="A54" s="534"/>
      <c r="B54" s="535"/>
      <c r="C54" s="536">
        <v>100</v>
      </c>
      <c r="D54" s="536"/>
      <c r="E54" s="536"/>
      <c r="F54" s="536"/>
      <c r="G54" s="536"/>
      <c r="H54" s="536"/>
      <c r="I54" s="536"/>
      <c r="J54" s="536"/>
      <c r="K54" s="536"/>
      <c r="L54" s="536"/>
      <c r="M54" s="537"/>
      <c r="N54" s="1152"/>
      <c r="O54" s="1152"/>
      <c r="P54" s="1428"/>
      <c r="Q54" s="1422"/>
      <c r="R54" s="1143"/>
      <c r="S54" s="1143"/>
      <c r="T54" s="1143"/>
      <c r="U54" s="1143"/>
      <c r="V54" s="1143"/>
      <c r="W54" s="1143"/>
      <c r="X54" s="1143"/>
      <c r="Y54" s="1143"/>
      <c r="Z54" s="1143"/>
      <c r="AA54" s="1143"/>
      <c r="AB54" s="1143"/>
      <c r="AC54" s="1143"/>
    </row>
    <row r="55" spans="1:29" ht="27.75" thickTop="1">
      <c r="A55" s="534"/>
      <c r="B55" s="538" t="s">
        <v>2545</v>
      </c>
      <c r="C55" s="539" t="s">
        <v>2577</v>
      </c>
      <c r="D55" s="539" t="s">
        <v>2578</v>
      </c>
      <c r="E55" s="539" t="s">
        <v>2579</v>
      </c>
      <c r="F55" s="539" t="s">
        <v>2580</v>
      </c>
      <c r="G55" s="539" t="s">
        <v>2581</v>
      </c>
      <c r="H55" s="539" t="s">
        <v>2582</v>
      </c>
      <c r="I55" s="539" t="s">
        <v>2583</v>
      </c>
      <c r="J55" s="539"/>
      <c r="K55" s="540"/>
      <c r="L55" s="541"/>
      <c r="M55" s="542"/>
      <c r="N55" s="1151"/>
      <c r="O55" s="1151"/>
      <c r="P55" s="1428"/>
      <c r="Q55" s="1422"/>
      <c r="R55" s="1143"/>
      <c r="S55" s="1143"/>
      <c r="T55" s="1143"/>
      <c r="U55" s="1143"/>
      <c r="V55" s="1143"/>
      <c r="W55" s="1143"/>
      <c r="X55" s="1143"/>
      <c r="Y55" s="1143"/>
      <c r="Z55" s="1143"/>
      <c r="AA55" s="1143"/>
      <c r="AB55" s="1143"/>
      <c r="AC55" s="1143"/>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2"/>
      <c r="O56" s="1152"/>
      <c r="P56" s="1428"/>
      <c r="Q56" s="1422"/>
      <c r="R56" s="1143"/>
      <c r="S56" s="1143"/>
      <c r="T56" s="1143"/>
      <c r="U56" s="1143"/>
      <c r="V56" s="1143"/>
      <c r="W56" s="1143"/>
      <c r="X56" s="1143"/>
      <c r="Y56" s="1143"/>
      <c r="Z56" s="1143"/>
      <c r="AA56" s="1143"/>
      <c r="AB56" s="1143"/>
      <c r="AC56" s="1143"/>
    </row>
    <row r="57" spans="1:29" ht="15.75" thickTop="1">
      <c r="A57" s="534"/>
      <c r="B57" s="660">
        <f>B11</f>
        <v>111</v>
      </c>
      <c r="C57" s="549"/>
      <c r="D57" s="549"/>
      <c r="E57" s="549"/>
      <c r="F57" s="549"/>
      <c r="G57" s="549"/>
      <c r="H57" s="549"/>
      <c r="I57" s="549"/>
      <c r="J57" s="549"/>
      <c r="K57" s="550"/>
      <c r="L57" s="551"/>
      <c r="M57" s="552"/>
      <c r="N57" s="1151"/>
      <c r="O57" s="1151"/>
      <c r="P57" s="1428"/>
      <c r="Q57" s="1422"/>
      <c r="R57" s="1143"/>
      <c r="S57" s="1143"/>
      <c r="T57" s="1143"/>
      <c r="U57" s="1143"/>
      <c r="V57" s="1143"/>
      <c r="W57" s="1143"/>
      <c r="X57" s="1143"/>
      <c r="Y57" s="1143"/>
      <c r="Z57" s="1143"/>
      <c r="AA57" s="1143"/>
      <c r="AB57" s="1143"/>
      <c r="AC57" s="1143"/>
    </row>
    <row r="58" spans="1:29" ht="15.75" thickBot="1">
      <c r="A58" s="534"/>
      <c r="B58" s="535"/>
      <c r="C58" s="560"/>
      <c r="D58" s="536"/>
      <c r="E58" s="536"/>
      <c r="F58" s="536"/>
      <c r="G58" s="536"/>
      <c r="H58" s="536"/>
      <c r="I58" s="536"/>
      <c r="J58" s="536"/>
      <c r="K58" s="536"/>
      <c r="L58" s="536"/>
      <c r="M58" s="537"/>
      <c r="N58" s="1152"/>
      <c r="O58" s="1152"/>
      <c r="P58" s="1428"/>
      <c r="Q58" s="1422"/>
      <c r="R58" s="1143"/>
      <c r="S58" s="1143"/>
      <c r="T58" s="1143"/>
      <c r="U58" s="1143"/>
      <c r="V58" s="1143"/>
      <c r="W58" s="1143"/>
      <c r="X58" s="1143"/>
      <c r="Y58" s="1143"/>
      <c r="Z58" s="1143"/>
      <c r="AA58" s="1143"/>
      <c r="AB58" s="1143"/>
      <c r="AC58" s="1143"/>
    </row>
    <row r="59" spans="1:29" s="471" customFormat="1" ht="15.75" thickTop="1">
      <c r="A59" s="553"/>
      <c r="B59" s="538">
        <f>B12</f>
        <v>111</v>
      </c>
      <c r="C59" s="549"/>
      <c r="D59" s="549"/>
      <c r="E59" s="549"/>
      <c r="F59" s="549"/>
      <c r="G59" s="554"/>
      <c r="H59" s="555"/>
      <c r="I59" s="555"/>
      <c r="J59" s="555"/>
      <c r="K59" s="555"/>
      <c r="L59" s="556"/>
      <c r="M59" s="557"/>
      <c r="N59" s="1153"/>
      <c r="O59" s="1153"/>
      <c r="P59" s="1429"/>
      <c r="Q59" s="1430"/>
      <c r="R59" s="1431"/>
      <c r="S59" s="1431"/>
      <c r="T59" s="1431"/>
      <c r="U59" s="1431"/>
      <c r="V59" s="1431"/>
      <c r="W59" s="1431"/>
      <c r="X59" s="1431"/>
      <c r="Y59" s="1431"/>
      <c r="Z59" s="1431"/>
      <c r="AA59" s="1431"/>
      <c r="AB59" s="1431"/>
      <c r="AC59" s="1431"/>
    </row>
    <row r="60" spans="1:29" s="471" customFormat="1" ht="15.75" thickBot="1">
      <c r="A60" s="553"/>
      <c r="B60" s="543"/>
      <c r="C60" s="560"/>
      <c r="D60" s="536"/>
      <c r="E60" s="536"/>
      <c r="F60" s="536"/>
      <c r="G60" s="536"/>
      <c r="H60" s="536"/>
      <c r="I60" s="536"/>
      <c r="J60" s="536"/>
      <c r="K60" s="536"/>
      <c r="L60" s="536"/>
      <c r="M60" s="537"/>
      <c r="N60" s="1152"/>
      <c r="O60" s="1152"/>
      <c r="P60" s="1429"/>
      <c r="Q60" s="1430"/>
      <c r="R60" s="1431"/>
      <c r="S60" s="1431"/>
      <c r="T60" s="1431"/>
      <c r="U60" s="1431"/>
      <c r="V60" s="1431"/>
      <c r="W60" s="1431"/>
      <c r="X60" s="1431"/>
      <c r="Y60" s="1431"/>
      <c r="Z60" s="1431"/>
      <c r="AA60" s="1431"/>
      <c r="AB60" s="1431"/>
      <c r="AC60" s="1431"/>
    </row>
    <row r="61" spans="1:29" s="471" customFormat="1" ht="15.75" thickTop="1">
      <c r="A61" s="553"/>
      <c r="B61" s="538">
        <f>B13</f>
        <v>111</v>
      </c>
      <c r="C61" s="554"/>
      <c r="D61" s="554"/>
      <c r="E61" s="554"/>
      <c r="F61" s="554"/>
      <c r="G61" s="554"/>
      <c r="H61" s="555"/>
      <c r="I61" s="555"/>
      <c r="J61" s="555"/>
      <c r="K61" s="555"/>
      <c r="L61" s="556"/>
      <c r="M61" s="557"/>
      <c r="N61" s="1153"/>
      <c r="O61" s="1153"/>
      <c r="P61" s="1432"/>
      <c r="Q61" s="1433"/>
      <c r="R61" s="1431"/>
      <c r="S61" s="1431"/>
      <c r="T61" s="1431"/>
      <c r="U61" s="1431"/>
      <c r="V61" s="1431"/>
      <c r="W61" s="1431"/>
      <c r="X61" s="1431"/>
      <c r="Y61" s="1431"/>
      <c r="Z61" s="1431"/>
      <c r="AA61" s="1431"/>
      <c r="AB61" s="1431"/>
      <c r="AC61" s="1431"/>
    </row>
    <row r="62" spans="1:29" s="471" customFormat="1" ht="15.75" thickBot="1">
      <c r="A62" s="553"/>
      <c r="B62" s="543"/>
      <c r="C62" s="560"/>
      <c r="D62" s="560"/>
      <c r="E62" s="560"/>
      <c r="F62" s="560"/>
      <c r="G62" s="560"/>
      <c r="H62" s="562"/>
      <c r="I62" s="562"/>
      <c r="J62" s="562"/>
      <c r="K62" s="562"/>
      <c r="L62" s="562"/>
      <c r="M62" s="563"/>
      <c r="N62" s="1153"/>
      <c r="O62" s="1153"/>
      <c r="P62" s="1429"/>
      <c r="Q62" s="1430"/>
      <c r="R62" s="1431"/>
      <c r="S62" s="1431"/>
      <c r="T62" s="1431"/>
      <c r="U62" s="1431"/>
      <c r="V62" s="1431"/>
      <c r="W62" s="1431"/>
      <c r="X62" s="1431"/>
      <c r="Y62" s="1431"/>
      <c r="Z62" s="1431"/>
      <c r="AA62" s="1431"/>
      <c r="AB62" s="1431"/>
      <c r="AC62" s="1431"/>
    </row>
    <row r="63" spans="1:29" ht="15" thickTop="1">
      <c r="A63" s="527" t="s">
        <v>2547</v>
      </c>
      <c r="B63" s="528" t="s">
        <v>2590</v>
      </c>
      <c r="C63" s="573" t="s">
        <v>2585</v>
      </c>
      <c r="D63" s="573" t="s">
        <v>2586</v>
      </c>
      <c r="E63" s="573" t="s">
        <v>2587</v>
      </c>
      <c r="F63" s="573" t="s">
        <v>2588</v>
      </c>
      <c r="G63" s="573" t="s">
        <v>2589</v>
      </c>
      <c r="H63" s="529"/>
      <c r="I63" s="529"/>
      <c r="J63" s="529"/>
      <c r="K63" s="574"/>
      <c r="L63" s="575"/>
      <c r="M63" s="576"/>
      <c r="N63" s="1151"/>
      <c r="O63" s="1151"/>
      <c r="P63" s="1434"/>
      <c r="Q63" s="1422"/>
      <c r="R63" s="1143"/>
      <c r="S63" s="1143"/>
      <c r="T63" s="1143"/>
      <c r="U63" s="1143"/>
      <c r="V63" s="1143"/>
      <c r="W63" s="1143"/>
      <c r="X63" s="1143"/>
      <c r="Y63" s="1143"/>
      <c r="Z63" s="1143"/>
      <c r="AA63" s="1143"/>
      <c r="AB63" s="1143"/>
      <c r="AC63" s="1143"/>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2"/>
      <c r="O64" s="1152"/>
      <c r="P64" s="1428"/>
      <c r="Q64" s="1422"/>
      <c r="R64" s="1143"/>
      <c r="S64" s="1143"/>
      <c r="T64" s="1143"/>
      <c r="U64" s="1143"/>
      <c r="V64" s="1143"/>
      <c r="W64" s="1143"/>
      <c r="X64" s="1143"/>
      <c r="Y64" s="1143"/>
      <c r="Z64" s="1143"/>
      <c r="AA64" s="1143"/>
      <c r="AB64" s="1143"/>
      <c r="AC64" s="1143"/>
    </row>
    <row r="65" spans="1:29" ht="15.75" thickTop="1">
      <c r="A65" s="534"/>
      <c r="B65" s="538" t="s">
        <v>2591</v>
      </c>
      <c r="C65" s="578" t="s">
        <v>2585</v>
      </c>
      <c r="D65" s="578" t="s">
        <v>2586</v>
      </c>
      <c r="E65" s="578" t="s">
        <v>2587</v>
      </c>
      <c r="F65" s="578" t="s">
        <v>2588</v>
      </c>
      <c r="G65" s="578" t="s">
        <v>2589</v>
      </c>
      <c r="H65" s="539"/>
      <c r="I65" s="539"/>
      <c r="J65" s="539"/>
      <c r="K65" s="540"/>
      <c r="L65" s="541"/>
      <c r="M65" s="542"/>
      <c r="N65" s="1151"/>
      <c r="O65" s="1151"/>
      <c r="P65" s="1428"/>
      <c r="Q65" s="1422"/>
      <c r="R65" s="1143"/>
      <c r="S65" s="1143"/>
      <c r="T65" s="1143"/>
      <c r="U65" s="1143"/>
      <c r="V65" s="1143"/>
      <c r="W65" s="1143"/>
      <c r="X65" s="1143"/>
      <c r="Y65" s="1143"/>
      <c r="Z65" s="1143"/>
      <c r="AA65" s="1143"/>
      <c r="AB65" s="1143"/>
      <c r="AC65" s="1143"/>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2"/>
      <c r="O66" s="1152"/>
      <c r="P66" s="1428"/>
      <c r="Q66" s="1422"/>
      <c r="R66" s="1143"/>
      <c r="S66" s="1143"/>
      <c r="T66" s="1143"/>
      <c r="U66" s="1143"/>
      <c r="V66" s="1143"/>
      <c r="W66" s="1143"/>
      <c r="X66" s="1143"/>
      <c r="Y66" s="1143"/>
      <c r="Z66" s="1143"/>
      <c r="AA66" s="1143"/>
      <c r="AB66" s="1143"/>
      <c r="AC66" s="1143"/>
    </row>
    <row r="67" spans="1:29" ht="15.75" thickTop="1">
      <c r="A67" s="534"/>
      <c r="B67" s="546" t="s">
        <v>2677</v>
      </c>
      <c r="C67" s="660" t="s">
        <v>2663</v>
      </c>
      <c r="D67" s="660" t="s">
        <v>2664</v>
      </c>
      <c r="E67" s="660" t="s">
        <v>2665</v>
      </c>
      <c r="F67" s="660" t="s">
        <v>2666</v>
      </c>
      <c r="G67" s="660" t="s">
        <v>2667</v>
      </c>
      <c r="H67" s="539"/>
      <c r="I67" s="539"/>
      <c r="J67" s="539"/>
      <c r="K67" s="539"/>
      <c r="L67" s="539"/>
      <c r="M67" s="1381"/>
      <c r="N67" s="1152"/>
      <c r="O67" s="1152"/>
      <c r="P67" s="1428"/>
      <c r="Q67" s="1422"/>
      <c r="R67" s="1143"/>
      <c r="S67" s="1143"/>
      <c r="T67" s="1143"/>
      <c r="U67" s="1143"/>
      <c r="V67" s="1143"/>
      <c r="W67" s="1143"/>
      <c r="X67" s="1143"/>
      <c r="Y67" s="1143"/>
      <c r="Z67" s="1143"/>
      <c r="AA67" s="1143"/>
      <c r="AB67" s="1143"/>
      <c r="AC67" s="1143"/>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2"/>
      <c r="O68" s="1152"/>
      <c r="P68" s="1428"/>
      <c r="Q68" s="1422"/>
      <c r="R68" s="1143"/>
      <c r="S68" s="1143"/>
      <c r="T68" s="1143"/>
      <c r="U68" s="1143"/>
      <c r="V68" s="1143"/>
      <c r="W68" s="1143"/>
      <c r="X68" s="1143"/>
      <c r="Y68" s="1143"/>
      <c r="Z68" s="1143"/>
      <c r="AA68" s="1143"/>
      <c r="AB68" s="1143"/>
      <c r="AC68" s="1143"/>
    </row>
    <row r="69" spans="1:29" ht="15.75" thickTop="1">
      <c r="A69" s="534"/>
      <c r="B69" s="538" t="s">
        <v>2597</v>
      </c>
      <c r="C69" s="578" t="s">
        <v>2585</v>
      </c>
      <c r="D69" s="578" t="s">
        <v>2586</v>
      </c>
      <c r="E69" s="578" t="s">
        <v>2587</v>
      </c>
      <c r="F69" s="578" t="s">
        <v>2588</v>
      </c>
      <c r="G69" s="578" t="s">
        <v>2589</v>
      </c>
      <c r="H69" s="539"/>
      <c r="I69" s="539"/>
      <c r="J69" s="539"/>
      <c r="K69" s="540"/>
      <c r="L69" s="541"/>
      <c r="M69" s="542"/>
      <c r="N69" s="1151"/>
      <c r="O69" s="1151"/>
      <c r="P69" s="1428"/>
      <c r="Q69" s="1422"/>
      <c r="R69" s="1143"/>
      <c r="S69" s="1143"/>
      <c r="T69" s="1143"/>
      <c r="U69" s="1143"/>
      <c r="V69" s="1143"/>
      <c r="W69" s="1143"/>
      <c r="X69" s="1143"/>
      <c r="Y69" s="1143"/>
      <c r="Z69" s="1143"/>
      <c r="AA69" s="1143"/>
      <c r="AB69" s="1143"/>
      <c r="AC69" s="1143"/>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2"/>
      <c r="O70" s="1152"/>
      <c r="P70" s="1428"/>
      <c r="Q70" s="1422"/>
      <c r="R70" s="1143"/>
      <c r="S70" s="1143"/>
      <c r="T70" s="1143"/>
      <c r="U70" s="1143"/>
      <c r="V70" s="1143"/>
      <c r="W70" s="1143"/>
      <c r="X70" s="1143"/>
      <c r="Y70" s="1143"/>
      <c r="Z70" s="1143"/>
      <c r="AA70" s="1143"/>
      <c r="AB70" s="1143"/>
      <c r="AC70" s="1143"/>
    </row>
    <row r="71" spans="1:29" ht="15.75" thickTop="1">
      <c r="A71" s="534"/>
      <c r="B71" s="538" t="s">
        <v>2717</v>
      </c>
      <c r="C71" s="554"/>
      <c r="D71" s="554"/>
      <c r="E71" s="554"/>
      <c r="F71" s="554"/>
      <c r="G71" s="554"/>
      <c r="H71" s="583"/>
      <c r="I71" s="583"/>
      <c r="J71" s="583"/>
      <c r="K71" s="584"/>
      <c r="L71" s="585"/>
      <c r="M71" s="586"/>
      <c r="N71" s="1151"/>
      <c r="O71" s="1151"/>
      <c r="P71" s="1428"/>
      <c r="Q71" s="1422"/>
      <c r="R71" s="1143"/>
      <c r="S71" s="1143"/>
      <c r="T71" s="1143"/>
      <c r="U71" s="1143"/>
      <c r="V71" s="1143"/>
      <c r="W71" s="1143"/>
      <c r="X71" s="1143"/>
      <c r="Y71" s="1143"/>
      <c r="Z71" s="1143"/>
      <c r="AA71" s="1143"/>
      <c r="AB71" s="1143"/>
      <c r="AC71" s="1143"/>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2"/>
      <c r="O72" s="1152"/>
      <c r="P72" s="1428"/>
      <c r="Q72" s="1422"/>
      <c r="R72" s="1143"/>
      <c r="S72" s="1143"/>
      <c r="T72" s="1143"/>
      <c r="U72" s="1143"/>
      <c r="V72" s="1143"/>
      <c r="W72" s="1143"/>
      <c r="X72" s="1143"/>
      <c r="Y72" s="1143"/>
      <c r="Z72" s="1143"/>
      <c r="AA72" s="1143"/>
      <c r="AB72" s="1143"/>
      <c r="AC72" s="1143"/>
    </row>
    <row r="73" spans="1:29" s="117" customFormat="1" ht="15.75" thickTop="1">
      <c r="A73" s="579"/>
      <c r="B73" s="538">
        <f>B23</f>
        <v>111</v>
      </c>
      <c r="C73" s="549"/>
      <c r="D73" s="549"/>
      <c r="E73" s="549"/>
      <c r="F73" s="549"/>
      <c r="G73" s="554"/>
      <c r="H73" s="554"/>
      <c r="I73" s="554"/>
      <c r="J73" s="554"/>
      <c r="K73" s="554"/>
      <c r="L73" s="580"/>
      <c r="M73" s="581"/>
      <c r="N73" s="1150"/>
      <c r="O73" s="1150"/>
      <c r="P73" s="1428"/>
      <c r="Q73" s="1422"/>
      <c r="R73" s="1426"/>
      <c r="S73" s="1426"/>
      <c r="T73" s="1426"/>
      <c r="U73" s="1426"/>
      <c r="V73" s="1426"/>
      <c r="W73" s="1426"/>
      <c r="X73" s="1426"/>
      <c r="Y73" s="1426"/>
      <c r="Z73" s="1426"/>
      <c r="AA73" s="1426"/>
      <c r="AB73" s="1426"/>
      <c r="AC73" s="1426"/>
    </row>
    <row r="74" spans="1:29" s="117" customFormat="1" ht="15.75" thickBot="1">
      <c r="A74" s="579"/>
      <c r="B74" s="543"/>
      <c r="C74" s="560"/>
      <c r="D74" s="536"/>
      <c r="E74" s="536"/>
      <c r="F74" s="536"/>
      <c r="G74" s="536"/>
      <c r="H74" s="536"/>
      <c r="I74" s="536"/>
      <c r="J74" s="536"/>
      <c r="K74" s="536"/>
      <c r="L74" s="536"/>
      <c r="M74" s="537"/>
      <c r="N74" s="1152"/>
      <c r="O74" s="1152"/>
      <c r="P74" s="1428"/>
      <c r="Q74" s="1422"/>
      <c r="R74" s="1426"/>
      <c r="S74" s="1426"/>
      <c r="T74" s="1426"/>
      <c r="U74" s="1426"/>
      <c r="V74" s="1426"/>
      <c r="W74" s="1426"/>
      <c r="X74" s="1426"/>
      <c r="Y74" s="1426"/>
      <c r="Z74" s="1426"/>
      <c r="AA74" s="1426"/>
      <c r="AB74" s="1426"/>
      <c r="AC74" s="1426"/>
    </row>
    <row r="75" spans="1:29" s="117" customFormat="1" ht="15.75" thickTop="1">
      <c r="A75" s="579"/>
      <c r="B75" s="538">
        <f>B24</f>
        <v>111</v>
      </c>
      <c r="C75" s="549"/>
      <c r="D75" s="549"/>
      <c r="E75" s="549"/>
      <c r="F75" s="549"/>
      <c r="G75" s="554"/>
      <c r="H75" s="554"/>
      <c r="I75" s="554"/>
      <c r="J75" s="554"/>
      <c r="K75" s="554"/>
      <c r="L75" s="554"/>
      <c r="M75" s="581"/>
      <c r="N75" s="1150"/>
      <c r="O75" s="1150"/>
      <c r="P75" s="1428"/>
      <c r="Q75" s="1422"/>
      <c r="R75" s="1426"/>
      <c r="S75" s="1426"/>
      <c r="T75" s="1426"/>
      <c r="U75" s="1426"/>
      <c r="V75" s="1426"/>
      <c r="W75" s="1426"/>
      <c r="X75" s="1426"/>
      <c r="Y75" s="1426"/>
      <c r="Z75" s="1426"/>
      <c r="AA75" s="1426"/>
      <c r="AB75" s="1426"/>
      <c r="AC75" s="1426"/>
    </row>
    <row r="76" spans="1:29" s="117" customFormat="1" ht="15.75" thickBot="1">
      <c r="A76" s="579"/>
      <c r="B76" s="543"/>
      <c r="C76" s="560"/>
      <c r="D76" s="536"/>
      <c r="E76" s="536"/>
      <c r="F76" s="536"/>
      <c r="G76" s="536"/>
      <c r="H76" s="536"/>
      <c r="I76" s="536"/>
      <c r="J76" s="536"/>
      <c r="K76" s="536"/>
      <c r="L76" s="536"/>
      <c r="M76" s="537"/>
      <c r="N76" s="1152"/>
      <c r="O76" s="1152"/>
      <c r="P76" s="1428"/>
      <c r="Q76" s="1422"/>
      <c r="R76" s="1426"/>
      <c r="S76" s="1426"/>
      <c r="T76" s="1426"/>
      <c r="U76" s="1426"/>
      <c r="V76" s="1426"/>
      <c r="W76" s="1426"/>
      <c r="X76" s="1426"/>
      <c r="Y76" s="1426"/>
      <c r="Z76" s="1426"/>
      <c r="AA76" s="1426"/>
      <c r="AB76" s="1426"/>
      <c r="AC76" s="1426"/>
    </row>
    <row r="77" spans="1:29" s="471" customFormat="1" ht="15.75" thickTop="1">
      <c r="A77" s="553"/>
      <c r="B77" s="538">
        <f>B25</f>
        <v>111</v>
      </c>
      <c r="C77" s="554"/>
      <c r="D77" s="554"/>
      <c r="E77" s="554"/>
      <c r="F77" s="554"/>
      <c r="G77" s="554"/>
      <c r="H77" s="555"/>
      <c r="I77" s="555"/>
      <c r="J77" s="555"/>
      <c r="K77" s="555"/>
      <c r="L77" s="556"/>
      <c r="M77" s="557"/>
      <c r="N77" s="1153"/>
      <c r="O77" s="1153"/>
      <c r="P77" s="1429"/>
      <c r="Q77" s="1430"/>
      <c r="R77" s="1431"/>
      <c r="S77" s="1431"/>
      <c r="T77" s="1431"/>
      <c r="U77" s="1431"/>
      <c r="V77" s="1431"/>
      <c r="W77" s="1431"/>
      <c r="X77" s="1431"/>
      <c r="Y77" s="1431"/>
      <c r="Z77" s="1431"/>
      <c r="AA77" s="1431"/>
      <c r="AB77" s="1431"/>
      <c r="AC77" s="1431"/>
    </row>
    <row r="78" spans="1:29" s="471" customFormat="1" ht="15.75" thickBot="1">
      <c r="A78" s="553"/>
      <c r="B78" s="543"/>
      <c r="C78" s="560"/>
      <c r="D78" s="560"/>
      <c r="E78" s="560"/>
      <c r="F78" s="560"/>
      <c r="G78" s="536"/>
      <c r="H78" s="536"/>
      <c r="I78" s="536"/>
      <c r="J78" s="536"/>
      <c r="K78" s="536"/>
      <c r="L78" s="536"/>
      <c r="M78" s="537"/>
      <c r="N78" s="1153"/>
      <c r="O78" s="1153"/>
      <c r="P78" s="1429"/>
      <c r="Q78" s="1430"/>
      <c r="R78" s="1431"/>
      <c r="S78" s="1431"/>
      <c r="T78" s="1431"/>
      <c r="U78" s="1431"/>
      <c r="V78" s="1431"/>
      <c r="W78" s="1431"/>
      <c r="X78" s="1431"/>
      <c r="Y78" s="1431"/>
      <c r="Z78" s="1431"/>
      <c r="AA78" s="1431"/>
      <c r="AB78" s="1431"/>
      <c r="AC78" s="1431"/>
    </row>
    <row r="79" spans="1:29" ht="27.75" thickTop="1">
      <c r="A79" s="527" t="s">
        <v>2551</v>
      </c>
      <c r="B79" s="528" t="s">
        <v>2718</v>
      </c>
      <c r="C79" s="529">
        <f>C26</f>
        <v>0</v>
      </c>
      <c r="D79" s="530"/>
      <c r="E79" s="530"/>
      <c r="F79" s="530"/>
      <c r="G79" s="530"/>
      <c r="H79" s="530"/>
      <c r="I79" s="530"/>
      <c r="J79" s="530"/>
      <c r="K79" s="531"/>
      <c r="L79" s="532"/>
      <c r="M79" s="533"/>
      <c r="N79" s="1151"/>
      <c r="O79" s="1151"/>
      <c r="P79" s="1428"/>
      <c r="Q79" s="1422"/>
      <c r="R79" s="1143"/>
      <c r="S79" s="1143"/>
      <c r="T79" s="1143"/>
      <c r="U79" s="1143"/>
      <c r="V79" s="1143"/>
      <c r="W79" s="1143"/>
      <c r="X79" s="1143"/>
      <c r="Y79" s="1143"/>
      <c r="Z79" s="1143"/>
      <c r="AA79" s="1143"/>
      <c r="AB79" s="1143"/>
      <c r="AC79" s="1143"/>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2"/>
      <c r="O80" s="1152"/>
      <c r="P80" s="1428"/>
      <c r="Q80" s="1422"/>
      <c r="R80" s="1143"/>
      <c r="S80" s="1143"/>
      <c r="T80" s="1143"/>
      <c r="U80" s="1143"/>
      <c r="V80" s="1143"/>
      <c r="W80" s="1143"/>
      <c r="X80" s="1143"/>
      <c r="Y80" s="1143"/>
      <c r="Z80" s="1143"/>
      <c r="AA80" s="1143"/>
      <c r="AB80" s="1143"/>
      <c r="AC80" s="1143"/>
    </row>
    <row r="81" spans="1:29" ht="15.75" thickTop="1">
      <c r="A81" s="534"/>
      <c r="B81" s="538" t="s">
        <v>2719</v>
      </c>
      <c r="C81" s="661"/>
      <c r="D81" s="661"/>
      <c r="E81" s="661"/>
      <c r="F81" s="661"/>
      <c r="G81" s="661"/>
      <c r="H81" s="661"/>
      <c r="I81" s="661"/>
      <c r="J81" s="661"/>
      <c r="K81" s="662"/>
      <c r="L81" s="663"/>
      <c r="M81" s="664"/>
      <c r="N81" s="1150"/>
      <c r="O81" s="1150"/>
      <c r="P81" s="1428"/>
      <c r="Q81" s="1422"/>
      <c r="R81" s="1143"/>
      <c r="S81" s="1143"/>
      <c r="T81" s="1143"/>
      <c r="U81" s="1143"/>
      <c r="V81" s="1143"/>
      <c r="W81" s="1143"/>
      <c r="X81" s="1143"/>
      <c r="Y81" s="1143"/>
      <c r="Z81" s="1143"/>
      <c r="AA81" s="1143"/>
      <c r="AB81" s="1143"/>
      <c r="AC81" s="1143"/>
    </row>
    <row r="82" spans="1:29" s="471" customFormat="1" ht="15.75" thickBot="1">
      <c r="A82" s="553"/>
      <c r="B82" s="543"/>
      <c r="C82" s="560"/>
      <c r="D82" s="536"/>
      <c r="E82" s="536"/>
      <c r="F82" s="536"/>
      <c r="G82" s="536"/>
      <c r="H82" s="536"/>
      <c r="I82" s="536"/>
      <c r="J82" s="536"/>
      <c r="K82" s="536"/>
      <c r="L82" s="536"/>
      <c r="M82" s="537"/>
      <c r="N82" s="1152"/>
      <c r="O82" s="1152"/>
      <c r="P82" s="1429"/>
      <c r="Q82" s="1430"/>
      <c r="R82" s="1431"/>
      <c r="S82" s="1431"/>
      <c r="T82" s="1431"/>
      <c r="U82" s="1431"/>
      <c r="V82" s="1431"/>
      <c r="W82" s="1431"/>
      <c r="X82" s="1431"/>
      <c r="Y82" s="1431"/>
      <c r="Z82" s="1431"/>
      <c r="AA82" s="1431"/>
      <c r="AB82" s="1431"/>
      <c r="AC82" s="1431"/>
    </row>
    <row r="83" spans="1:29" ht="15" thickTop="1">
      <c r="A83" s="599"/>
      <c r="B83" s="538" t="s">
        <v>2604</v>
      </c>
      <c r="C83" s="554"/>
      <c r="D83" s="554"/>
      <c r="E83" s="583"/>
      <c r="F83" s="583"/>
      <c r="G83" s="583"/>
      <c r="H83" s="583"/>
      <c r="I83" s="583"/>
      <c r="J83" s="583"/>
      <c r="K83" s="584"/>
      <c r="L83" s="585"/>
      <c r="M83" s="586"/>
      <c r="N83" s="1151"/>
      <c r="O83" s="1151"/>
      <c r="P83" s="1428"/>
      <c r="Q83" s="1422"/>
      <c r="R83" s="1143"/>
      <c r="S83" s="1143"/>
      <c r="T83" s="1143"/>
      <c r="U83" s="1143"/>
      <c r="V83" s="1143"/>
      <c r="W83" s="1143"/>
      <c r="X83" s="1143"/>
      <c r="Y83" s="1143"/>
      <c r="Z83" s="1143"/>
      <c r="AA83" s="1143"/>
      <c r="AB83" s="1143"/>
      <c r="AC83" s="1143"/>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2"/>
      <c r="O84" s="1152"/>
      <c r="P84" s="1428"/>
      <c r="Q84" s="1422"/>
      <c r="R84" s="1143"/>
      <c r="S84" s="1143"/>
      <c r="T84" s="1143"/>
      <c r="U84" s="1143"/>
      <c r="V84" s="1143"/>
      <c r="W84" s="1143"/>
      <c r="X84" s="1143"/>
      <c r="Y84" s="1143"/>
      <c r="Z84" s="1143"/>
      <c r="AA84" s="1143"/>
      <c r="AB84" s="1143"/>
      <c r="AC84" s="1143"/>
    </row>
    <row r="85" spans="1:29" ht="15" thickTop="1">
      <c r="A85" s="599"/>
      <c r="B85" s="538" t="s">
        <v>2720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1"/>
      <c r="O85" s="1151"/>
      <c r="P85" s="1428"/>
      <c r="Q85" s="1422"/>
      <c r="R85" s="1143"/>
      <c r="S85" s="1143"/>
      <c r="T85" s="1143"/>
      <c r="U85" s="1143"/>
      <c r="V85" s="1143"/>
      <c r="W85" s="1143"/>
      <c r="X85" s="1143"/>
      <c r="Y85" s="1143"/>
      <c r="Z85" s="1143"/>
      <c r="AA85" s="1143"/>
      <c r="AB85" s="1143"/>
      <c r="AC85" s="1143"/>
    </row>
    <row r="86" spans="1:29">
      <c r="A86" s="599"/>
      <c r="B86" s="546"/>
      <c r="C86" s="603">
        <v>0.5</v>
      </c>
      <c r="D86" s="603">
        <v>0.6</v>
      </c>
      <c r="E86" s="603">
        <v>0.7</v>
      </c>
      <c r="F86" s="603">
        <v>0.8</v>
      </c>
      <c r="G86" s="603">
        <v>0.9</v>
      </c>
      <c r="H86" s="603">
        <v>1.0001</v>
      </c>
      <c r="I86" s="623"/>
      <c r="J86" s="623"/>
      <c r="K86" s="624"/>
      <c r="L86" s="625"/>
      <c r="M86" s="626"/>
      <c r="N86" s="1151"/>
      <c r="O86" s="1151"/>
      <c r="P86" s="1428"/>
      <c r="Q86" s="1422"/>
      <c r="R86" s="1143"/>
      <c r="S86" s="1143"/>
      <c r="T86" s="1143"/>
      <c r="U86" s="1143"/>
      <c r="V86" s="1143"/>
      <c r="W86" s="1143"/>
      <c r="X86" s="1143"/>
      <c r="Y86" s="1143"/>
      <c r="Z86" s="1143"/>
      <c r="AA86" s="1143"/>
      <c r="AB86" s="1143"/>
      <c r="AC86" s="1143"/>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2"/>
      <c r="O87" s="1152"/>
      <c r="P87" s="1428"/>
      <c r="Q87" s="1422"/>
      <c r="R87" s="1143"/>
      <c r="S87" s="1143"/>
      <c r="T87" s="1143"/>
      <c r="U87" s="1143"/>
      <c r="V87" s="1143"/>
      <c r="W87" s="1143"/>
      <c r="X87" s="1143"/>
      <c r="Y87" s="1143"/>
      <c r="Z87" s="1143"/>
      <c r="AA87" s="1143"/>
      <c r="AB87" s="1143"/>
      <c r="AC87" s="1143"/>
    </row>
    <row r="88" spans="1:29" ht="15" thickTop="1">
      <c r="A88" s="599"/>
      <c r="B88" s="546" t="s">
        <v>2721</v>
      </c>
      <c r="C88" s="530"/>
      <c r="D88" s="530"/>
      <c r="E88" s="530"/>
      <c r="F88" s="530"/>
      <c r="G88" s="530"/>
      <c r="H88" s="530"/>
      <c r="I88" s="530"/>
      <c r="J88" s="530"/>
      <c r="K88" s="531"/>
      <c r="L88" s="532"/>
      <c r="M88" s="533"/>
      <c r="N88" s="1151"/>
      <c r="O88" s="1151"/>
      <c r="P88" s="1428"/>
      <c r="Q88" s="1422"/>
      <c r="R88" s="1143"/>
      <c r="S88" s="1143"/>
      <c r="T88" s="1143"/>
      <c r="U88" s="1143"/>
      <c r="V88" s="1143"/>
      <c r="W88" s="1143"/>
      <c r="X88" s="1143"/>
      <c r="Y88" s="1143"/>
      <c r="Z88" s="1143"/>
      <c r="AA88" s="1143"/>
      <c r="AB88" s="1143"/>
      <c r="AC88" s="1143"/>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2"/>
      <c r="O89" s="1152"/>
      <c r="P89" s="1428"/>
      <c r="Q89" s="1422"/>
      <c r="R89" s="1143"/>
      <c r="S89" s="1143"/>
      <c r="T89" s="1143"/>
      <c r="U89" s="1143"/>
      <c r="V89" s="1143"/>
      <c r="W89" s="1143"/>
      <c r="X89" s="1143"/>
      <c r="Y89" s="1143"/>
      <c r="Z89" s="1143"/>
      <c r="AA89" s="1143"/>
      <c r="AB89" s="1143"/>
      <c r="AC89" s="1143"/>
    </row>
    <row r="90" spans="1:29" s="471" customFormat="1" ht="15" thickTop="1">
      <c r="A90" s="593"/>
      <c r="B90" s="538" t="s">
        <v>2722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3"/>
      <c r="O90" s="1153"/>
      <c r="P90" s="1429"/>
      <c r="Q90" s="1430"/>
      <c r="R90" s="1431"/>
      <c r="S90" s="1431"/>
      <c r="T90" s="1431"/>
      <c r="U90" s="1431"/>
      <c r="V90" s="1431"/>
      <c r="W90" s="1431"/>
      <c r="X90" s="1431"/>
      <c r="Y90" s="1431"/>
      <c r="Z90" s="1431"/>
      <c r="AA90" s="1431"/>
      <c r="AB90" s="1431"/>
      <c r="AC90" s="1431"/>
    </row>
    <row r="91" spans="1:29" s="471" customFormat="1">
      <c r="A91" s="593"/>
      <c r="B91" s="546"/>
      <c r="C91" s="595"/>
      <c r="D91" s="595"/>
      <c r="E91" s="595"/>
      <c r="F91" s="595"/>
      <c r="G91" s="595"/>
      <c r="H91" s="595"/>
      <c r="I91" s="595"/>
      <c r="J91" s="596"/>
      <c r="K91" s="596"/>
      <c r="L91" s="597"/>
      <c r="M91" s="598"/>
      <c r="N91" s="1153"/>
      <c r="O91" s="1153"/>
      <c r="P91" s="1429"/>
      <c r="Q91" s="1430"/>
      <c r="R91" s="1431"/>
      <c r="S91" s="1431"/>
      <c r="T91" s="1431"/>
      <c r="U91" s="1431"/>
      <c r="V91" s="1431"/>
      <c r="W91" s="1431"/>
      <c r="X91" s="1431"/>
      <c r="Y91" s="1431"/>
      <c r="Z91" s="1431"/>
      <c r="AA91" s="1431"/>
      <c r="AB91" s="1431"/>
      <c r="AC91" s="1431"/>
    </row>
    <row r="92" spans="1:29" s="471" customFormat="1" ht="15.75" thickBot="1">
      <c r="A92" s="553"/>
      <c r="B92" s="543"/>
      <c r="C92" s="560"/>
      <c r="D92" s="536"/>
      <c r="E92" s="536"/>
      <c r="F92" s="536"/>
      <c r="G92" s="536"/>
      <c r="H92" s="536"/>
      <c r="I92" s="536"/>
      <c r="J92" s="536"/>
      <c r="K92" s="536"/>
      <c r="L92" s="536"/>
      <c r="M92" s="537"/>
      <c r="N92" s="1153"/>
      <c r="O92" s="1153"/>
      <c r="P92" s="1429"/>
      <c r="Q92" s="1430"/>
      <c r="R92" s="1431"/>
      <c r="S92" s="1431"/>
      <c r="T92" s="1431"/>
      <c r="U92" s="1431"/>
      <c r="V92" s="1431"/>
      <c r="W92" s="1431"/>
      <c r="X92" s="1431"/>
      <c r="Y92" s="1431"/>
      <c r="Z92" s="1431"/>
      <c r="AA92" s="1431"/>
      <c r="AB92" s="1431"/>
      <c r="AC92" s="1431"/>
    </row>
    <row r="93" spans="1:29" ht="15" thickTop="1">
      <c r="A93" s="599"/>
      <c r="B93" s="538" t="s">
        <v>2723</v>
      </c>
      <c r="C93" s="554"/>
      <c r="D93" s="554"/>
      <c r="E93" s="583"/>
      <c r="F93" s="583"/>
      <c r="G93" s="583"/>
      <c r="H93" s="583"/>
      <c r="I93" s="583"/>
      <c r="J93" s="583"/>
      <c r="K93" s="584"/>
      <c r="L93" s="585"/>
      <c r="M93" s="586"/>
      <c r="N93" s="1151"/>
      <c r="O93" s="1151"/>
      <c r="P93" s="1428"/>
      <c r="Q93" s="1422"/>
      <c r="R93" s="1143"/>
      <c r="S93" s="1143"/>
      <c r="T93" s="1143"/>
      <c r="U93" s="1143"/>
      <c r="V93" s="1143"/>
      <c r="W93" s="1143"/>
      <c r="X93" s="1143"/>
      <c r="Y93" s="1143"/>
      <c r="Z93" s="1143"/>
      <c r="AA93" s="1143"/>
      <c r="AB93" s="1143"/>
      <c r="AC93" s="1143"/>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2"/>
      <c r="O94" s="1152"/>
      <c r="P94" s="1428"/>
      <c r="Q94" s="1422"/>
      <c r="R94" s="1143"/>
      <c r="S94" s="1143"/>
      <c r="T94" s="1143"/>
      <c r="U94" s="1143"/>
      <c r="V94" s="1143"/>
      <c r="W94" s="1143"/>
      <c r="X94" s="1143"/>
      <c r="Y94" s="1143"/>
      <c r="Z94" s="1143"/>
      <c r="AA94" s="1143"/>
      <c r="AB94" s="1143"/>
      <c r="AC94" s="1143"/>
    </row>
    <row r="95" spans="1:29" ht="15" thickTop="1">
      <c r="A95" s="599"/>
      <c r="B95" s="538" t="s">
        <v>2724</v>
      </c>
      <c r="C95" s="530"/>
      <c r="D95" s="530"/>
      <c r="E95" s="530"/>
      <c r="F95" s="530"/>
      <c r="G95" s="530"/>
      <c r="H95" s="530"/>
      <c r="I95" s="530"/>
      <c r="J95" s="530"/>
      <c r="K95" s="531"/>
      <c r="L95" s="532"/>
      <c r="M95" s="533"/>
      <c r="N95" s="1151"/>
      <c r="O95" s="1151"/>
      <c r="P95" s="1428"/>
      <c r="Q95" s="1422"/>
      <c r="R95" s="1143"/>
      <c r="S95" s="1143"/>
      <c r="T95" s="1143"/>
      <c r="U95" s="1143"/>
      <c r="V95" s="1143"/>
      <c r="W95" s="1143"/>
      <c r="X95" s="1143"/>
      <c r="Y95" s="1143"/>
      <c r="Z95" s="1143"/>
      <c r="AA95" s="1143"/>
      <c r="AB95" s="1143"/>
      <c r="AC95" s="1143"/>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2"/>
      <c r="O96" s="1152"/>
      <c r="P96" s="1428"/>
      <c r="Q96" s="1422"/>
      <c r="R96" s="1143"/>
      <c r="S96" s="1143"/>
      <c r="T96" s="1143"/>
      <c r="U96" s="1143"/>
      <c r="V96" s="1143"/>
      <c r="W96" s="1143"/>
      <c r="X96" s="1143"/>
      <c r="Y96" s="1143"/>
      <c r="Z96" s="1143"/>
      <c r="AA96" s="1143"/>
      <c r="AB96" s="1143"/>
      <c r="AC96" s="1143"/>
    </row>
    <row r="97" spans="1:29" ht="15" thickTop="1">
      <c r="A97" s="599"/>
      <c r="B97" s="636">
        <f>B34</f>
        <v>111</v>
      </c>
      <c r="C97" s="549"/>
      <c r="D97" s="549"/>
      <c r="E97" s="549"/>
      <c r="F97" s="549"/>
      <c r="G97" s="554"/>
      <c r="H97" s="555"/>
      <c r="I97" s="555"/>
      <c r="J97" s="555"/>
      <c r="K97" s="555"/>
      <c r="L97" s="556"/>
      <c r="M97" s="557"/>
      <c r="N97" s="1152"/>
      <c r="O97" s="1152"/>
      <c r="P97" s="1435"/>
      <c r="Q97" s="1436"/>
      <c r="R97" s="1143"/>
      <c r="S97" s="1143"/>
      <c r="T97" s="1143"/>
      <c r="U97" s="1143"/>
      <c r="V97" s="1143"/>
      <c r="W97" s="1143"/>
      <c r="X97" s="1143"/>
      <c r="Y97" s="1143"/>
      <c r="Z97" s="1143"/>
      <c r="AA97" s="1143"/>
      <c r="AB97" s="1143"/>
      <c r="AC97" s="1143"/>
    </row>
    <row r="98" spans="1:29" ht="15.75" thickBot="1">
      <c r="A98" s="534"/>
      <c r="B98" s="543"/>
      <c r="C98" s="560"/>
      <c r="D98" s="536"/>
      <c r="E98" s="536"/>
      <c r="F98" s="536"/>
      <c r="G98" s="560"/>
      <c r="H98" s="562"/>
      <c r="I98" s="562"/>
      <c r="J98" s="562"/>
      <c r="K98" s="562"/>
      <c r="L98" s="562"/>
      <c r="M98" s="563"/>
      <c r="N98" s="1152"/>
      <c r="O98" s="1152"/>
      <c r="P98" s="1428"/>
      <c r="Q98" s="1422"/>
      <c r="R98" s="1143"/>
      <c r="S98" s="1143"/>
      <c r="T98" s="1143"/>
      <c r="U98" s="1143"/>
      <c r="V98" s="1143"/>
      <c r="W98" s="1143"/>
      <c r="X98" s="1143"/>
      <c r="Y98" s="1143"/>
      <c r="Z98" s="1143"/>
      <c r="AA98" s="1143"/>
      <c r="AB98" s="1143"/>
      <c r="AC98" s="1143"/>
    </row>
    <row r="99" spans="1:29" s="471" customFormat="1" ht="15" thickTop="1">
      <c r="A99" s="593"/>
      <c r="B99" s="538">
        <f>B35</f>
        <v>111</v>
      </c>
      <c r="C99" s="549"/>
      <c r="D99" s="549"/>
      <c r="E99" s="549"/>
      <c r="F99" s="549"/>
      <c r="G99" s="554"/>
      <c r="H99" s="555"/>
      <c r="I99" s="555"/>
      <c r="J99" s="555"/>
      <c r="K99" s="555"/>
      <c r="L99" s="556"/>
      <c r="M99" s="557"/>
      <c r="N99" s="1153"/>
      <c r="O99" s="1153"/>
      <c r="P99" s="1429"/>
      <c r="Q99" s="1430"/>
      <c r="R99" s="1431"/>
      <c r="S99" s="1431"/>
      <c r="T99" s="1431"/>
      <c r="U99" s="1431"/>
      <c r="V99" s="1431"/>
      <c r="W99" s="1431"/>
      <c r="X99" s="1431"/>
      <c r="Y99" s="1431"/>
      <c r="Z99" s="1431"/>
      <c r="AA99" s="1431"/>
      <c r="AB99" s="1431"/>
      <c r="AC99" s="1431"/>
    </row>
    <row r="100" spans="1:29" s="471" customFormat="1" ht="15.75" thickBot="1">
      <c r="A100" s="553"/>
      <c r="B100" s="535"/>
      <c r="C100" s="560"/>
      <c r="D100" s="536"/>
      <c r="E100" s="536"/>
      <c r="F100" s="536"/>
      <c r="G100" s="560"/>
      <c r="H100" s="562"/>
      <c r="I100" s="562"/>
      <c r="J100" s="562"/>
      <c r="K100" s="562"/>
      <c r="L100" s="562"/>
      <c r="M100" s="563"/>
      <c r="N100" s="1153"/>
      <c r="O100" s="1153"/>
      <c r="P100" s="1429"/>
      <c r="Q100" s="1430"/>
      <c r="R100" s="1431"/>
      <c r="S100" s="1431"/>
      <c r="T100" s="1431"/>
      <c r="U100" s="1431"/>
      <c r="V100" s="1431"/>
      <c r="W100" s="1431"/>
      <c r="X100" s="1431"/>
      <c r="Y100" s="1431"/>
      <c r="Z100" s="1431"/>
      <c r="AA100" s="1431"/>
      <c r="AB100" s="1431"/>
      <c r="AC100" s="1431"/>
    </row>
    <row r="101" spans="1:29" ht="15" thickTop="1">
      <c r="A101" s="599"/>
      <c r="B101" s="538">
        <f>B36</f>
        <v>111</v>
      </c>
      <c r="C101" s="554"/>
      <c r="D101" s="554"/>
      <c r="E101" s="554"/>
      <c r="F101" s="554"/>
      <c r="G101" s="554"/>
      <c r="H101" s="555"/>
      <c r="I101" s="555"/>
      <c r="J101" s="555"/>
      <c r="K101" s="555"/>
      <c r="L101" s="556"/>
      <c r="M101" s="557"/>
      <c r="N101" s="1151"/>
      <c r="O101" s="1151"/>
      <c r="P101" s="1428"/>
      <c r="Q101" s="1422"/>
      <c r="R101" s="1143"/>
      <c r="S101" s="1143"/>
      <c r="T101" s="1143"/>
      <c r="U101" s="1143"/>
      <c r="V101" s="1143"/>
      <c r="W101" s="1143"/>
      <c r="X101" s="1143"/>
      <c r="Y101" s="1143"/>
      <c r="Z101" s="1143"/>
      <c r="AA101" s="1143"/>
      <c r="AB101" s="1143"/>
      <c r="AC101" s="1143"/>
    </row>
    <row r="102" spans="1:29" ht="15.75" thickBot="1">
      <c r="A102" s="534"/>
      <c r="B102" s="543"/>
      <c r="C102" s="560"/>
      <c r="D102" s="560"/>
      <c r="E102" s="560"/>
      <c r="F102" s="560"/>
      <c r="G102" s="560"/>
      <c r="H102" s="562"/>
      <c r="I102" s="562"/>
      <c r="J102" s="562"/>
      <c r="K102" s="562"/>
      <c r="L102" s="562"/>
      <c r="M102" s="563"/>
      <c r="N102" s="1152"/>
      <c r="O102" s="1152"/>
      <c r="P102" s="1428"/>
      <c r="Q102" s="1422"/>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86" priority="14" stopIfTrue="1" operator="containsText" text="超过">
      <formula>NOT(ISERROR(SEARCH("超过",F42)))</formula>
    </cfRule>
  </conditionalFormatting>
  <conditionalFormatting sqref="J44">
    <cfRule type="containsText" dxfId="85" priority="13" stopIfTrue="1" operator="containsText" text="超过">
      <formula>NOT(ISERROR(SEARCH("超过",J44)))</formula>
    </cfRule>
  </conditionalFormatting>
  <conditionalFormatting sqref="H44">
    <cfRule type="containsText" dxfId="84" priority="12" stopIfTrue="1" operator="containsText" text="超过">
      <formula>NOT(ISERROR(SEARCH("超过",H44)))</formula>
    </cfRule>
  </conditionalFormatting>
  <conditionalFormatting sqref="F44">
    <cfRule type="containsText" dxfId="83" priority="11" stopIfTrue="1" operator="containsText" text="超过">
      <formula>NOT(ISERROR(SEARCH("超过",F44)))</formula>
    </cfRule>
  </conditionalFormatting>
  <conditionalFormatting sqref="F43 H43 J43">
    <cfRule type="containsText" dxfId="82" priority="10" stopIfTrue="1" operator="containsText" text="超过">
      <formula>NOT(ISERROR(SEARCH("超过",F43)))</formula>
    </cfRule>
  </conditionalFormatting>
  <conditionalFormatting sqref="E42">
    <cfRule type="expression" dxfId="81" priority="9" stopIfTrue="1">
      <formula>$F$42="超过30%"</formula>
    </cfRule>
  </conditionalFormatting>
  <conditionalFormatting sqref="G44">
    <cfRule type="expression" dxfId="80" priority="8" stopIfTrue="1">
      <formula>$H$54+$H$44="超过30%"</formula>
    </cfRule>
  </conditionalFormatting>
  <conditionalFormatting sqref="E43">
    <cfRule type="expression" dxfId="79" priority="7" stopIfTrue="1">
      <formula>$F$43="超过20%"</formula>
    </cfRule>
  </conditionalFormatting>
  <conditionalFormatting sqref="E44">
    <cfRule type="expression" dxfId="78" priority="6" stopIfTrue="1">
      <formula>$F$44="超过30%"</formula>
    </cfRule>
  </conditionalFormatting>
  <conditionalFormatting sqref="G42">
    <cfRule type="expression" dxfId="77" priority="5" stopIfTrue="1">
      <formula>$H$52+$H$42="超过30%"</formula>
    </cfRule>
  </conditionalFormatting>
  <conditionalFormatting sqref="G43">
    <cfRule type="expression" dxfId="76" priority="4" stopIfTrue="1">
      <formula>$H$43="超过20%"</formula>
    </cfRule>
  </conditionalFormatting>
  <conditionalFormatting sqref="I42">
    <cfRule type="expression" dxfId="75" priority="3" stopIfTrue="1">
      <formula>$J$52+$J$42="超过30%"</formula>
    </cfRule>
  </conditionalFormatting>
  <conditionalFormatting sqref="I43">
    <cfRule type="expression" dxfId="74" priority="2" stopIfTrue="1">
      <formula>$J$53+$J$43="超过20%"</formula>
    </cfRule>
  </conditionalFormatting>
  <conditionalFormatting sqref="I44">
    <cfRule type="expression" dxfId="7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2695</v>
      </c>
      <c r="B1" s="1618"/>
      <c r="C1" s="1619" t="s">
        <v>2518</v>
      </c>
      <c r="D1" s="1620"/>
      <c r="E1" s="1629"/>
      <c r="F1" s="2579"/>
      <c r="G1" s="1630" t="s">
        <v>2631</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2315</v>
      </c>
      <c r="B2" s="1417" t="e">
        <f ca="1">IF(C2="——",ROUND(C37*D3/10000,0),ROUND(C37*D3/10000,0)-D2)</f>
        <v>#DIV/0!</v>
      </c>
      <c r="C2" s="2581"/>
      <c r="D2" s="1123" t="e">
        <f ca="1">SUMIF(INDIRECT("'"&amp;F2&amp;"'"&amp;"!A:A"),"承租人权益价值",INDIRECT("'"&amp;F2&amp;"'"&amp;"!c:c"))</f>
        <v>#REF!</v>
      </c>
      <c r="E2" s="2582" t="s">
        <v>2316</v>
      </c>
      <c r="F2" s="2583"/>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2317</v>
      </c>
      <c r="B3" s="609" t="e">
        <f ca="1">IF(C2="——",C37,ROUND(B2*10000/D3,0))</f>
        <v>#DIV/0!</v>
      </c>
      <c r="C3" s="400" t="s">
        <v>2632</v>
      </c>
      <c r="D3" s="399">
        <f>SUMIF('数据-汇总表'!$C19:$C33,D1,'数据-汇总表'!$E19:$E33)</f>
        <v>0</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2633</v>
      </c>
      <c r="B4" s="402"/>
      <c r="C4" s="3224" t="s">
        <v>2634</v>
      </c>
      <c r="D4" s="3225"/>
      <c r="E4" s="3226" t="s">
        <v>2635</v>
      </c>
      <c r="F4" s="3227"/>
      <c r="G4" s="3224" t="s">
        <v>2636</v>
      </c>
      <c r="H4" s="3225"/>
      <c r="I4" s="3224" t="s">
        <v>2637</v>
      </c>
      <c r="J4" s="3225"/>
      <c r="K4" s="610" t="s">
        <v>2638</v>
      </c>
      <c r="L4" s="1129"/>
      <c r="M4" s="1130"/>
      <c r="N4" s="1130"/>
      <c r="O4" s="1130"/>
      <c r="P4" s="3228" t="s">
        <v>2639</v>
      </c>
      <c r="Q4" s="3229"/>
      <c r="R4" s="3211" t="s">
        <v>2635</v>
      </c>
      <c r="S4" s="3212"/>
      <c r="T4" s="3211" t="s">
        <v>2636</v>
      </c>
      <c r="U4" s="3212"/>
      <c r="V4" s="3208" t="s">
        <v>2637</v>
      </c>
      <c r="W4" s="3208"/>
      <c r="X4" s="1811"/>
      <c r="Y4" s="3211" t="s">
        <v>2639</v>
      </c>
      <c r="Z4" s="3212"/>
      <c r="AA4" s="3205" t="s">
        <v>2635</v>
      </c>
      <c r="AB4" s="3206" t="s">
        <v>2636</v>
      </c>
      <c r="AC4" s="3205" t="s">
        <v>2637</v>
      </c>
    </row>
    <row r="5" spans="1:29" ht="15">
      <c r="A5" s="404"/>
      <c r="B5" s="405"/>
      <c r="C5" s="3283" t="s">
        <v>2530</v>
      </c>
      <c r="D5" s="3218"/>
      <c r="E5" s="3282" t="s">
        <v>2531</v>
      </c>
      <c r="F5" s="3216"/>
      <c r="G5" s="3283" t="s">
        <v>2532</v>
      </c>
      <c r="H5" s="3218"/>
      <c r="I5" s="3283" t="s">
        <v>2533</v>
      </c>
      <c r="J5" s="3218"/>
      <c r="K5" s="610"/>
      <c r="L5" s="1129"/>
      <c r="M5" s="1130"/>
      <c r="N5" s="1130"/>
      <c r="O5" s="1130"/>
      <c r="P5" s="3230"/>
      <c r="Q5" s="3231"/>
      <c r="R5" s="3213"/>
      <c r="S5" s="3214"/>
      <c r="T5" s="3213"/>
      <c r="U5" s="3214"/>
      <c r="V5" s="3208"/>
      <c r="W5" s="3208"/>
      <c r="X5" s="1811"/>
      <c r="Y5" s="3213"/>
      <c r="Z5" s="3214"/>
      <c r="AA5" s="3206"/>
      <c r="AB5" s="3206"/>
      <c r="AC5" s="3206"/>
    </row>
    <row r="6" spans="1:29" ht="15.75" thickBot="1">
      <c r="A6" s="406"/>
      <c r="B6" s="407"/>
      <c r="C6" s="3219" t="s">
        <v>2534</v>
      </c>
      <c r="D6" s="3220"/>
      <c r="E6" s="3221" t="s">
        <v>2534</v>
      </c>
      <c r="F6" s="3222"/>
      <c r="G6" s="3219" t="s">
        <v>2534</v>
      </c>
      <c r="H6" s="3220"/>
      <c r="I6" s="3219" t="s">
        <v>2534</v>
      </c>
      <c r="J6" s="3220"/>
      <c r="K6" s="610" t="s">
        <v>2535</v>
      </c>
      <c r="L6" s="1129"/>
      <c r="M6" s="1130"/>
      <c r="N6" s="1130"/>
      <c r="O6" s="1130"/>
      <c r="P6" s="3232"/>
      <c r="Q6" s="3233"/>
      <c r="R6" s="3213"/>
      <c r="S6" s="3214"/>
      <c r="T6" s="3234"/>
      <c r="U6" s="3235"/>
      <c r="V6" s="3208"/>
      <c r="W6" s="3208"/>
      <c r="X6" s="1811"/>
      <c r="Y6" s="3234"/>
      <c r="Z6" s="3235"/>
      <c r="AA6" s="3207"/>
      <c r="AB6" s="3207"/>
      <c r="AC6" s="3207"/>
    </row>
    <row r="7" spans="1:29" s="117" customFormat="1" ht="15.75" thickBot="1">
      <c r="A7" s="408" t="s">
        <v>2536</v>
      </c>
      <c r="B7" s="409"/>
      <c r="C7" s="410">
        <f>'数据-取费表'!B2</f>
        <v>43132</v>
      </c>
      <c r="D7" s="411">
        <v>100</v>
      </c>
      <c r="E7" s="412"/>
      <c r="F7" s="413">
        <f>SUMIF(46:46,YEAR(E7)&amp;"-"&amp;MONTH(E7),47:47)</f>
        <v>0</v>
      </c>
      <c r="G7" s="2691"/>
      <c r="H7" s="411">
        <f>SUMIF(46:46,YEAR(G7)&amp;"-"&amp;MONTH(G7),47:47)</f>
        <v>0</v>
      </c>
      <c r="I7" s="412"/>
      <c r="J7" s="411">
        <f>SUMIF(46:46,YEAR(I7)&amp;"-"&amp;MONTH(I7),47:47)</f>
        <v>0</v>
      </c>
      <c r="K7" s="611"/>
      <c r="L7" s="1131"/>
      <c r="M7" s="1132"/>
      <c r="N7" s="1132"/>
      <c r="O7" s="1132"/>
      <c r="P7" s="3209" t="s">
        <v>2537</v>
      </c>
      <c r="Q7" s="3236"/>
      <c r="R7" s="769" t="s">
        <v>17</v>
      </c>
      <c r="S7" s="770">
        <f t="shared" ref="S7:S14" si="0">F7</f>
        <v>0</v>
      </c>
      <c r="T7" s="769" t="s">
        <v>17</v>
      </c>
      <c r="U7" s="770">
        <f t="shared" ref="U7:U14" si="1">H7</f>
        <v>0</v>
      </c>
      <c r="V7" s="769" t="s">
        <v>17</v>
      </c>
      <c r="W7" s="770">
        <f t="shared" ref="W7:W14" si="2">J7</f>
        <v>0</v>
      </c>
      <c r="X7" s="771"/>
      <c r="Y7" s="3209" t="s">
        <v>2537</v>
      </c>
      <c r="Z7" s="3210"/>
      <c r="AA7" s="772" t="e">
        <f>D7/F7</f>
        <v>#DIV/0!</v>
      </c>
      <c r="AB7" s="772" t="e">
        <f>D7/H7</f>
        <v>#DIV/0!</v>
      </c>
      <c r="AC7" s="772" t="e">
        <f>D7/J7</f>
        <v>#DIV/0!</v>
      </c>
    </row>
    <row r="8" spans="1:29" s="117" customFormat="1" ht="15.75" thickBot="1">
      <c r="A8" s="408" t="s">
        <v>2538</v>
      </c>
      <c r="B8" s="409"/>
      <c r="C8" s="414" t="s">
        <v>2640</v>
      </c>
      <c r="D8" s="411">
        <v>100</v>
      </c>
      <c r="E8" s="414"/>
      <c r="F8" s="413">
        <f>SUMIF(49:49,E8,50:50)-SUMIF(49:49,C8,50:50)+100</f>
        <v>0</v>
      </c>
      <c r="G8" s="414"/>
      <c r="H8" s="411">
        <f>SUMIF(49:49,G8,50:50)-SUMIF(49:49,C8,50:50)+100</f>
        <v>0</v>
      </c>
      <c r="I8" s="414"/>
      <c r="J8" s="411">
        <f>SUMIF(49:49,I8,50:50)-SUMIF(49:49,C8,50:50)+100</f>
        <v>0</v>
      </c>
      <c r="K8" s="611"/>
      <c r="L8" s="1131"/>
      <c r="M8" s="1132"/>
      <c r="N8" s="1132"/>
      <c r="O8" s="1132"/>
      <c r="P8" s="3209" t="s">
        <v>2540</v>
      </c>
      <c r="Q8" s="3210"/>
      <c r="R8" s="769" t="s">
        <v>17</v>
      </c>
      <c r="S8" s="770">
        <f t="shared" si="0"/>
        <v>0</v>
      </c>
      <c r="T8" s="769" t="s">
        <v>17</v>
      </c>
      <c r="U8" s="770">
        <f t="shared" si="1"/>
        <v>0</v>
      </c>
      <c r="V8" s="769" t="s">
        <v>17</v>
      </c>
      <c r="W8" s="770">
        <f t="shared" si="2"/>
        <v>0</v>
      </c>
      <c r="X8" s="771"/>
      <c r="Y8" s="3209" t="s">
        <v>2540</v>
      </c>
      <c r="Z8" s="3210"/>
      <c r="AA8" s="772" t="e">
        <f t="shared" ref="AA8:AA34" si="3">D8/F8</f>
        <v>#DIV/0!</v>
      </c>
      <c r="AB8" s="772" t="e">
        <f t="shared" ref="AB8:AB34" si="4">D8/H8</f>
        <v>#DIV/0!</v>
      </c>
      <c r="AC8" s="772" t="e">
        <f t="shared" ref="AC8:AC34" si="5">D8/J8</f>
        <v>#DIV/0!</v>
      </c>
    </row>
    <row r="9" spans="1:29" s="117" customFormat="1">
      <c r="A9" s="415" t="s">
        <v>2541</v>
      </c>
      <c r="B9" s="71" t="s">
        <v>2542</v>
      </c>
      <c r="C9" s="416"/>
      <c r="D9" s="135">
        <v>100</v>
      </c>
      <c r="E9" s="419"/>
      <c r="F9" s="418">
        <f>SUMIF(51:51,E9,52:52)-SUMIF(51:51,C9,52:52)+100</f>
        <v>100</v>
      </c>
      <c r="G9" s="419"/>
      <c r="H9" s="135">
        <f>SUMIF(51:51,G9,52:52)-SUMIF(51:51,C9,52:52)+100</f>
        <v>100</v>
      </c>
      <c r="I9" s="419"/>
      <c r="J9" s="135">
        <f>SUMIF(51:51,I9,52:52)-SUMIF(51:51,C9,52:52)+100</f>
        <v>100</v>
      </c>
      <c r="K9" s="611"/>
      <c r="L9" s="1131"/>
      <c r="M9" s="1132"/>
      <c r="N9" s="1132"/>
      <c r="O9" s="1133"/>
      <c r="P9" s="3246" t="s">
        <v>2543</v>
      </c>
      <c r="Q9" s="1793" t="str">
        <f t="shared" ref="Q9:Q14" si="6">B9</f>
        <v>用途</v>
      </c>
      <c r="R9" s="769" t="s">
        <v>17</v>
      </c>
      <c r="S9" s="770">
        <f t="shared" si="0"/>
        <v>100</v>
      </c>
      <c r="T9" s="769" t="s">
        <v>17</v>
      </c>
      <c r="U9" s="770">
        <f t="shared" si="1"/>
        <v>100</v>
      </c>
      <c r="V9" s="769" t="s">
        <v>17</v>
      </c>
      <c r="W9" s="770">
        <f t="shared" si="2"/>
        <v>100</v>
      </c>
      <c r="X9" s="771"/>
      <c r="Y9" s="3082" t="s">
        <v>2544</v>
      </c>
      <c r="Z9" s="55" t="str">
        <f t="shared" ref="Z9:Z14" si="7">Q9</f>
        <v>用途</v>
      </c>
      <c r="AA9" s="772">
        <f t="shared" si="3"/>
        <v>1</v>
      </c>
      <c r="AB9" s="772">
        <f t="shared" si="4"/>
        <v>1</v>
      </c>
      <c r="AC9" s="772">
        <f t="shared" si="5"/>
        <v>1</v>
      </c>
    </row>
    <row r="10" spans="1:29" s="427" customFormat="1" ht="27">
      <c r="A10" s="421"/>
      <c r="B10" s="422" t="s">
        <v>2545</v>
      </c>
      <c r="C10" s="423"/>
      <c r="D10" s="136">
        <v>100</v>
      </c>
      <c r="E10" s="423"/>
      <c r="F10" s="425">
        <f>SUMIF(53:53,E10,54:54)-SUMIF(53:53,C10,54:54)+100</f>
        <v>100</v>
      </c>
      <c r="G10" s="423"/>
      <c r="H10" s="136">
        <f>SUMIF(53:53,G10,54:54)-SUMIF(53:53,C10,54:54)+100</f>
        <v>100</v>
      </c>
      <c r="I10" s="423"/>
      <c r="J10" s="136">
        <f>SUMIF(53:53,I10,54:54)-SUMIF(53:53,C10,54:54)+100</f>
        <v>100</v>
      </c>
      <c r="K10" s="612"/>
      <c r="L10" s="1134"/>
      <c r="M10" s="1135"/>
      <c r="N10" s="1135"/>
      <c r="O10" s="1136"/>
      <c r="P10" s="3246"/>
      <c r="Q10" s="1793" t="str">
        <f t="shared" si="6"/>
        <v>土地使用年限（年）</v>
      </c>
      <c r="R10" s="769" t="s">
        <v>17</v>
      </c>
      <c r="S10" s="770">
        <f t="shared" si="0"/>
        <v>100</v>
      </c>
      <c r="T10" s="769" t="s">
        <v>17</v>
      </c>
      <c r="U10" s="770">
        <f t="shared" si="1"/>
        <v>100</v>
      </c>
      <c r="V10" s="769" t="s">
        <v>17</v>
      </c>
      <c r="W10" s="770">
        <f t="shared" si="2"/>
        <v>100</v>
      </c>
      <c r="X10" s="771"/>
      <c r="Y10" s="3082"/>
      <c r="Z10" s="55" t="str">
        <f t="shared" si="7"/>
        <v>土地使用年限（年）</v>
      </c>
      <c r="AA10" s="772">
        <f t="shared" si="3"/>
        <v>1</v>
      </c>
      <c r="AB10" s="772">
        <f t="shared" si="4"/>
        <v>1</v>
      </c>
      <c r="AC10" s="772">
        <f t="shared" si="5"/>
        <v>1</v>
      </c>
    </row>
    <row r="11" spans="1:29" ht="15">
      <c r="A11" s="428"/>
      <c r="B11" s="2595">
        <v>111</v>
      </c>
      <c r="C11" s="432"/>
      <c r="D11" s="136">
        <v>100</v>
      </c>
      <c r="E11" s="469"/>
      <c r="F11" s="425">
        <f>SUMIF(55:55,E11,56:56)-SUMIF(55:55,C11,56:56)+100</f>
        <v>100</v>
      </c>
      <c r="G11" s="469"/>
      <c r="H11" s="136">
        <f>SUMIF(55:55,G11,56:56)-SUMIF(55:55,C11,56:56)+100</f>
        <v>100</v>
      </c>
      <c r="I11" s="469"/>
      <c r="J11" s="136">
        <f>SUMIF(55:55,I11,56:56)-SUMIF(55:55,C11,56:56)+100</f>
        <v>100</v>
      </c>
      <c r="K11" s="613"/>
      <c r="L11" s="1137"/>
      <c r="M11" s="1130"/>
      <c r="N11" s="1130"/>
      <c r="O11" s="1138"/>
      <c r="P11" s="3246"/>
      <c r="Q11" s="1793">
        <f t="shared" si="6"/>
        <v>111</v>
      </c>
      <c r="R11" s="769" t="s">
        <v>17</v>
      </c>
      <c r="S11" s="770">
        <f t="shared" si="0"/>
        <v>100</v>
      </c>
      <c r="T11" s="769" t="s">
        <v>17</v>
      </c>
      <c r="U11" s="770">
        <f t="shared" si="1"/>
        <v>100</v>
      </c>
      <c r="V11" s="769" t="s">
        <v>17</v>
      </c>
      <c r="W11" s="770">
        <f t="shared" si="2"/>
        <v>100</v>
      </c>
      <c r="X11" s="771"/>
      <c r="Y11" s="3082"/>
      <c r="Z11" s="55">
        <f t="shared" si="7"/>
        <v>111</v>
      </c>
      <c r="AA11" s="772">
        <f t="shared" si="3"/>
        <v>1</v>
      </c>
      <c r="AB11" s="772">
        <f t="shared" si="4"/>
        <v>1</v>
      </c>
      <c r="AC11" s="772">
        <f t="shared" si="5"/>
        <v>1</v>
      </c>
    </row>
    <row r="12" spans="1:29" s="117" customFormat="1" ht="15">
      <c r="A12" s="431"/>
      <c r="B12" s="2595">
        <v>111</v>
      </c>
      <c r="C12" s="432"/>
      <c r="D12" s="433">
        <v>100</v>
      </c>
      <c r="E12" s="469"/>
      <c r="F12" s="425">
        <f>SUMIF(57:57,E12,58:58)-SUMIF(57:57,C12,58:58)+100</f>
        <v>100</v>
      </c>
      <c r="G12" s="469"/>
      <c r="H12" s="136">
        <f>SUMIF(57:57,G12,58:58)-SUMIF(57:57,C12,58:58)+100</f>
        <v>100</v>
      </c>
      <c r="I12" s="469"/>
      <c r="J12" s="136">
        <f>SUMIF(57:57,I12,58:58)-SUMIF(57:57,C12,58:58)+100</f>
        <v>100</v>
      </c>
      <c r="K12" s="613"/>
      <c r="L12" s="1131"/>
      <c r="M12" s="1132"/>
      <c r="N12" s="1132"/>
      <c r="O12" s="1133"/>
      <c r="P12" s="3246"/>
      <c r="Q12" s="1793">
        <f t="shared" si="6"/>
        <v>111</v>
      </c>
      <c r="R12" s="769" t="s">
        <v>17</v>
      </c>
      <c r="S12" s="770">
        <f t="shared" si="0"/>
        <v>100</v>
      </c>
      <c r="T12" s="769" t="s">
        <v>17</v>
      </c>
      <c r="U12" s="770">
        <f t="shared" si="1"/>
        <v>100</v>
      </c>
      <c r="V12" s="769" t="s">
        <v>17</v>
      </c>
      <c r="W12" s="770">
        <f t="shared" si="2"/>
        <v>100</v>
      </c>
      <c r="X12" s="771"/>
      <c r="Y12" s="3082"/>
      <c r="Z12" s="55">
        <f t="shared" si="7"/>
        <v>111</v>
      </c>
      <c r="AA12" s="772">
        <f>D12/F12</f>
        <v>1</v>
      </c>
      <c r="AB12" s="772">
        <f>D12/H12</f>
        <v>1</v>
      </c>
      <c r="AC12" s="772">
        <f>D12/J12</f>
        <v>1</v>
      </c>
    </row>
    <row r="13" spans="1:29" ht="15.75" thickBot="1">
      <c r="A13" s="428"/>
      <c r="B13" s="2595">
        <v>111</v>
      </c>
      <c r="C13" s="434"/>
      <c r="D13" s="435">
        <v>100</v>
      </c>
      <c r="E13" s="469"/>
      <c r="F13" s="425">
        <f>SUMIF(59:59,E13,60:60)-SUMIF(59:59,C13,60:60)+100</f>
        <v>100</v>
      </c>
      <c r="G13" s="2692"/>
      <c r="H13" s="438">
        <f>SUMIF(59:59,G13,60:60)-SUMIF(59:59,C13,60:60)+100</f>
        <v>100</v>
      </c>
      <c r="I13" s="469"/>
      <c r="J13" s="435">
        <f>SUMIF(59:59,I13,60:60)-SUMIF(59:59,C13,60:60)+100</f>
        <v>100</v>
      </c>
      <c r="K13" s="613"/>
      <c r="L13" s="1139"/>
      <c r="M13" s="1130"/>
      <c r="N13" s="1130"/>
      <c r="O13" s="1138"/>
      <c r="P13" s="3246"/>
      <c r="Q13" s="1793">
        <f t="shared" si="6"/>
        <v>111</v>
      </c>
      <c r="R13" s="769" t="s">
        <v>17</v>
      </c>
      <c r="S13" s="770">
        <f t="shared" si="0"/>
        <v>100</v>
      </c>
      <c r="T13" s="769" t="s">
        <v>17</v>
      </c>
      <c r="U13" s="770">
        <f t="shared" si="1"/>
        <v>100</v>
      </c>
      <c r="V13" s="769" t="s">
        <v>17</v>
      </c>
      <c r="W13" s="770">
        <f t="shared" si="2"/>
        <v>100</v>
      </c>
      <c r="X13" s="771"/>
      <c r="Y13" s="3082"/>
      <c r="Z13" s="55">
        <f t="shared" si="7"/>
        <v>111</v>
      </c>
      <c r="AA13" s="772">
        <f t="shared" si="3"/>
        <v>1</v>
      </c>
      <c r="AB13" s="772">
        <f t="shared" si="4"/>
        <v>1</v>
      </c>
      <c r="AC13" s="772">
        <f t="shared" si="5"/>
        <v>1</v>
      </c>
    </row>
    <row r="14" spans="1:29" ht="128.25">
      <c r="A14" s="440" t="s">
        <v>2547</v>
      </c>
      <c r="B14" s="69" t="s">
        <v>2697</v>
      </c>
      <c r="C14" s="2688" t="str">
        <f>IF(B1="工业",估价对象房地状况!G4,估价对象房地状况!C6)</f>
        <v>估价对象周边有485、501、602、736、957路及地铁十号线等、公共交通通达情况较好、停车便捷程度较好，综合评价交通便捷度较好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9"/>
      <c r="M14" s="1130"/>
      <c r="N14" s="1130"/>
      <c r="O14" s="1138"/>
      <c r="P14" s="3239" t="s">
        <v>2548</v>
      </c>
      <c r="Q14" s="1808" t="str">
        <f t="shared" si="6"/>
        <v>交通便捷度</v>
      </c>
      <c r="R14" s="773" t="s">
        <v>17</v>
      </c>
      <c r="S14" s="774">
        <f t="shared" si="0"/>
        <v>100</v>
      </c>
      <c r="T14" s="773" t="s">
        <v>17</v>
      </c>
      <c r="U14" s="774">
        <f t="shared" si="1"/>
        <v>100</v>
      </c>
      <c r="V14" s="773" t="s">
        <v>17</v>
      </c>
      <c r="W14" s="774">
        <f t="shared" si="2"/>
        <v>100</v>
      </c>
      <c r="X14" s="1811"/>
      <c r="Y14" s="3239" t="s">
        <v>2548</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39"/>
      <c r="M15" s="1130"/>
      <c r="N15" s="1130"/>
      <c r="O15" s="1138"/>
      <c r="P15" s="3240"/>
      <c r="Q15" s="1808"/>
      <c r="R15" s="773"/>
      <c r="S15" s="774"/>
      <c r="T15" s="773"/>
      <c r="U15" s="774"/>
      <c r="V15" s="773"/>
      <c r="W15" s="774"/>
      <c r="X15" s="1811"/>
      <c r="Y15" s="3240"/>
      <c r="Z15" s="1812"/>
      <c r="AA15" s="1809">
        <v>1</v>
      </c>
      <c r="AB15" s="1809">
        <v>1</v>
      </c>
      <c r="AC15" s="1809">
        <v>1</v>
      </c>
    </row>
    <row r="16" spans="1:29" ht="114">
      <c r="A16" s="428"/>
      <c r="B16" s="451" t="s">
        <v>2676</v>
      </c>
      <c r="C16" s="2602" t="str">
        <f>IF(B1="工业",估价对象房地状况!G5,估价对象房地状况!C7)</f>
        <v>周边有中国建设银行、广东发展银行、集美家居、物美超市、西马金润小学、丰台第一小学远洋分校等，公共配套设施较齐备</v>
      </c>
      <c r="D16" s="455">
        <v>100</v>
      </c>
      <c r="E16" s="457"/>
      <c r="F16" s="458">
        <f>SUMIF(63:63,E17,64:64)-SUMIF(63:63,C17,64:64)+100</f>
        <v>100</v>
      </c>
      <c r="G16" s="459"/>
      <c r="H16" s="455">
        <f>SUMIF(63:63,G17,64:64)-SUMIF(63:63,C17,64:64)+100</f>
        <v>100</v>
      </c>
      <c r="I16" s="457"/>
      <c r="J16" s="455">
        <f>SUMIF(63:63,I17,64:64)-SUMIF(63:63,C17,64:64)+100</f>
        <v>100</v>
      </c>
      <c r="K16" s="614"/>
      <c r="L16" s="1139"/>
      <c r="M16" s="1130"/>
      <c r="N16" s="1130"/>
      <c r="O16" s="1138"/>
      <c r="P16" s="3240"/>
      <c r="Q16" s="1808" t="str">
        <f>B16</f>
        <v>公共配套设施</v>
      </c>
      <c r="R16" s="773" t="s">
        <v>17</v>
      </c>
      <c r="S16" s="774">
        <f>F16</f>
        <v>100</v>
      </c>
      <c r="T16" s="773" t="s">
        <v>17</v>
      </c>
      <c r="U16" s="774">
        <f>H16</f>
        <v>100</v>
      </c>
      <c r="V16" s="773" t="s">
        <v>17</v>
      </c>
      <c r="W16" s="774">
        <f>J16</f>
        <v>100</v>
      </c>
      <c r="X16" s="1811"/>
      <c r="Y16" s="3240"/>
      <c r="Z16" s="1812" t="str">
        <f>Q16</f>
        <v>公共配套设施</v>
      </c>
      <c r="AA16" s="1809">
        <f t="shared" si="3"/>
        <v>1</v>
      </c>
      <c r="AB16" s="1809">
        <f t="shared" si="4"/>
        <v>1</v>
      </c>
      <c r="AC16" s="1809">
        <f t="shared" si="5"/>
        <v>1</v>
      </c>
    </row>
    <row r="17" spans="1:29" ht="15">
      <c r="A17" s="428"/>
      <c r="B17" s="456"/>
      <c r="C17" s="2603"/>
      <c r="D17" s="448"/>
      <c r="E17" s="447"/>
      <c r="F17" s="449"/>
      <c r="G17" s="447"/>
      <c r="H17" s="448"/>
      <c r="I17" s="447"/>
      <c r="J17" s="448"/>
      <c r="K17" s="615"/>
      <c r="L17" s="1139"/>
      <c r="M17" s="1130"/>
      <c r="N17" s="1130"/>
      <c r="O17" s="1138"/>
      <c r="P17" s="3240"/>
      <c r="Q17" s="1808"/>
      <c r="R17" s="773"/>
      <c r="S17" s="774"/>
      <c r="T17" s="773"/>
      <c r="U17" s="774"/>
      <c r="V17" s="773"/>
      <c r="W17" s="774"/>
      <c r="X17" s="1811"/>
      <c r="Y17" s="3240"/>
      <c r="Z17" s="1812"/>
      <c r="AA17" s="1809">
        <v>1</v>
      </c>
      <c r="AB17" s="1809">
        <v>1</v>
      </c>
      <c r="AC17" s="1809">
        <v>1</v>
      </c>
    </row>
    <row r="18" spans="1:29" ht="15">
      <c r="A18" s="428"/>
      <c r="B18" s="1383" t="s">
        <v>2677</v>
      </c>
      <c r="C18" s="2602"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39"/>
      <c r="M18" s="1130"/>
      <c r="N18" s="1130"/>
      <c r="O18" s="1138"/>
      <c r="P18" s="3240"/>
      <c r="Q18" s="1808" t="str">
        <f>B18</f>
        <v>基础设施水平</v>
      </c>
      <c r="R18" s="773" t="s">
        <v>17</v>
      </c>
      <c r="S18" s="774">
        <f>F18</f>
        <v>100</v>
      </c>
      <c r="T18" s="773" t="s">
        <v>17</v>
      </c>
      <c r="U18" s="774">
        <f>H18</f>
        <v>100</v>
      </c>
      <c r="V18" s="773" t="s">
        <v>17</v>
      </c>
      <c r="W18" s="774">
        <f>J18</f>
        <v>100</v>
      </c>
      <c r="X18" s="1811"/>
      <c r="Y18" s="3240"/>
      <c r="Z18" s="1812" t="str">
        <f>Q18</f>
        <v>基础设施水平</v>
      </c>
      <c r="AA18" s="1809">
        <f t="shared" ref="AA18" si="8">D18/F18</f>
        <v>1</v>
      </c>
      <c r="AB18" s="1809">
        <f t="shared" ref="AB18" si="9">D18/H18</f>
        <v>1</v>
      </c>
      <c r="AC18" s="1809">
        <f t="shared" ref="AC18" si="10">D18/J18</f>
        <v>1</v>
      </c>
    </row>
    <row r="19" spans="1:29" ht="15">
      <c r="A19" s="428"/>
      <c r="B19" s="1383"/>
      <c r="C19" s="2603"/>
      <c r="D19" s="450"/>
      <c r="E19" s="2603"/>
      <c r="F19" s="453"/>
      <c r="G19" s="2603"/>
      <c r="H19" s="448"/>
      <c r="I19" s="447"/>
      <c r="J19" s="448"/>
      <c r="K19" s="1382"/>
      <c r="L19" s="1139"/>
      <c r="M19" s="1130"/>
      <c r="N19" s="1130"/>
      <c r="O19" s="1138"/>
      <c r="P19" s="3240"/>
      <c r="Q19" s="1808"/>
      <c r="R19" s="773"/>
      <c r="S19" s="774"/>
      <c r="T19" s="773"/>
      <c r="U19" s="774"/>
      <c r="V19" s="773"/>
      <c r="W19" s="774"/>
      <c r="X19" s="1811"/>
      <c r="Y19" s="3240"/>
      <c r="Z19" s="1812"/>
      <c r="AA19" s="1809">
        <v>1</v>
      </c>
      <c r="AB19" s="1809">
        <v>1</v>
      </c>
      <c r="AC19" s="1809">
        <v>1</v>
      </c>
    </row>
    <row r="20" spans="1:29" ht="42.75">
      <c r="A20" s="428"/>
      <c r="B20" s="451" t="s">
        <v>2698</v>
      </c>
      <c r="C20" s="2602" t="str">
        <f>IF(B1="工业",估价对象房地状况!G7,估价对象房地状况!C9)</f>
        <v>周边有桃苑公园自然及人文环境一般</v>
      </c>
      <c r="D20" s="455">
        <v>100</v>
      </c>
      <c r="E20" s="457"/>
      <c r="F20" s="458">
        <f>SUMIF(67:67,E21,68:68)-SUMIF(67:67,C21,68:68)+100</f>
        <v>100</v>
      </c>
      <c r="G20" s="459"/>
      <c r="H20" s="450">
        <f>SUMIF(67:67,G21,68:68)-SUMIF(67:67,C21,68:68)+100</f>
        <v>100</v>
      </c>
      <c r="I20" s="452"/>
      <c r="J20" s="450">
        <f>SUMIF(67:67,I21,68:68)-SUMIF(67:67,C21,68:68)+100</f>
        <v>100</v>
      </c>
      <c r="K20" s="614"/>
      <c r="L20" s="1139"/>
      <c r="M20" s="1130"/>
      <c r="N20" s="1130"/>
      <c r="O20" s="1138"/>
      <c r="P20" s="3240"/>
      <c r="Q20" s="1808" t="str">
        <f>B20</f>
        <v>自然及人文环境</v>
      </c>
      <c r="R20" s="773" t="s">
        <v>17</v>
      </c>
      <c r="S20" s="774">
        <f>F20</f>
        <v>100</v>
      </c>
      <c r="T20" s="773" t="s">
        <v>17</v>
      </c>
      <c r="U20" s="774">
        <f>H20</f>
        <v>100</v>
      </c>
      <c r="V20" s="773" t="s">
        <v>17</v>
      </c>
      <c r="W20" s="774">
        <f>J20</f>
        <v>100</v>
      </c>
      <c r="X20" s="1811"/>
      <c r="Y20" s="3240"/>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39"/>
      <c r="M21" s="1130"/>
      <c r="N21" s="1130"/>
      <c r="O21" s="1138"/>
      <c r="P21" s="3240"/>
      <c r="Q21" s="1808"/>
      <c r="R21" s="773"/>
      <c r="S21" s="774"/>
      <c r="T21" s="773"/>
      <c r="U21" s="774"/>
      <c r="V21" s="773"/>
      <c r="W21" s="774"/>
      <c r="X21" s="1811"/>
      <c r="Y21" s="3240"/>
      <c r="Z21" s="1812"/>
      <c r="AA21" s="1809">
        <v>1</v>
      </c>
      <c r="AB21" s="1809">
        <v>1</v>
      </c>
      <c r="AC21" s="1809">
        <v>1</v>
      </c>
    </row>
    <row r="22" spans="1:29" ht="15">
      <c r="A22" s="428"/>
      <c r="B22" s="451" t="s">
        <v>2699</v>
      </c>
      <c r="C22" s="616"/>
      <c r="D22" s="450">
        <v>100</v>
      </c>
      <c r="E22" s="616"/>
      <c r="F22" s="461">
        <f>SUMIF(69:69,E22,70:70)-SUMIF(69:69,C22,70:70)+100</f>
        <v>100</v>
      </c>
      <c r="G22" s="616"/>
      <c r="H22" s="435">
        <f>SUMIF(69:69,G22,70:70)-SUMIF(69:69,C22,70:70)+100</f>
        <v>100</v>
      </c>
      <c r="I22" s="616"/>
      <c r="J22" s="435">
        <f>SUMIF(69:69,I22,70:70)-SUMIF(69:69,C22,70:70)+100</f>
        <v>100</v>
      </c>
      <c r="K22" s="612"/>
      <c r="L22" s="1139"/>
      <c r="M22" s="1130"/>
      <c r="N22" s="1130"/>
      <c r="O22" s="1138"/>
      <c r="P22" s="3240"/>
      <c r="Q22" s="1808" t="str">
        <f>B22</f>
        <v>楼层</v>
      </c>
      <c r="R22" s="773" t="s">
        <v>17</v>
      </c>
      <c r="S22" s="774">
        <f>F22</f>
        <v>100</v>
      </c>
      <c r="T22" s="773" t="s">
        <v>17</v>
      </c>
      <c r="U22" s="774">
        <f>H22</f>
        <v>100</v>
      </c>
      <c r="V22" s="773" t="s">
        <v>17</v>
      </c>
      <c r="W22" s="774">
        <f>J22</f>
        <v>100</v>
      </c>
      <c r="X22" s="1811"/>
      <c r="Y22" s="3240"/>
      <c r="Z22" s="1812" t="str">
        <f>Q22</f>
        <v>楼层</v>
      </c>
      <c r="AA22" s="1809">
        <f t="shared" si="3"/>
        <v>1</v>
      </c>
      <c r="AB22" s="1809">
        <f t="shared" si="4"/>
        <v>1</v>
      </c>
      <c r="AC22" s="1809">
        <f t="shared" si="5"/>
        <v>1</v>
      </c>
    </row>
    <row r="23" spans="1:29" ht="15">
      <c r="A23" s="404"/>
      <c r="B23" s="2595">
        <v>111</v>
      </c>
      <c r="C23" s="432"/>
      <c r="D23" s="435">
        <v>100</v>
      </c>
      <c r="E23" s="434"/>
      <c r="F23" s="461">
        <f>SUMIF(71:71,E23,72:72)-SUMIF(71:71,C23,72:72)+100</f>
        <v>100</v>
      </c>
      <c r="G23" s="434"/>
      <c r="H23" s="435">
        <f>SUMIF(71:71,G23,72:72)-SUMIF(71:71,C23,72:72)+100</f>
        <v>100</v>
      </c>
      <c r="I23" s="434"/>
      <c r="J23" s="435">
        <f>SUMIF(71:71,I23,72:72)-SUMIF(71:71,C23,72:72)+100</f>
        <v>100</v>
      </c>
      <c r="K23" s="613"/>
      <c r="L23" s="1139"/>
      <c r="M23" s="1130"/>
      <c r="N23" s="1130"/>
      <c r="O23" s="1138"/>
      <c r="P23" s="3240"/>
      <c r="Q23" s="1808">
        <f>B23</f>
        <v>111</v>
      </c>
      <c r="R23" s="773" t="s">
        <v>17</v>
      </c>
      <c r="S23" s="774">
        <f>F23</f>
        <v>100</v>
      </c>
      <c r="T23" s="773" t="s">
        <v>17</v>
      </c>
      <c r="U23" s="774">
        <f>H23</f>
        <v>100</v>
      </c>
      <c r="V23" s="773" t="s">
        <v>17</v>
      </c>
      <c r="W23" s="774">
        <f>J23</f>
        <v>100</v>
      </c>
      <c r="X23" s="1811"/>
      <c r="Y23" s="3240"/>
      <c r="Z23" s="1812">
        <f>Q23</f>
        <v>111</v>
      </c>
      <c r="AA23" s="1809">
        <f t="shared" si="3"/>
        <v>1</v>
      </c>
      <c r="AB23" s="1809">
        <f t="shared" si="4"/>
        <v>1</v>
      </c>
      <c r="AC23" s="1809">
        <f t="shared" si="5"/>
        <v>1</v>
      </c>
    </row>
    <row r="24" spans="1:29" ht="15">
      <c r="A24" s="428"/>
      <c r="B24" s="2595">
        <v>111</v>
      </c>
      <c r="C24" s="432"/>
      <c r="D24" s="435">
        <v>100</v>
      </c>
      <c r="E24" s="434"/>
      <c r="F24" s="461">
        <f>SUMIF(73:73,E24,74:74)-SUMIF(73:73,C24,74:74)+100</f>
        <v>100</v>
      </c>
      <c r="G24" s="434"/>
      <c r="H24" s="435">
        <f>SUMIF(73:73,G24,74:74)-SUMIF(73:73,C24,74:74)+100</f>
        <v>100</v>
      </c>
      <c r="I24" s="434"/>
      <c r="J24" s="435">
        <f>SUMIF(73:73,I24,74:74)-SUMIF(73:73,C24,74:74)+100</f>
        <v>100</v>
      </c>
      <c r="K24" s="613"/>
      <c r="L24" s="1139"/>
      <c r="M24" s="1130"/>
      <c r="N24" s="1130"/>
      <c r="O24" s="1138"/>
      <c r="P24" s="3240"/>
      <c r="Q24" s="1808">
        <f t="shared" ref="Q24:Q34" si="11">B24</f>
        <v>111</v>
      </c>
      <c r="R24" s="773" t="s">
        <v>17</v>
      </c>
      <c r="S24" s="774">
        <f>F24</f>
        <v>100</v>
      </c>
      <c r="T24" s="773" t="s">
        <v>17</v>
      </c>
      <c r="U24" s="774">
        <f>H24</f>
        <v>100</v>
      </c>
      <c r="V24" s="773" t="s">
        <v>17</v>
      </c>
      <c r="W24" s="774">
        <f>J24</f>
        <v>100</v>
      </c>
      <c r="X24" s="1811"/>
      <c r="Y24" s="3240"/>
      <c r="Z24" s="1812">
        <f>Q24</f>
        <v>111</v>
      </c>
      <c r="AA24" s="1809">
        <f t="shared" si="3"/>
        <v>1</v>
      </c>
      <c r="AB24" s="1809">
        <f t="shared" si="4"/>
        <v>1</v>
      </c>
      <c r="AC24" s="1809">
        <f t="shared" si="5"/>
        <v>1</v>
      </c>
    </row>
    <row r="25" spans="1:29" s="117" customFormat="1" ht="15.75" thickBot="1">
      <c r="A25" s="431"/>
      <c r="B25" s="2595">
        <v>111</v>
      </c>
      <c r="C25" s="2693"/>
      <c r="D25" s="665">
        <v>100</v>
      </c>
      <c r="E25" s="2693"/>
      <c r="F25" s="666">
        <f>SUMIF(75:75,E25,76:76)-SUMIF(75:75,C25,76:76)+100</f>
        <v>100</v>
      </c>
      <c r="G25" s="2693"/>
      <c r="H25" s="665">
        <f>SUMIF(75:75,G25,76:76)-SUMIF(75:75,C25,76:76)+100</f>
        <v>100</v>
      </c>
      <c r="I25" s="2693"/>
      <c r="J25" s="665">
        <f>SUMIF(75:75,I25,76:76)-SUMIF(75:75,C25,76:76)+100</f>
        <v>100</v>
      </c>
      <c r="K25" s="613"/>
      <c r="L25" s="1131"/>
      <c r="M25" s="1132"/>
      <c r="N25" s="1132"/>
      <c r="O25" s="1133"/>
      <c r="P25" s="3240"/>
      <c r="Q25" s="1793">
        <f t="shared" si="11"/>
        <v>111</v>
      </c>
      <c r="R25" s="769" t="s">
        <v>17</v>
      </c>
      <c r="S25" s="770">
        <f>F25</f>
        <v>100</v>
      </c>
      <c r="T25" s="769" t="s">
        <v>17</v>
      </c>
      <c r="U25" s="770">
        <f>H25</f>
        <v>100</v>
      </c>
      <c r="V25" s="769" t="s">
        <v>17</v>
      </c>
      <c r="W25" s="770">
        <f>J25</f>
        <v>100</v>
      </c>
      <c r="X25" s="771"/>
      <c r="Y25" s="3240"/>
      <c r="Z25" s="55">
        <f>Q25</f>
        <v>111</v>
      </c>
      <c r="AA25" s="1809">
        <f>D25/F25</f>
        <v>1</v>
      </c>
      <c r="AB25" s="1809">
        <f>D25/H25</f>
        <v>1</v>
      </c>
      <c r="AC25" s="1809">
        <f>D25/J25</f>
        <v>1</v>
      </c>
    </row>
    <row r="26" spans="1:29" ht="15">
      <c r="A26" s="466" t="s">
        <v>2551</v>
      </c>
      <c r="B26" s="71" t="s">
        <v>2702</v>
      </c>
      <c r="C26" s="2674"/>
      <c r="D26" s="467">
        <v>100</v>
      </c>
      <c r="E26" s="2674"/>
      <c r="F26" s="667">
        <f>SUMIF(77:77,E26,78:78)-SUMIF(77:77,C26,78:78)+100</f>
        <v>100</v>
      </c>
      <c r="G26" s="2674"/>
      <c r="H26" s="467">
        <f>SUMIF(77:77,G26,78:78)-SUMIF(77:77,C26,78:78)+100</f>
        <v>100</v>
      </c>
      <c r="I26" s="2674"/>
      <c r="J26" s="467">
        <f>SUMIF(77:77,I26,78:78)-SUMIF(77:77,C26,78:78)+100</f>
        <v>100</v>
      </c>
      <c r="K26" s="612"/>
      <c r="L26" s="1139"/>
      <c r="M26" s="1130"/>
      <c r="N26" s="1130"/>
      <c r="O26" s="1138"/>
      <c r="P26" s="3299" t="s">
        <v>2553</v>
      </c>
      <c r="Q26" s="1808" t="str">
        <f t="shared" si="11"/>
        <v>公共部分装修</v>
      </c>
      <c r="R26" s="773" t="s">
        <v>17</v>
      </c>
      <c r="S26" s="774">
        <f t="shared" ref="S26:S34" si="12">F26</f>
        <v>100</v>
      </c>
      <c r="T26" s="773" t="s">
        <v>17</v>
      </c>
      <c r="U26" s="774">
        <f t="shared" ref="U26:U34" si="13">H26</f>
        <v>100</v>
      </c>
      <c r="V26" s="773" t="s">
        <v>17</v>
      </c>
      <c r="W26" s="774">
        <f t="shared" ref="W26:W34" si="14">J26</f>
        <v>100</v>
      </c>
      <c r="X26" s="1811"/>
      <c r="Y26" s="3244" t="s">
        <v>2553</v>
      </c>
      <c r="Z26" s="1812" t="str">
        <f t="shared" ref="Z26:Z34" si="15">Q26</f>
        <v>公共部分装修</v>
      </c>
      <c r="AA26" s="1809">
        <f t="shared" si="3"/>
        <v>1</v>
      </c>
      <c r="AB26" s="1809">
        <f t="shared" si="4"/>
        <v>1</v>
      </c>
      <c r="AC26" s="1809">
        <f t="shared" si="5"/>
        <v>1</v>
      </c>
    </row>
    <row r="27" spans="1:29" s="471" customFormat="1" ht="15">
      <c r="A27" s="468"/>
      <c r="B27" s="422" t="s">
        <v>2703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7"/>
      <c r="M27" s="1140"/>
      <c r="N27" s="1140"/>
      <c r="O27" s="1141"/>
      <c r="P27" s="3244"/>
      <c r="Q27" s="775" t="str">
        <f t="shared" si="11"/>
        <v>成新率</v>
      </c>
      <c r="R27" s="776" t="s">
        <v>17</v>
      </c>
      <c r="S27" s="777" t="e">
        <f t="shared" si="12"/>
        <v>#N/A</v>
      </c>
      <c r="T27" s="776" t="s">
        <v>17</v>
      </c>
      <c r="U27" s="777" t="e">
        <f t="shared" si="13"/>
        <v>#N/A</v>
      </c>
      <c r="V27" s="776" t="s">
        <v>17</v>
      </c>
      <c r="W27" s="777" t="e">
        <f t="shared" si="14"/>
        <v>#N/A</v>
      </c>
      <c r="X27" s="778"/>
      <c r="Y27" s="3244"/>
      <c r="Z27" s="779" t="str">
        <f t="shared" si="15"/>
        <v>成新率</v>
      </c>
      <c r="AA27" s="1809" t="e">
        <f t="shared" si="3"/>
        <v>#N/A</v>
      </c>
      <c r="AB27" s="1809" t="e">
        <f t="shared" si="4"/>
        <v>#N/A</v>
      </c>
      <c r="AC27" s="1809" t="e">
        <f t="shared" si="5"/>
        <v>#N/A</v>
      </c>
    </row>
    <row r="28" spans="1:29" ht="15">
      <c r="A28" s="472"/>
      <c r="B28" s="422" t="s">
        <v>2704</v>
      </c>
      <c r="C28" s="460"/>
      <c r="D28" s="435">
        <v>100</v>
      </c>
      <c r="E28" s="460"/>
      <c r="F28" s="461">
        <f>SUMIF(82:82,E28,83:83)-SUMIF(82:82,C28,83:83)+100</f>
        <v>100</v>
      </c>
      <c r="G28" s="460"/>
      <c r="H28" s="435">
        <f>SUMIF(82:82,G28,83:83)-SUMIF(82:82,C28,83:83)+100</f>
        <v>100</v>
      </c>
      <c r="I28" s="460"/>
      <c r="J28" s="435">
        <f>SUMIF(82:82,I28,83:83)-SUMIF(82:82,C28,83:83)+100</f>
        <v>100</v>
      </c>
      <c r="K28" s="612"/>
      <c r="L28" s="1139"/>
      <c r="M28" s="1130"/>
      <c r="N28" s="1130"/>
      <c r="O28" s="1138"/>
      <c r="P28" s="3244"/>
      <c r="Q28" s="1808" t="str">
        <f t="shared" si="11"/>
        <v>物业等级</v>
      </c>
      <c r="R28" s="773" t="s">
        <v>17</v>
      </c>
      <c r="S28" s="774">
        <f t="shared" si="12"/>
        <v>100</v>
      </c>
      <c r="T28" s="773" t="s">
        <v>17</v>
      </c>
      <c r="U28" s="774">
        <f t="shared" si="13"/>
        <v>100</v>
      </c>
      <c r="V28" s="773" t="s">
        <v>17</v>
      </c>
      <c r="W28" s="774">
        <f t="shared" si="14"/>
        <v>100</v>
      </c>
      <c r="X28" s="1811"/>
      <c r="Y28" s="3244"/>
      <c r="Z28" s="1812" t="str">
        <f t="shared" si="15"/>
        <v>物业等级</v>
      </c>
      <c r="AA28" s="1809">
        <f t="shared" si="3"/>
        <v>1</v>
      </c>
      <c r="AB28" s="1809">
        <f t="shared" si="4"/>
        <v>1</v>
      </c>
      <c r="AC28" s="1809">
        <f t="shared" si="5"/>
        <v>1</v>
      </c>
    </row>
    <row r="29" spans="1:29" ht="15">
      <c r="A29" s="472"/>
      <c r="B29" s="422" t="s">
        <v>2725</v>
      </c>
      <c r="C29" s="657"/>
      <c r="D29" s="435">
        <v>100</v>
      </c>
      <c r="E29" s="657"/>
      <c r="F29" s="461">
        <f>SUMIF(84:84,E29,85:85)-SUMIF(84:84,C29,85:85)+100</f>
        <v>100</v>
      </c>
      <c r="G29" s="657"/>
      <c r="H29" s="435">
        <f>SUMIF(84:84,G29,85:85)-SUMIF(84:84,C29,85:85)+100</f>
        <v>100</v>
      </c>
      <c r="I29" s="657"/>
      <c r="J29" s="435">
        <f>SUMIF(84:84,I29,85:85)-SUMIF(84:84,C29,85:85)+100</f>
        <v>100</v>
      </c>
      <c r="K29" s="612"/>
      <c r="L29" s="1139"/>
      <c r="M29" s="1130"/>
      <c r="N29" s="1130"/>
      <c r="O29" s="1138"/>
      <c r="P29" s="3244"/>
      <c r="Q29" s="1808" t="str">
        <f t="shared" si="11"/>
        <v>有无电梯</v>
      </c>
      <c r="R29" s="773" t="s">
        <v>17</v>
      </c>
      <c r="S29" s="774">
        <f t="shared" si="12"/>
        <v>100</v>
      </c>
      <c r="T29" s="773" t="s">
        <v>17</v>
      </c>
      <c r="U29" s="774">
        <f t="shared" si="13"/>
        <v>100</v>
      </c>
      <c r="V29" s="773" t="s">
        <v>17</v>
      </c>
      <c r="W29" s="774">
        <f t="shared" si="14"/>
        <v>100</v>
      </c>
      <c r="X29" s="1811"/>
      <c r="Y29" s="3244"/>
      <c r="Z29" s="1812" t="str">
        <f t="shared" si="15"/>
        <v>有无电梯</v>
      </c>
      <c r="AA29" s="1809">
        <f t="shared" si="3"/>
        <v>1</v>
      </c>
      <c r="AB29" s="1809">
        <f t="shared" si="4"/>
        <v>1</v>
      </c>
      <c r="AC29" s="1809">
        <f t="shared" si="5"/>
        <v>1</v>
      </c>
    </row>
    <row r="30" spans="1:29" ht="15">
      <c r="A30" s="472"/>
      <c r="B30" s="422" t="s">
        <v>2726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9"/>
      <c r="M30" s="1130"/>
      <c r="N30" s="1130"/>
      <c r="O30" s="1138"/>
      <c r="P30" s="3244"/>
      <c r="Q30" s="1808" t="str">
        <f t="shared" si="11"/>
        <v>建筑面积</v>
      </c>
      <c r="R30" s="773" t="s">
        <v>17</v>
      </c>
      <c r="S30" s="774" t="e">
        <f t="shared" si="12"/>
        <v>#N/A</v>
      </c>
      <c r="T30" s="773" t="s">
        <v>17</v>
      </c>
      <c r="U30" s="774" t="e">
        <f t="shared" si="13"/>
        <v>#N/A</v>
      </c>
      <c r="V30" s="773" t="s">
        <v>17</v>
      </c>
      <c r="W30" s="774" t="e">
        <f t="shared" si="14"/>
        <v>#N/A</v>
      </c>
      <c r="X30" s="1811"/>
      <c r="Y30" s="3244"/>
      <c r="Z30" s="1812" t="str">
        <f t="shared" si="15"/>
        <v>建筑面积</v>
      </c>
      <c r="AA30" s="1809" t="e">
        <f t="shared" si="3"/>
        <v>#N/A</v>
      </c>
      <c r="AB30" s="1809" t="e">
        <f t="shared" si="4"/>
        <v>#N/A</v>
      </c>
      <c r="AC30" s="1809" t="e">
        <f t="shared" si="5"/>
        <v>#N/A</v>
      </c>
    </row>
    <row r="31" spans="1:29" s="117" customFormat="1" ht="15">
      <c r="A31" s="473"/>
      <c r="B31" s="422" t="s">
        <v>2727</v>
      </c>
      <c r="C31" s="657"/>
      <c r="D31" s="136">
        <v>100</v>
      </c>
      <c r="E31" s="657"/>
      <c r="F31" s="461">
        <f>SUMIF(89:89,E31,90:90)-SUMIF(89:89,C31,90:90)+100</f>
        <v>100</v>
      </c>
      <c r="G31" s="657"/>
      <c r="H31" s="435">
        <f>SUMIF(89:89,G31,90:90)-SUMIF(89:89,C31,90:90)+100</f>
        <v>100</v>
      </c>
      <c r="I31" s="657"/>
      <c r="J31" s="435">
        <f>SUMIF(89:89,I31,90:90)-SUMIF(89:89,C31,90:90)+100</f>
        <v>100</v>
      </c>
      <c r="K31" s="612"/>
      <c r="L31" s="1131"/>
      <c r="M31" s="1132"/>
      <c r="N31" s="1132"/>
      <c r="O31" s="1133"/>
      <c r="P31" s="3244"/>
      <c r="Q31" s="1793" t="str">
        <f t="shared" si="11"/>
        <v>是否封闭</v>
      </c>
      <c r="R31" s="769" t="s">
        <v>17</v>
      </c>
      <c r="S31" s="770">
        <f t="shared" si="12"/>
        <v>100</v>
      </c>
      <c r="T31" s="769" t="s">
        <v>17</v>
      </c>
      <c r="U31" s="770">
        <f t="shared" si="13"/>
        <v>100</v>
      </c>
      <c r="V31" s="769" t="s">
        <v>17</v>
      </c>
      <c r="W31" s="770">
        <f t="shared" si="14"/>
        <v>100</v>
      </c>
      <c r="X31" s="771"/>
      <c r="Y31" s="3244"/>
      <c r="Z31" s="55" t="str">
        <f t="shared" si="15"/>
        <v>是否封闭</v>
      </c>
      <c r="AA31" s="772">
        <f t="shared" si="3"/>
        <v>1</v>
      </c>
      <c r="AB31" s="772">
        <f t="shared" si="4"/>
        <v>1</v>
      </c>
      <c r="AC31" s="772">
        <f t="shared" si="5"/>
        <v>1</v>
      </c>
    </row>
    <row r="32" spans="1:29" ht="15">
      <c r="A32" s="472"/>
      <c r="B32" s="2595">
        <v>111</v>
      </c>
      <c r="C32" s="432"/>
      <c r="D32" s="435">
        <v>100</v>
      </c>
      <c r="E32" s="469"/>
      <c r="F32" s="461">
        <f>SUMIF(91:91,E32,92:92)-SUMIF(91:91,C32,92:92)+100</f>
        <v>100</v>
      </c>
      <c r="G32" s="469"/>
      <c r="H32" s="435">
        <f>SUMIF(91:91,G32,92:92)-SUMIF(91:91,C32,92:92)+100</f>
        <v>100</v>
      </c>
      <c r="I32" s="469"/>
      <c r="J32" s="435">
        <f>SUMIF(91:91,I32,92:92)-SUMIF(91:91,C32,92:92)+100</f>
        <v>100</v>
      </c>
      <c r="K32" s="613"/>
      <c r="L32" s="1139"/>
      <c r="M32" s="1130"/>
      <c r="N32" s="1130"/>
      <c r="O32" s="1138"/>
      <c r="P32" s="3244" t="s">
        <v>2553</v>
      </c>
      <c r="Q32" s="1808">
        <f t="shared" si="11"/>
        <v>111</v>
      </c>
      <c r="R32" s="773" t="s">
        <v>17</v>
      </c>
      <c r="S32" s="774">
        <f t="shared" si="12"/>
        <v>100</v>
      </c>
      <c r="T32" s="773" t="s">
        <v>17</v>
      </c>
      <c r="U32" s="774">
        <f t="shared" si="13"/>
        <v>100</v>
      </c>
      <c r="V32" s="773" t="s">
        <v>17</v>
      </c>
      <c r="W32" s="774">
        <f t="shared" si="14"/>
        <v>100</v>
      </c>
      <c r="X32" s="1811"/>
      <c r="Y32" s="3244" t="s">
        <v>2553</v>
      </c>
      <c r="Z32" s="1812">
        <f t="shared" si="15"/>
        <v>111</v>
      </c>
      <c r="AA32" s="1809">
        <f t="shared" si="3"/>
        <v>1</v>
      </c>
      <c r="AB32" s="1809">
        <f t="shared" si="4"/>
        <v>1</v>
      </c>
      <c r="AC32" s="1809">
        <f t="shared" si="5"/>
        <v>1</v>
      </c>
    </row>
    <row r="33" spans="1:29" ht="15">
      <c r="A33" s="472"/>
      <c r="B33" s="2595">
        <v>111</v>
      </c>
      <c r="C33" s="432"/>
      <c r="D33" s="435">
        <v>100</v>
      </c>
      <c r="E33" s="469"/>
      <c r="F33" s="461">
        <f>SUMIF(93:93,E33,94:94)-SUMIF(93:93,C33,94:94)+100</f>
        <v>100</v>
      </c>
      <c r="G33" s="469"/>
      <c r="H33" s="435">
        <f>SUMIF(93:93,G33,94:94)-SUMIF(93:93,C33,94:94)+100</f>
        <v>100</v>
      </c>
      <c r="I33" s="469"/>
      <c r="J33" s="435">
        <f>SUMIF(93:93,I33,94:94)-SUMIF(93:93,C33,94:94)+100</f>
        <v>100</v>
      </c>
      <c r="K33" s="613"/>
      <c r="L33" s="1139"/>
      <c r="M33" s="1130"/>
      <c r="N33" s="1130"/>
      <c r="O33" s="1138"/>
      <c r="P33" s="3244"/>
      <c r="Q33" s="1808">
        <f t="shared" si="11"/>
        <v>111</v>
      </c>
      <c r="R33" s="773" t="s">
        <v>17</v>
      </c>
      <c r="S33" s="774">
        <f t="shared" si="12"/>
        <v>100</v>
      </c>
      <c r="T33" s="773" t="s">
        <v>17</v>
      </c>
      <c r="U33" s="774">
        <f t="shared" si="13"/>
        <v>100</v>
      </c>
      <c r="V33" s="773" t="s">
        <v>17</v>
      </c>
      <c r="W33" s="774">
        <f t="shared" si="14"/>
        <v>100</v>
      </c>
      <c r="X33" s="1811"/>
      <c r="Y33" s="3244"/>
      <c r="Z33" s="1812">
        <f t="shared" si="15"/>
        <v>111</v>
      </c>
      <c r="AA33" s="1809">
        <f t="shared" si="3"/>
        <v>1</v>
      </c>
      <c r="AB33" s="1809">
        <f t="shared" si="4"/>
        <v>1</v>
      </c>
      <c r="AC33" s="1809">
        <f t="shared" si="5"/>
        <v>1</v>
      </c>
    </row>
    <row r="34" spans="1:29" ht="15.75" thickBot="1">
      <c r="A34" s="478"/>
      <c r="B34" s="2597">
        <v>111</v>
      </c>
      <c r="C34" s="437"/>
      <c r="D34" s="438">
        <v>100</v>
      </c>
      <c r="E34" s="2692"/>
      <c r="F34" s="439">
        <f>SUMIF(95:95,E34,96:96)-SUMIF(95:95,C34,96:96)+100</f>
        <v>100</v>
      </c>
      <c r="G34" s="2692"/>
      <c r="H34" s="438">
        <f>SUMIF(95:95,G34,96:96)-SUMIF(95:95,C34,96:96)+100</f>
        <v>100</v>
      </c>
      <c r="I34" s="2692"/>
      <c r="J34" s="438">
        <f>SUMIF(95:95,I34,96:96)-SUMIF(95:95,C34,96:96)+100</f>
        <v>100</v>
      </c>
      <c r="K34" s="613"/>
      <c r="L34" s="1139"/>
      <c r="M34" s="1130"/>
      <c r="N34" s="1130"/>
      <c r="O34" s="1138"/>
      <c r="P34" s="3244"/>
      <c r="Q34" s="1808">
        <f t="shared" si="11"/>
        <v>111</v>
      </c>
      <c r="R34" s="773" t="s">
        <v>17</v>
      </c>
      <c r="S34" s="774">
        <f t="shared" si="12"/>
        <v>100</v>
      </c>
      <c r="T34" s="773" t="s">
        <v>17</v>
      </c>
      <c r="U34" s="774">
        <f t="shared" si="13"/>
        <v>100</v>
      </c>
      <c r="V34" s="773" t="s">
        <v>17</v>
      </c>
      <c r="W34" s="774">
        <f t="shared" si="14"/>
        <v>100</v>
      </c>
      <c r="X34" s="1811"/>
      <c r="Y34" s="3244"/>
      <c r="Z34" s="1812">
        <f t="shared" si="15"/>
        <v>111</v>
      </c>
      <c r="AA34" s="1809">
        <f t="shared" si="3"/>
        <v>1</v>
      </c>
      <c r="AB34" s="1809">
        <f t="shared" si="4"/>
        <v>1</v>
      </c>
      <c r="AC34" s="1809">
        <f t="shared" si="5"/>
        <v>1</v>
      </c>
    </row>
    <row r="35" spans="1:29" ht="15">
      <c r="A35" s="479" t="s">
        <v>2565</v>
      </c>
      <c r="B35" s="480"/>
      <c r="C35" s="1406" t="s">
        <v>1</v>
      </c>
      <c r="D35" s="1407"/>
      <c r="E35" s="1408"/>
      <c r="F35" s="1409"/>
      <c r="G35" s="1410"/>
      <c r="H35" s="1411"/>
      <c r="I35" s="1408"/>
      <c r="J35" s="1411"/>
      <c r="K35" s="782"/>
      <c r="L35" s="1142"/>
      <c r="M35" s="1143"/>
      <c r="N35" s="1130"/>
      <c r="O35" s="1143"/>
      <c r="P35" s="3246" t="str">
        <f>A35</f>
        <v>成交单价（元/平方米）</v>
      </c>
      <c r="Q35" s="3246"/>
      <c r="R35" s="3247">
        <f>E35</f>
        <v>0</v>
      </c>
      <c r="S35" s="3247"/>
      <c r="T35" s="3247">
        <f>G35</f>
        <v>0</v>
      </c>
      <c r="U35" s="3247"/>
      <c r="V35" s="3247">
        <f>I35</f>
        <v>0</v>
      </c>
      <c r="W35" s="3247"/>
      <c r="X35" s="758"/>
      <c r="Y35" s="780"/>
      <c r="Z35" s="758"/>
      <c r="AA35" s="758"/>
      <c r="AB35" s="758"/>
      <c r="AC35" s="758"/>
    </row>
    <row r="36" spans="1:29" ht="15.75" thickBot="1">
      <c r="A36" s="486" t="s">
        <v>2657</v>
      </c>
      <c r="B36" s="487"/>
      <c r="C36" s="1412" t="e">
        <f>R37</f>
        <v>#DIV/0!</v>
      </c>
      <c r="D36" s="1413"/>
      <c r="E36" s="1414" t="e">
        <f>R36</f>
        <v>#DIV/0!</v>
      </c>
      <c r="F36" s="1414"/>
      <c r="G36" s="1412" t="e">
        <f>T36</f>
        <v>#DIV/0!</v>
      </c>
      <c r="H36" s="1413"/>
      <c r="I36" s="1414" t="e">
        <f>V36</f>
        <v>#DIV/0!</v>
      </c>
      <c r="J36" s="1413"/>
      <c r="K36" s="783"/>
      <c r="L36" s="1142"/>
      <c r="M36" s="1143"/>
      <c r="N36" s="1130"/>
      <c r="O36" s="1143"/>
      <c r="P36" s="3246" t="str">
        <f>A36</f>
        <v>比较价值（元/平方米）</v>
      </c>
      <c r="Q36" s="3246"/>
      <c r="R36" s="3247" t="e">
        <f>IF(F1="售价",ROUND(PRODUCT(R35,AA7:AA34),0),ROUND(PRODUCT(R35,AA7:AA34),1))</f>
        <v>#DIV/0!</v>
      </c>
      <c r="S36" s="3247"/>
      <c r="T36" s="3247" t="e">
        <f>IF(F1="售价",ROUND(PRODUCT(T35,AB7:AB34),0),ROUND(PRODUCT(T35,AB7:AB34),1))</f>
        <v>#DIV/0!</v>
      </c>
      <c r="U36" s="3247"/>
      <c r="V36" s="3247" t="e">
        <f>IF(F1="售价",ROUND(PRODUCT(V35,AC7:AC34),0),ROUND(PRODUCT(V35,AC7:AC34),1))</f>
        <v>#DIV/0!</v>
      </c>
      <c r="W36" s="3247"/>
      <c r="X36" s="758"/>
      <c r="Y36" s="758"/>
      <c r="Z36" s="758"/>
      <c r="AA36" s="758"/>
      <c r="AB36" s="758"/>
      <c r="AC36" s="758"/>
    </row>
    <row r="37" spans="1:29" ht="15.75" thickBot="1">
      <c r="A37" s="492" t="s">
        <v>2658</v>
      </c>
      <c r="B37" s="493"/>
      <c r="C37" s="1416" t="e">
        <f>R37</f>
        <v>#DIV/0!</v>
      </c>
      <c r="D37" s="1416"/>
      <c r="E37" s="1416"/>
      <c r="F37" s="1416"/>
      <c r="G37" s="1416"/>
      <c r="H37" s="1416"/>
      <c r="I37" s="1416"/>
      <c r="J37" s="1416"/>
      <c r="K37" s="784"/>
      <c r="L37" s="1142"/>
      <c r="M37" s="1143"/>
      <c r="N37" s="1143"/>
      <c r="O37" s="1143"/>
      <c r="P37" s="3248" t="str">
        <f>A37</f>
        <v>估价对象XX用房的比较价值（楼面单价，元/平方米）</v>
      </c>
      <c r="Q37" s="3249"/>
      <c r="R37" s="3250" t="e">
        <f>IF(F1="售价",ROUND(AVERAGE(R36:V36),0),ROUND(AVERAGE(R36:V36),1))</f>
        <v>#DIV/0!</v>
      </c>
      <c r="S37" s="3250"/>
      <c r="T37" s="3250"/>
      <c r="U37" s="3250"/>
      <c r="V37" s="3250"/>
      <c r="W37" s="3250"/>
      <c r="X37" s="758"/>
      <c r="Y37" s="758"/>
      <c r="Z37" s="758"/>
      <c r="AA37" s="758"/>
      <c r="AB37" s="758"/>
      <c r="AC37" s="758"/>
    </row>
    <row r="38" spans="1:29">
      <c r="A38" s="1143"/>
      <c r="B38" s="1143"/>
      <c r="C38" s="1143"/>
      <c r="D38" s="1143"/>
      <c r="E38" s="1143"/>
      <c r="F38" s="1143"/>
      <c r="G38" s="1146"/>
      <c r="H38" s="1143"/>
      <c r="I38" s="1143"/>
      <c r="J38" s="1143"/>
      <c r="K38" s="1105"/>
      <c r="L38" s="1106"/>
      <c r="M38" s="1143"/>
      <c r="N38" s="1143"/>
      <c r="O38" s="1143"/>
    </row>
    <row r="39" spans="1:29">
      <c r="A39" s="1143"/>
      <c r="B39" s="1143"/>
      <c r="C39" s="1143"/>
      <c r="D39" s="1143"/>
      <c r="E39" s="1143"/>
      <c r="F39" s="1143"/>
      <c r="G39" s="1143"/>
      <c r="H39" s="1143"/>
      <c r="I39" s="1143"/>
      <c r="J39" s="1143"/>
      <c r="K39" s="1105"/>
      <c r="L39" s="1106"/>
      <c r="M39" s="1143"/>
      <c r="N39" s="1143"/>
      <c r="O39" s="1143"/>
    </row>
    <row r="40" spans="1:29" ht="13.5" customHeight="1">
      <c r="A40" s="1143"/>
      <c r="B40" s="1143"/>
      <c r="C40" s="497" t="s">
        <v>2659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3"/>
      <c r="N40" s="1143"/>
      <c r="O40" s="1143"/>
    </row>
    <row r="41" spans="1:29" ht="13.5" customHeight="1">
      <c r="A41" s="1143"/>
      <c r="B41" s="1143"/>
      <c r="C41" s="497" t="s">
        <v>2660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3"/>
      <c r="N41" s="1143"/>
      <c r="O41" s="1143"/>
    </row>
    <row r="42" spans="1:29" s="502" customFormat="1" ht="13.5" customHeight="1">
      <c r="A42" s="1144"/>
      <c r="B42" s="1144"/>
      <c r="C42" s="497" t="s">
        <v>2661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7"/>
      <c r="L42" s="1148"/>
      <c r="M42" s="1144"/>
      <c r="N42" s="1144"/>
      <c r="O42" s="1144"/>
    </row>
    <row r="43" spans="1:29" s="502"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5"/>
      <c r="L44" s="1106"/>
      <c r="M44" s="1143"/>
      <c r="N44" s="1143"/>
      <c r="O44" s="1143"/>
    </row>
    <row r="45" spans="1:29" ht="21.75" thickBot="1">
      <c r="A45" s="762" t="s">
        <v>2662</v>
      </c>
      <c r="B45" s="758"/>
      <c r="C45" s="763"/>
      <c r="D45" s="763"/>
      <c r="E45" s="763"/>
      <c r="F45" s="764"/>
      <c r="G45" s="764"/>
      <c r="H45" s="763"/>
      <c r="I45" s="763"/>
      <c r="J45" s="763"/>
      <c r="K45" s="765"/>
      <c r="L45" s="766"/>
      <c r="M45" s="763"/>
      <c r="N45" s="763"/>
      <c r="O45" s="763"/>
      <c r="P45" s="503"/>
      <c r="Q45" s="504"/>
    </row>
    <row r="46" spans="1:29" s="508" customFormat="1" ht="15">
      <c r="A46" s="505" t="s">
        <v>2536</v>
      </c>
      <c r="B46" s="506"/>
      <c r="C46" s="1573" t="str">
        <f>YEAR(C7)&amp;"-"&amp;MONTH(C7)</f>
        <v>2018-2</v>
      </c>
      <c r="D46" s="1574">
        <f>EDATE(C46,-1)</f>
        <v>43101</v>
      </c>
      <c r="E46" s="1574">
        <f t="shared" ref="E46:O46" si="16">EDATE(D46,-1)</f>
        <v>43070</v>
      </c>
      <c r="F46" s="1574">
        <f t="shared" si="16"/>
        <v>43040</v>
      </c>
      <c r="G46" s="1574">
        <f t="shared" si="16"/>
        <v>43009</v>
      </c>
      <c r="H46" s="1574">
        <f t="shared" si="16"/>
        <v>42979</v>
      </c>
      <c r="I46" s="1574">
        <f t="shared" si="16"/>
        <v>42948</v>
      </c>
      <c r="J46" s="1574">
        <f t="shared" si="16"/>
        <v>42917</v>
      </c>
      <c r="K46" s="1574">
        <f t="shared" si="16"/>
        <v>42887</v>
      </c>
      <c r="L46" s="1574">
        <f t="shared" si="16"/>
        <v>42856</v>
      </c>
      <c r="M46" s="1574">
        <f t="shared" si="16"/>
        <v>42826</v>
      </c>
      <c r="N46" s="1574">
        <f t="shared" si="16"/>
        <v>42795</v>
      </c>
      <c r="O46" s="1574">
        <f t="shared" si="16"/>
        <v>42767</v>
      </c>
      <c r="P46" s="507"/>
    </row>
    <row r="47" spans="1:29" s="117" customFormat="1" ht="15">
      <c r="A47" s="509"/>
      <c r="B47" s="510"/>
      <c r="C47" s="1572">
        <v>100</v>
      </c>
      <c r="D47" s="512"/>
      <c r="E47" s="512"/>
      <c r="F47" s="512"/>
      <c r="G47" s="512"/>
      <c r="H47" s="512"/>
      <c r="I47" s="512"/>
      <c r="J47" s="512"/>
      <c r="K47" s="512"/>
      <c r="L47" s="512"/>
      <c r="M47" s="513"/>
      <c r="N47" s="512"/>
      <c r="O47" s="514"/>
      <c r="P47" s="504"/>
    </row>
    <row r="48" spans="1:29" s="117" customFormat="1" ht="15.75" thickBot="1">
      <c r="A48" s="515" t="s">
        <v>2573</v>
      </c>
      <c r="B48" s="516"/>
      <c r="C48" s="517"/>
      <c r="D48" s="518"/>
      <c r="E48" s="518"/>
      <c r="F48" s="518"/>
      <c r="G48" s="518"/>
      <c r="H48" s="518"/>
      <c r="I48" s="518"/>
      <c r="J48" s="518"/>
      <c r="K48" s="518"/>
      <c r="L48" s="518"/>
      <c r="M48" s="519"/>
      <c r="N48" s="518"/>
      <c r="O48" s="520"/>
      <c r="P48" s="504"/>
      <c r="Q48" s="504"/>
    </row>
    <row r="49" spans="1:17" s="117" customFormat="1" ht="15">
      <c r="A49" s="521" t="s">
        <v>2538</v>
      </c>
      <c r="B49" s="510"/>
      <c r="C49" s="522" t="s">
        <v>2640</v>
      </c>
      <c r="D49" s="523"/>
      <c r="E49" s="523"/>
      <c r="F49" s="523"/>
      <c r="G49" s="523"/>
      <c r="H49" s="523"/>
      <c r="I49" s="523"/>
      <c r="J49" s="523"/>
      <c r="K49" s="523"/>
      <c r="L49" s="524"/>
      <c r="M49" s="525"/>
      <c r="N49" s="1150"/>
      <c r="O49" s="1150"/>
      <c r="P49" s="526"/>
      <c r="Q49" s="504"/>
    </row>
    <row r="50" spans="1:17" s="117" customFormat="1" ht="15.75" thickBot="1">
      <c r="A50" s="521"/>
      <c r="B50" s="510"/>
      <c r="C50" s="639">
        <v>100</v>
      </c>
      <c r="D50" s="512"/>
      <c r="E50" s="512"/>
      <c r="F50" s="512"/>
      <c r="G50" s="512"/>
      <c r="H50" s="512"/>
      <c r="I50" s="512"/>
      <c r="J50" s="512"/>
      <c r="K50" s="512"/>
      <c r="L50" s="512"/>
      <c r="M50" s="514"/>
      <c r="N50" s="1150"/>
      <c r="O50" s="1150"/>
      <c r="P50" s="504"/>
      <c r="Q50" s="504"/>
    </row>
    <row r="51" spans="1:17">
      <c r="A51" s="527" t="s">
        <v>2576</v>
      </c>
      <c r="B51" s="528" t="s">
        <v>2542</v>
      </c>
      <c r="C51" s="529">
        <f>C9</f>
        <v>0</v>
      </c>
      <c r="D51" s="530"/>
      <c r="E51" s="530"/>
      <c r="F51" s="530"/>
      <c r="G51" s="530"/>
      <c r="H51" s="530"/>
      <c r="I51" s="530"/>
      <c r="J51" s="530"/>
      <c r="K51" s="531"/>
      <c r="L51" s="532"/>
      <c r="M51" s="533"/>
      <c r="N51" s="1151"/>
      <c r="O51" s="1151"/>
      <c r="P51" s="45"/>
      <c r="Q51" s="504"/>
    </row>
    <row r="52" spans="1:17" ht="15.75" thickBot="1">
      <c r="A52" s="534"/>
      <c r="B52" s="535"/>
      <c r="C52" s="536">
        <v>100</v>
      </c>
      <c r="D52" s="536"/>
      <c r="E52" s="536"/>
      <c r="F52" s="536"/>
      <c r="G52" s="536"/>
      <c r="H52" s="536"/>
      <c r="I52" s="536"/>
      <c r="J52" s="536"/>
      <c r="K52" s="536"/>
      <c r="L52" s="536"/>
      <c r="M52" s="537"/>
      <c r="N52" s="1152"/>
      <c r="O52" s="1152"/>
      <c r="P52" s="45"/>
      <c r="Q52" s="504"/>
    </row>
    <row r="53" spans="1:17" ht="27.75" thickTop="1">
      <c r="A53" s="534"/>
      <c r="B53" s="538" t="s">
        <v>2545</v>
      </c>
      <c r="C53" s="539" t="s">
        <v>2577</v>
      </c>
      <c r="D53" s="539" t="s">
        <v>2578</v>
      </c>
      <c r="E53" s="539" t="s">
        <v>2579</v>
      </c>
      <c r="F53" s="539" t="s">
        <v>2580</v>
      </c>
      <c r="G53" s="539" t="s">
        <v>2581</v>
      </c>
      <c r="H53" s="539" t="s">
        <v>2582</v>
      </c>
      <c r="I53" s="539" t="s">
        <v>2583</v>
      </c>
      <c r="J53" s="539"/>
      <c r="K53" s="540"/>
      <c r="L53" s="541"/>
      <c r="M53" s="542"/>
      <c r="N53" s="1151"/>
      <c r="O53" s="1151"/>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2"/>
      <c r="O54" s="1152"/>
      <c r="P54" s="45"/>
      <c r="Q54" s="504"/>
    </row>
    <row r="55" spans="1:17" ht="15.75" thickTop="1">
      <c r="A55" s="534"/>
      <c r="B55" s="660">
        <f>B11</f>
        <v>111</v>
      </c>
      <c r="C55" s="549"/>
      <c r="D55" s="549"/>
      <c r="E55" s="549"/>
      <c r="F55" s="549"/>
      <c r="G55" s="549"/>
      <c r="H55" s="549"/>
      <c r="I55" s="549"/>
      <c r="J55" s="549"/>
      <c r="K55" s="550"/>
      <c r="L55" s="551"/>
      <c r="M55" s="552"/>
      <c r="N55" s="1151"/>
      <c r="O55" s="1151"/>
      <c r="P55" s="45"/>
      <c r="Q55" s="504"/>
    </row>
    <row r="56" spans="1:17" ht="15.75" thickBot="1">
      <c r="A56" s="534"/>
      <c r="B56" s="535"/>
      <c r="C56" s="560"/>
      <c r="D56" s="536"/>
      <c r="E56" s="536"/>
      <c r="F56" s="536"/>
      <c r="G56" s="536"/>
      <c r="H56" s="536"/>
      <c r="I56" s="536"/>
      <c r="J56" s="536"/>
      <c r="K56" s="536"/>
      <c r="L56" s="536"/>
      <c r="M56" s="537"/>
      <c r="N56" s="1152"/>
      <c r="O56" s="1152"/>
      <c r="P56" s="45"/>
      <c r="Q56" s="504"/>
    </row>
    <row r="57" spans="1:17" s="471" customFormat="1" ht="15.75" thickTop="1">
      <c r="A57" s="553"/>
      <c r="B57" s="538">
        <f>B12</f>
        <v>111</v>
      </c>
      <c r="C57" s="549"/>
      <c r="D57" s="549"/>
      <c r="E57" s="549"/>
      <c r="F57" s="549"/>
      <c r="G57" s="554"/>
      <c r="H57" s="555"/>
      <c r="I57" s="555"/>
      <c r="J57" s="555"/>
      <c r="K57" s="555"/>
      <c r="L57" s="556"/>
      <c r="M57" s="557"/>
      <c r="N57" s="1153"/>
      <c r="O57" s="1153"/>
      <c r="P57" s="558"/>
      <c r="Q57" s="559"/>
    </row>
    <row r="58" spans="1:17" s="471" customFormat="1" ht="15.75" thickBot="1">
      <c r="A58" s="553"/>
      <c r="B58" s="543"/>
      <c r="C58" s="560"/>
      <c r="D58" s="536"/>
      <c r="E58" s="536"/>
      <c r="F58" s="536"/>
      <c r="G58" s="536"/>
      <c r="H58" s="536"/>
      <c r="I58" s="536"/>
      <c r="J58" s="536"/>
      <c r="K58" s="536"/>
      <c r="L58" s="536"/>
      <c r="M58" s="537"/>
      <c r="N58" s="1152"/>
      <c r="O58" s="1152"/>
      <c r="P58" s="558"/>
      <c r="Q58" s="559"/>
    </row>
    <row r="59" spans="1:17" s="471" customFormat="1" ht="15.75" thickTop="1">
      <c r="A59" s="553"/>
      <c r="B59" s="538">
        <f>B13</f>
        <v>111</v>
      </c>
      <c r="C59" s="549"/>
      <c r="D59" s="549"/>
      <c r="E59" s="549"/>
      <c r="F59" s="549"/>
      <c r="G59" s="554"/>
      <c r="H59" s="555"/>
      <c r="I59" s="555"/>
      <c r="J59" s="555"/>
      <c r="K59" s="555"/>
      <c r="L59" s="556"/>
      <c r="M59" s="557"/>
      <c r="N59" s="1153"/>
      <c r="O59" s="1153"/>
      <c r="P59" s="470"/>
      <c r="Q59" s="561"/>
    </row>
    <row r="60" spans="1:17" s="471" customFormat="1" ht="15.75" thickBot="1">
      <c r="A60" s="553"/>
      <c r="B60" s="543"/>
      <c r="C60" s="560"/>
      <c r="D60" s="560"/>
      <c r="E60" s="560"/>
      <c r="F60" s="560"/>
      <c r="G60" s="560"/>
      <c r="H60" s="562"/>
      <c r="I60" s="562"/>
      <c r="J60" s="562"/>
      <c r="K60" s="562"/>
      <c r="L60" s="562"/>
      <c r="M60" s="563"/>
      <c r="N60" s="1153"/>
      <c r="O60" s="1153"/>
      <c r="P60" s="558"/>
      <c r="Q60" s="559"/>
    </row>
    <row r="61" spans="1:17" ht="15" thickTop="1">
      <c r="A61" s="527" t="s">
        <v>2547</v>
      </c>
      <c r="B61" s="528" t="s">
        <v>2590</v>
      </c>
      <c r="C61" s="573" t="s">
        <v>2585</v>
      </c>
      <c r="D61" s="573" t="s">
        <v>2586</v>
      </c>
      <c r="E61" s="573" t="s">
        <v>2587</v>
      </c>
      <c r="F61" s="573" t="s">
        <v>2588</v>
      </c>
      <c r="G61" s="573" t="s">
        <v>2589</v>
      </c>
      <c r="H61" s="529"/>
      <c r="I61" s="529"/>
      <c r="J61" s="529"/>
      <c r="K61" s="574"/>
      <c r="L61" s="575"/>
      <c r="M61" s="576"/>
      <c r="N61" s="1151"/>
      <c r="O61" s="1151"/>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2"/>
      <c r="O62" s="1152"/>
      <c r="P62" s="45"/>
      <c r="Q62" s="504"/>
    </row>
    <row r="63" spans="1:17" ht="27.75" thickTop="1">
      <c r="A63" s="534"/>
      <c r="B63" s="538" t="s">
        <v>2728</v>
      </c>
      <c r="C63" s="578" t="s">
        <v>2585</v>
      </c>
      <c r="D63" s="578" t="s">
        <v>2586</v>
      </c>
      <c r="E63" s="578" t="s">
        <v>2587</v>
      </c>
      <c r="F63" s="578" t="s">
        <v>2588</v>
      </c>
      <c r="G63" s="578" t="s">
        <v>2589</v>
      </c>
      <c r="H63" s="539"/>
      <c r="I63" s="539"/>
      <c r="J63" s="539"/>
      <c r="K63" s="540"/>
      <c r="L63" s="541"/>
      <c r="M63" s="542"/>
      <c r="N63" s="1151"/>
      <c r="O63" s="1151"/>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2"/>
      <c r="O64" s="1152"/>
      <c r="P64" s="45"/>
      <c r="Q64" s="504"/>
    </row>
    <row r="65" spans="1:17" ht="15.75" thickTop="1">
      <c r="A65" s="534"/>
      <c r="B65" s="546" t="s">
        <v>2677</v>
      </c>
      <c r="C65" s="660" t="s">
        <v>2663</v>
      </c>
      <c r="D65" s="660" t="s">
        <v>2664</v>
      </c>
      <c r="E65" s="660" t="s">
        <v>2665</v>
      </c>
      <c r="F65" s="660" t="s">
        <v>2666</v>
      </c>
      <c r="G65" s="660" t="s">
        <v>2667</v>
      </c>
      <c r="H65" s="539"/>
      <c r="I65" s="539"/>
      <c r="J65" s="539"/>
      <c r="K65" s="539"/>
      <c r="L65" s="539"/>
      <c r="M65" s="1381"/>
      <c r="N65" s="1152"/>
      <c r="O65" s="1152"/>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2"/>
      <c r="O66" s="1152"/>
      <c r="P66" s="45"/>
      <c r="Q66" s="504"/>
    </row>
    <row r="67" spans="1:17" ht="15.75" thickTop="1">
      <c r="A67" s="534"/>
      <c r="B67" s="538" t="s">
        <v>2597</v>
      </c>
      <c r="C67" s="578" t="s">
        <v>2585</v>
      </c>
      <c r="D67" s="578" t="s">
        <v>2586</v>
      </c>
      <c r="E67" s="578" t="s">
        <v>2587</v>
      </c>
      <c r="F67" s="578" t="s">
        <v>2588</v>
      </c>
      <c r="G67" s="578" t="s">
        <v>2589</v>
      </c>
      <c r="H67" s="539"/>
      <c r="I67" s="539"/>
      <c r="J67" s="539"/>
      <c r="K67" s="540"/>
      <c r="L67" s="541"/>
      <c r="M67" s="542"/>
      <c r="N67" s="1151"/>
      <c r="O67" s="1151"/>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2"/>
      <c r="O68" s="1152"/>
      <c r="P68" s="45"/>
      <c r="Q68" s="504"/>
    </row>
    <row r="69" spans="1:17" ht="15.75" thickTop="1">
      <c r="A69" s="534"/>
      <c r="B69" s="538" t="s">
        <v>2717</v>
      </c>
      <c r="C69" s="554"/>
      <c r="D69" s="554"/>
      <c r="E69" s="554"/>
      <c r="F69" s="554"/>
      <c r="G69" s="554"/>
      <c r="H69" s="583"/>
      <c r="I69" s="583"/>
      <c r="J69" s="583"/>
      <c r="K69" s="584"/>
      <c r="L69" s="585"/>
      <c r="M69" s="586"/>
      <c r="N69" s="1151"/>
      <c r="O69" s="1151"/>
      <c r="P69" s="45"/>
      <c r="Q69" s="504"/>
    </row>
    <row r="70" spans="1:17" ht="15.75" thickBot="1">
      <c r="A70" s="534"/>
      <c r="B70" s="543"/>
      <c r="C70" s="544">
        <v>100</v>
      </c>
      <c r="D70" s="544">
        <f>C70-$K22</f>
        <v>100</v>
      </c>
      <c r="E70" s="544"/>
      <c r="F70" s="544"/>
      <c r="G70" s="544"/>
      <c r="H70" s="544"/>
      <c r="I70" s="544"/>
      <c r="J70" s="544"/>
      <c r="K70" s="544"/>
      <c r="L70" s="544"/>
      <c r="M70" s="545"/>
      <c r="N70" s="1152"/>
      <c r="O70" s="1152"/>
      <c r="P70" s="45"/>
      <c r="Q70" s="504"/>
    </row>
    <row r="71" spans="1:17" s="117" customFormat="1" ht="15.75" thickTop="1">
      <c r="A71" s="579"/>
      <c r="B71" s="538">
        <f>B23</f>
        <v>111</v>
      </c>
      <c r="C71" s="549"/>
      <c r="D71" s="549"/>
      <c r="E71" s="549"/>
      <c r="F71" s="549"/>
      <c r="G71" s="554"/>
      <c r="H71" s="554"/>
      <c r="I71" s="554"/>
      <c r="J71" s="554"/>
      <c r="K71" s="554"/>
      <c r="L71" s="580"/>
      <c r="M71" s="581"/>
      <c r="N71" s="1150"/>
      <c r="O71" s="1150"/>
      <c r="P71" s="45"/>
      <c r="Q71" s="504"/>
    </row>
    <row r="72" spans="1:17" s="117" customFormat="1" ht="15.75" thickBot="1">
      <c r="A72" s="579"/>
      <c r="B72" s="543"/>
      <c r="C72" s="560"/>
      <c r="D72" s="536"/>
      <c r="E72" s="536"/>
      <c r="F72" s="536"/>
      <c r="G72" s="536"/>
      <c r="H72" s="536"/>
      <c r="I72" s="536"/>
      <c r="J72" s="536"/>
      <c r="K72" s="536"/>
      <c r="L72" s="536"/>
      <c r="M72" s="537"/>
      <c r="N72" s="1152"/>
      <c r="O72" s="1152"/>
      <c r="P72" s="45"/>
      <c r="Q72" s="504"/>
    </row>
    <row r="73" spans="1:17" s="117" customFormat="1" ht="15.75" thickTop="1">
      <c r="A73" s="579"/>
      <c r="B73" s="538">
        <f>B24</f>
        <v>111</v>
      </c>
      <c r="C73" s="549"/>
      <c r="D73" s="549"/>
      <c r="E73" s="549"/>
      <c r="F73" s="549"/>
      <c r="G73" s="554"/>
      <c r="H73" s="554"/>
      <c r="I73" s="554"/>
      <c r="J73" s="554"/>
      <c r="K73" s="554"/>
      <c r="L73" s="554"/>
      <c r="M73" s="581"/>
      <c r="N73" s="1150"/>
      <c r="O73" s="1150"/>
      <c r="P73" s="45"/>
      <c r="Q73" s="504"/>
    </row>
    <row r="74" spans="1:17" s="117" customFormat="1" ht="15.75" thickBot="1">
      <c r="A74" s="579"/>
      <c r="B74" s="543"/>
      <c r="C74" s="560"/>
      <c r="D74" s="536"/>
      <c r="E74" s="536"/>
      <c r="F74" s="536"/>
      <c r="G74" s="536"/>
      <c r="H74" s="536"/>
      <c r="I74" s="536"/>
      <c r="J74" s="536"/>
      <c r="K74" s="536"/>
      <c r="L74" s="536"/>
      <c r="M74" s="537"/>
      <c r="N74" s="1152"/>
      <c r="O74" s="1152"/>
      <c r="P74" s="45"/>
      <c r="Q74" s="504"/>
    </row>
    <row r="75" spans="1:17" s="471" customFormat="1" ht="15.75" thickTop="1">
      <c r="A75" s="553"/>
      <c r="B75" s="538">
        <f>B25</f>
        <v>111</v>
      </c>
      <c r="C75" s="549"/>
      <c r="D75" s="549"/>
      <c r="E75" s="549"/>
      <c r="F75" s="549"/>
      <c r="G75" s="554"/>
      <c r="H75" s="555"/>
      <c r="I75" s="555"/>
      <c r="J75" s="555"/>
      <c r="K75" s="555"/>
      <c r="L75" s="556"/>
      <c r="M75" s="557"/>
      <c r="N75" s="1153"/>
      <c r="O75" s="1153"/>
      <c r="P75" s="558"/>
      <c r="Q75" s="559"/>
    </row>
    <row r="76" spans="1:17" s="471" customFormat="1" ht="15.75" thickBot="1">
      <c r="A76" s="553"/>
      <c r="B76" s="543"/>
      <c r="C76" s="560"/>
      <c r="D76" s="560"/>
      <c r="E76" s="560"/>
      <c r="F76" s="560"/>
      <c r="G76" s="536"/>
      <c r="H76" s="536"/>
      <c r="I76" s="536"/>
      <c r="J76" s="536"/>
      <c r="K76" s="536"/>
      <c r="L76" s="536"/>
      <c r="M76" s="537"/>
      <c r="N76" s="1153"/>
      <c r="O76" s="1153"/>
      <c r="P76" s="558"/>
      <c r="Q76" s="559"/>
    </row>
    <row r="77" spans="1:17" ht="15" thickTop="1">
      <c r="A77" s="527" t="s">
        <v>2551</v>
      </c>
      <c r="B77" s="528" t="s">
        <v>2604</v>
      </c>
      <c r="C77" s="554"/>
      <c r="D77" s="554"/>
      <c r="E77" s="530"/>
      <c r="F77" s="530"/>
      <c r="G77" s="530"/>
      <c r="H77" s="530"/>
      <c r="I77" s="530"/>
      <c r="J77" s="530"/>
      <c r="K77" s="531"/>
      <c r="L77" s="532"/>
      <c r="M77" s="533"/>
      <c r="N77" s="1151"/>
      <c r="O77" s="1151"/>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2"/>
      <c r="O78" s="1152"/>
      <c r="P78" s="45"/>
      <c r="Q78" s="504"/>
    </row>
    <row r="79" spans="1:17" ht="15.75" thickTop="1">
      <c r="A79" s="534"/>
      <c r="B79" s="538" t="s">
        <v>2720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0"/>
      <c r="O79" s="1150"/>
      <c r="P79" s="45"/>
      <c r="Q79" s="504"/>
    </row>
    <row r="80" spans="1:17" ht="15">
      <c r="A80" s="534"/>
      <c r="B80" s="546"/>
      <c r="C80" s="603">
        <v>0.5</v>
      </c>
      <c r="D80" s="603">
        <v>0.6</v>
      </c>
      <c r="E80" s="603">
        <v>0.7</v>
      </c>
      <c r="F80" s="603">
        <v>0.8</v>
      </c>
      <c r="G80" s="603">
        <v>0.9</v>
      </c>
      <c r="H80" s="603">
        <v>1.0001</v>
      </c>
      <c r="I80" s="660"/>
      <c r="J80" s="660"/>
      <c r="K80" s="668"/>
      <c r="L80" s="669"/>
      <c r="M80" s="670"/>
      <c r="N80" s="1150"/>
      <c r="O80" s="1150"/>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2"/>
      <c r="O81" s="1152"/>
      <c r="P81" s="558"/>
      <c r="Q81" s="559"/>
    </row>
    <row r="82" spans="1:17" ht="15" thickTop="1">
      <c r="A82" s="599"/>
      <c r="B82" s="546" t="s">
        <v>2721</v>
      </c>
      <c r="C82" s="554"/>
      <c r="D82" s="554"/>
      <c r="E82" s="583"/>
      <c r="F82" s="583"/>
      <c r="G82" s="583"/>
      <c r="H82" s="583"/>
      <c r="I82" s="583"/>
      <c r="J82" s="583"/>
      <c r="K82" s="584"/>
      <c r="L82" s="585"/>
      <c r="M82" s="586"/>
      <c r="N82" s="1151"/>
      <c r="O82" s="1151"/>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2"/>
      <c r="O83" s="1152"/>
      <c r="P83" s="45"/>
      <c r="Q83" s="504"/>
    </row>
    <row r="84" spans="1:17" ht="15" thickTop="1">
      <c r="A84" s="599"/>
      <c r="B84" s="538" t="s">
        <v>2729</v>
      </c>
      <c r="C84" s="554"/>
      <c r="D84" s="554"/>
      <c r="E84" s="554"/>
      <c r="F84" s="554"/>
      <c r="G84" s="554"/>
      <c r="H84" s="554"/>
      <c r="I84" s="583"/>
      <c r="J84" s="583"/>
      <c r="K84" s="584"/>
      <c r="L84" s="585"/>
      <c r="M84" s="586"/>
      <c r="N84" s="1151"/>
      <c r="O84" s="1151"/>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2"/>
      <c r="O85" s="1152"/>
      <c r="P85" s="45"/>
      <c r="Q85" s="504"/>
    </row>
    <row r="86" spans="1:17" ht="15" thickTop="1">
      <c r="A86" s="599"/>
      <c r="B86" s="546" t="s">
        <v>2730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1"/>
      <c r="O86" s="1151"/>
      <c r="P86" s="45"/>
      <c r="Q86" s="504"/>
    </row>
    <row r="87" spans="1:17">
      <c r="A87" s="599"/>
      <c r="B87" s="546"/>
      <c r="C87" s="595"/>
      <c r="D87" s="595"/>
      <c r="E87" s="595"/>
      <c r="F87" s="595"/>
      <c r="G87" s="595"/>
      <c r="H87" s="595"/>
      <c r="I87" s="595"/>
      <c r="J87" s="596"/>
      <c r="K87" s="596"/>
      <c r="L87" s="597"/>
      <c r="M87" s="598"/>
      <c r="N87" s="1151"/>
      <c r="O87" s="1151"/>
      <c r="P87" s="45"/>
      <c r="Q87" s="504"/>
    </row>
    <row r="88" spans="1:17" ht="15.75" thickBot="1">
      <c r="A88" s="534"/>
      <c r="B88" s="543"/>
      <c r="C88" s="560"/>
      <c r="D88" s="536"/>
      <c r="E88" s="536"/>
      <c r="F88" s="536"/>
      <c r="G88" s="536"/>
      <c r="H88" s="536"/>
      <c r="I88" s="536"/>
      <c r="J88" s="536"/>
      <c r="K88" s="536"/>
      <c r="L88" s="536"/>
      <c r="M88" s="536"/>
      <c r="N88" s="1152"/>
      <c r="O88" s="1152"/>
      <c r="P88" s="45"/>
      <c r="Q88" s="504"/>
    </row>
    <row r="89" spans="1:17" s="471" customFormat="1" ht="15" thickTop="1">
      <c r="A89" s="593"/>
      <c r="B89" s="538" t="s">
        <v>2731</v>
      </c>
      <c r="C89" s="554"/>
      <c r="D89" s="554"/>
      <c r="E89" s="554"/>
      <c r="F89" s="554"/>
      <c r="G89" s="554"/>
      <c r="H89" s="554"/>
      <c r="I89" s="554"/>
      <c r="J89" s="554"/>
      <c r="K89" s="554"/>
      <c r="L89" s="554"/>
      <c r="M89" s="581"/>
      <c r="N89" s="1153"/>
      <c r="O89" s="1153"/>
      <c r="P89" s="558"/>
      <c r="Q89" s="559"/>
    </row>
    <row r="90" spans="1:17" s="471" customFormat="1" ht="15.75" thickBot="1">
      <c r="A90" s="553"/>
      <c r="B90" s="543"/>
      <c r="C90" s="560"/>
      <c r="D90" s="536"/>
      <c r="E90" s="536"/>
      <c r="F90" s="536"/>
      <c r="G90" s="536"/>
      <c r="H90" s="536"/>
      <c r="I90" s="536"/>
      <c r="J90" s="536"/>
      <c r="K90" s="536"/>
      <c r="L90" s="536"/>
      <c r="M90" s="537"/>
      <c r="N90" s="1153"/>
      <c r="O90" s="1153"/>
      <c r="P90" s="558"/>
      <c r="Q90" s="559"/>
    </row>
    <row r="91" spans="1:17" ht="15" thickTop="1">
      <c r="A91" s="599"/>
      <c r="B91" s="538">
        <f>B32</f>
        <v>111</v>
      </c>
      <c r="C91" s="549"/>
      <c r="D91" s="549"/>
      <c r="E91" s="549"/>
      <c r="F91" s="549"/>
      <c r="G91" s="554"/>
      <c r="H91" s="555"/>
      <c r="I91" s="555"/>
      <c r="J91" s="555"/>
      <c r="K91" s="555"/>
      <c r="L91" s="556"/>
      <c r="M91" s="557"/>
      <c r="N91" s="1151"/>
      <c r="O91" s="1151"/>
      <c r="P91" s="45"/>
      <c r="Q91" s="504"/>
    </row>
    <row r="92" spans="1:17" ht="15.75" thickBot="1">
      <c r="A92" s="534"/>
      <c r="B92" s="543"/>
      <c r="C92" s="560"/>
      <c r="D92" s="536"/>
      <c r="E92" s="536"/>
      <c r="F92" s="536"/>
      <c r="G92" s="560"/>
      <c r="H92" s="562"/>
      <c r="I92" s="562"/>
      <c r="J92" s="562"/>
      <c r="K92" s="562"/>
      <c r="L92" s="562"/>
      <c r="M92" s="563"/>
      <c r="N92" s="1152"/>
      <c r="O92" s="1152"/>
      <c r="P92" s="45"/>
      <c r="Q92" s="504"/>
    </row>
    <row r="93" spans="1:17" ht="15" thickTop="1">
      <c r="A93" s="599"/>
      <c r="B93" s="538">
        <f>B33</f>
        <v>111</v>
      </c>
      <c r="C93" s="549"/>
      <c r="D93" s="549"/>
      <c r="E93" s="549"/>
      <c r="F93" s="549"/>
      <c r="G93" s="554"/>
      <c r="H93" s="555"/>
      <c r="I93" s="555"/>
      <c r="J93" s="555"/>
      <c r="K93" s="555"/>
      <c r="L93" s="556"/>
      <c r="M93" s="557"/>
      <c r="N93" s="1151"/>
      <c r="O93" s="1151"/>
      <c r="P93" s="45"/>
      <c r="Q93" s="504"/>
    </row>
    <row r="94" spans="1:17" ht="15.75" thickBot="1">
      <c r="A94" s="534"/>
      <c r="B94" s="543"/>
      <c r="C94" s="560"/>
      <c r="D94" s="536"/>
      <c r="E94" s="536"/>
      <c r="F94" s="536"/>
      <c r="G94" s="560"/>
      <c r="H94" s="562"/>
      <c r="I94" s="562"/>
      <c r="J94" s="562"/>
      <c r="K94" s="562"/>
      <c r="L94" s="562"/>
      <c r="M94" s="563"/>
      <c r="N94" s="1152"/>
      <c r="O94" s="1152"/>
      <c r="P94" s="45"/>
      <c r="Q94" s="504"/>
    </row>
    <row r="95" spans="1:17" ht="15" thickTop="1">
      <c r="A95" s="599"/>
      <c r="B95" s="636">
        <f>B34</f>
        <v>111</v>
      </c>
      <c r="C95" s="549"/>
      <c r="D95" s="549"/>
      <c r="E95" s="549"/>
      <c r="F95" s="549"/>
      <c r="G95" s="554"/>
      <c r="H95" s="555"/>
      <c r="I95" s="555"/>
      <c r="J95" s="555"/>
      <c r="K95" s="555"/>
      <c r="L95" s="556"/>
      <c r="M95" s="557"/>
      <c r="N95" s="1152"/>
      <c r="O95" s="1152"/>
      <c r="P95" s="637"/>
      <c r="Q95" s="638"/>
    </row>
    <row r="96" spans="1:17" ht="15.75" thickBot="1">
      <c r="A96" s="534"/>
      <c r="B96" s="543"/>
      <c r="C96" s="560"/>
      <c r="D96" s="560"/>
      <c r="E96" s="560"/>
      <c r="F96" s="560"/>
      <c r="G96" s="560"/>
      <c r="H96" s="562"/>
      <c r="I96" s="562"/>
      <c r="J96" s="562"/>
      <c r="K96" s="562"/>
      <c r="L96" s="562"/>
      <c r="M96" s="563"/>
      <c r="N96" s="1152"/>
      <c r="O96" s="1152"/>
      <c r="P96" s="45"/>
      <c r="Q96" s="504"/>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72" priority="14" stopIfTrue="1" operator="containsText" text="超过">
      <formula>NOT(ISERROR(SEARCH("超过",F40)))</formula>
    </cfRule>
  </conditionalFormatting>
  <conditionalFormatting sqref="J42">
    <cfRule type="containsText" dxfId="71" priority="13" stopIfTrue="1" operator="containsText" text="超过">
      <formula>NOT(ISERROR(SEARCH("超过",J42)))</formula>
    </cfRule>
  </conditionalFormatting>
  <conditionalFormatting sqref="H42">
    <cfRule type="containsText" dxfId="70" priority="12" stopIfTrue="1" operator="containsText" text="超过">
      <formula>NOT(ISERROR(SEARCH("超过",H42)))</formula>
    </cfRule>
  </conditionalFormatting>
  <conditionalFormatting sqref="F42">
    <cfRule type="containsText" dxfId="69" priority="11" stopIfTrue="1" operator="containsText" text="超过">
      <formula>NOT(ISERROR(SEARCH("超过",F42)))</formula>
    </cfRule>
  </conditionalFormatting>
  <conditionalFormatting sqref="F41 H41 J41">
    <cfRule type="containsText" dxfId="68" priority="10" stopIfTrue="1" operator="containsText" text="超过">
      <formula>NOT(ISERROR(SEARCH("超过",F41)))</formula>
    </cfRule>
  </conditionalFormatting>
  <conditionalFormatting sqref="E40">
    <cfRule type="expression" dxfId="67" priority="9" stopIfTrue="1">
      <formula>$F$40="超过30%"</formula>
    </cfRule>
  </conditionalFormatting>
  <conditionalFormatting sqref="G42">
    <cfRule type="expression" dxfId="66" priority="8" stopIfTrue="1">
      <formula>$H$54+$H$42="超过30%"</formula>
    </cfRule>
  </conditionalFormatting>
  <conditionalFormatting sqref="E41">
    <cfRule type="expression" dxfId="65" priority="7" stopIfTrue="1">
      <formula>$F$41="超过20%"</formula>
    </cfRule>
  </conditionalFormatting>
  <conditionalFormatting sqref="E42">
    <cfRule type="expression" dxfId="64" priority="6" stopIfTrue="1">
      <formula>$F$42="超过30%"</formula>
    </cfRule>
  </conditionalFormatting>
  <conditionalFormatting sqref="G40">
    <cfRule type="expression" dxfId="63" priority="5" stopIfTrue="1">
      <formula>$H$52+$H$40="超过30%"</formula>
    </cfRule>
  </conditionalFormatting>
  <conditionalFormatting sqref="G41">
    <cfRule type="expression" dxfId="62" priority="4" stopIfTrue="1">
      <formula>$H$53+$H$41="超过20%"</formula>
    </cfRule>
  </conditionalFormatting>
  <conditionalFormatting sqref="I40">
    <cfRule type="expression" dxfId="61" priority="3" stopIfTrue="1">
      <formula>$J$40="超过30%"</formula>
    </cfRule>
  </conditionalFormatting>
  <conditionalFormatting sqref="I41">
    <cfRule type="expression" dxfId="60" priority="2" stopIfTrue="1">
      <formula>$J$41="超过20%"</formula>
    </cfRule>
  </conditionalFormatting>
  <conditionalFormatting sqref="I42">
    <cfRule type="expression" dxfId="5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2732</v>
      </c>
      <c r="B1" s="395"/>
      <c r="C1" s="396" t="s">
        <v>2733</v>
      </c>
      <c r="D1" s="754"/>
      <c r="E1" s="754"/>
      <c r="F1" s="753" t="s">
        <v>2631</v>
      </c>
      <c r="G1" s="754"/>
      <c r="H1" s="754"/>
      <c r="I1" s="754"/>
      <c r="J1" s="754"/>
      <c r="K1" s="755"/>
      <c r="L1" s="756"/>
      <c r="M1" s="757"/>
      <c r="N1" s="757"/>
      <c r="O1" s="757"/>
      <c r="P1" s="767"/>
      <c r="Q1" s="767"/>
      <c r="R1" s="767"/>
      <c r="S1" s="767"/>
      <c r="T1" s="767"/>
      <c r="U1" s="767"/>
      <c r="V1" s="767"/>
      <c r="W1" s="767"/>
      <c r="X1" s="767"/>
      <c r="Y1" s="767"/>
      <c r="Z1" s="767"/>
      <c r="AA1" s="767"/>
      <c r="AB1" s="767"/>
      <c r="AC1" s="768"/>
      <c r="AD1" s="397"/>
    </row>
    <row r="2" spans="1:30" s="398" customFormat="1" ht="28.5" customHeight="1">
      <c r="A2" s="245" t="s">
        <v>2315</v>
      </c>
      <c r="B2" s="671" t="e">
        <f>F66</f>
        <v>#DIV/0!</v>
      </c>
      <c r="C2" s="1123"/>
      <c r="D2" s="1123"/>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c r="AD2" s="397"/>
    </row>
    <row r="3" spans="1:30" s="398" customFormat="1" ht="28.5" customHeight="1" thickBot="1">
      <c r="A3" s="247" t="s">
        <v>2317</v>
      </c>
      <c r="B3" s="609" t="e">
        <f>ROUND(IF(D3="",B2*10000/'数据-汇总表'!E3,B2*10000/D3),0)</f>
        <v>#DIV/0!</v>
      </c>
      <c r="C3" s="247" t="s">
        <v>2734</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30" ht="15">
      <c r="A4" s="401" t="s">
        <v>2633</v>
      </c>
      <c r="B4" s="402"/>
      <c r="C4" s="3224" t="s">
        <v>2634</v>
      </c>
      <c r="D4" s="3225"/>
      <c r="E4" s="3226" t="s">
        <v>2635</v>
      </c>
      <c r="F4" s="3227"/>
      <c r="G4" s="3224" t="s">
        <v>2636</v>
      </c>
      <c r="H4" s="3225"/>
      <c r="I4" s="3224" t="s">
        <v>2637</v>
      </c>
      <c r="J4" s="3225"/>
      <c r="K4" s="610" t="s">
        <v>2638</v>
      </c>
      <c r="L4" s="1129"/>
      <c r="M4" s="1130"/>
      <c r="N4" s="1130"/>
      <c r="O4" s="1130"/>
      <c r="P4" s="3228" t="s">
        <v>2639</v>
      </c>
      <c r="Q4" s="3229"/>
      <c r="R4" s="3211" t="s">
        <v>2635</v>
      </c>
      <c r="S4" s="3212"/>
      <c r="T4" s="3211" t="s">
        <v>2636</v>
      </c>
      <c r="U4" s="3212"/>
      <c r="V4" s="3208" t="s">
        <v>2637</v>
      </c>
      <c r="W4" s="3208"/>
      <c r="X4" s="1811"/>
      <c r="Y4" s="3211" t="s">
        <v>2639</v>
      </c>
      <c r="Z4" s="3212"/>
      <c r="AA4" s="3205" t="s">
        <v>2635</v>
      </c>
      <c r="AB4" s="3206" t="s">
        <v>2636</v>
      </c>
      <c r="AC4" s="3205" t="s">
        <v>2637</v>
      </c>
    </row>
    <row r="5" spans="1:30" ht="15">
      <c r="A5" s="404"/>
      <c r="B5" s="405"/>
      <c r="C5" s="3283" t="s">
        <v>2530</v>
      </c>
      <c r="D5" s="3218"/>
      <c r="E5" s="3282" t="s">
        <v>2531</v>
      </c>
      <c r="F5" s="3216"/>
      <c r="G5" s="3283" t="s">
        <v>2532</v>
      </c>
      <c r="H5" s="3218"/>
      <c r="I5" s="3283" t="s">
        <v>2533</v>
      </c>
      <c r="J5" s="3218"/>
      <c r="K5" s="610"/>
      <c r="L5" s="1129"/>
      <c r="M5" s="1130"/>
      <c r="N5" s="1130"/>
      <c r="O5" s="1130"/>
      <c r="P5" s="3230"/>
      <c r="Q5" s="3231"/>
      <c r="R5" s="3213"/>
      <c r="S5" s="3214"/>
      <c r="T5" s="3213"/>
      <c r="U5" s="3214"/>
      <c r="V5" s="3208"/>
      <c r="W5" s="3208"/>
      <c r="X5" s="1811"/>
      <c r="Y5" s="3213"/>
      <c r="Z5" s="3214"/>
      <c r="AA5" s="3206"/>
      <c r="AB5" s="3206"/>
      <c r="AC5" s="3206"/>
    </row>
    <row r="6" spans="1:30" ht="15.75" thickBot="1">
      <c r="A6" s="406"/>
      <c r="B6" s="407"/>
      <c r="C6" s="3219" t="s">
        <v>2534</v>
      </c>
      <c r="D6" s="3220"/>
      <c r="E6" s="3221" t="s">
        <v>2534</v>
      </c>
      <c r="F6" s="3222"/>
      <c r="G6" s="3219" t="s">
        <v>2534</v>
      </c>
      <c r="H6" s="3220"/>
      <c r="I6" s="3219" t="s">
        <v>2534</v>
      </c>
      <c r="J6" s="3220"/>
      <c r="K6" s="610" t="s">
        <v>2535</v>
      </c>
      <c r="L6" s="1129"/>
      <c r="M6" s="1130"/>
      <c r="N6" s="1130"/>
      <c r="O6" s="1130"/>
      <c r="P6" s="3232"/>
      <c r="Q6" s="3233"/>
      <c r="R6" s="3213"/>
      <c r="S6" s="3214"/>
      <c r="T6" s="3234"/>
      <c r="U6" s="3235"/>
      <c r="V6" s="3208"/>
      <c r="W6" s="3208"/>
      <c r="X6" s="1811"/>
      <c r="Y6" s="3234"/>
      <c r="Z6" s="3235"/>
      <c r="AA6" s="3207"/>
      <c r="AB6" s="3207"/>
      <c r="AC6" s="3207"/>
    </row>
    <row r="7" spans="1:30" s="117" customFormat="1" ht="15.75" thickBot="1">
      <c r="A7" s="408" t="s">
        <v>2536</v>
      </c>
      <c r="B7" s="409"/>
      <c r="C7" s="410">
        <f>'数据-取费表'!B2</f>
        <v>43132</v>
      </c>
      <c r="D7" s="411">
        <v>100</v>
      </c>
      <c r="E7" s="412">
        <v>42309</v>
      </c>
      <c r="F7" s="413">
        <f>SUMIF(70:70,YEAR(E7)&amp;"-"&amp;INT((MONTH(E7)+2)/3),71:71)</f>
        <v>0</v>
      </c>
      <c r="G7" s="2691">
        <v>42309</v>
      </c>
      <c r="H7" s="411">
        <f>SUMIF(70:70,YEAR(G7)&amp;"-"&amp;INT((MONTH(G7)+2)/3),71:71)</f>
        <v>0</v>
      </c>
      <c r="I7" s="2691">
        <v>42036</v>
      </c>
      <c r="J7" s="411">
        <f>SUMIF(70:70,YEAR(I7)&amp;"-"&amp;INT((MONTH(I7)+2)/3),71:71)</f>
        <v>0</v>
      </c>
      <c r="K7" s="611"/>
      <c r="L7" s="1131"/>
      <c r="M7" s="1132"/>
      <c r="N7" s="1132"/>
      <c r="O7" s="1132"/>
      <c r="P7" s="3209" t="s">
        <v>2537</v>
      </c>
      <c r="Q7" s="3236"/>
      <c r="R7" s="769" t="s">
        <v>17</v>
      </c>
      <c r="S7" s="770">
        <f t="shared" ref="S7:S15" si="0">F7</f>
        <v>0</v>
      </c>
      <c r="T7" s="769" t="s">
        <v>17</v>
      </c>
      <c r="U7" s="770">
        <f t="shared" ref="U7:U15" si="1">H7</f>
        <v>0</v>
      </c>
      <c r="V7" s="769" t="s">
        <v>17</v>
      </c>
      <c r="W7" s="770">
        <f t="shared" ref="W7:W15" si="2">J7</f>
        <v>0</v>
      </c>
      <c r="X7" s="771"/>
      <c r="Y7" s="3209" t="s">
        <v>2537</v>
      </c>
      <c r="Z7" s="3210"/>
      <c r="AA7" s="772" t="e">
        <f>D7/F7</f>
        <v>#DIV/0!</v>
      </c>
      <c r="AB7" s="772" t="e">
        <f>D7/H7</f>
        <v>#DIV/0!</v>
      </c>
      <c r="AC7" s="772" t="e">
        <f>D7/J7</f>
        <v>#DIV/0!</v>
      </c>
    </row>
    <row r="8" spans="1:30" s="117" customFormat="1" ht="15.75" thickBot="1">
      <c r="A8" s="408" t="s">
        <v>2538</v>
      </c>
      <c r="B8" s="409"/>
      <c r="C8" s="414" t="s">
        <v>2539</v>
      </c>
      <c r="D8" s="411">
        <v>100</v>
      </c>
      <c r="E8" s="414"/>
      <c r="F8" s="413">
        <f>SUMIF(73:73,E8,74:74)-SUMIF(73:73,C8,74:74)+100</f>
        <v>0</v>
      </c>
      <c r="G8" s="414"/>
      <c r="H8" s="411">
        <f>SUMIF(73:73,G8,74:74)-SUMIF(73:73,C8,74:74)+100</f>
        <v>0</v>
      </c>
      <c r="I8" s="414"/>
      <c r="J8" s="411">
        <f>SUMIF(73:73,I8,74:74)-SUMIF(73:73,C8,74:74)+100</f>
        <v>0</v>
      </c>
      <c r="K8" s="611"/>
      <c r="L8" s="1131"/>
      <c r="M8" s="1132"/>
      <c r="N8" s="1132"/>
      <c r="O8" s="1132"/>
      <c r="P8" s="3209" t="s">
        <v>2540</v>
      </c>
      <c r="Q8" s="3210"/>
      <c r="R8" s="769" t="s">
        <v>17</v>
      </c>
      <c r="S8" s="770">
        <f t="shared" si="0"/>
        <v>0</v>
      </c>
      <c r="T8" s="769" t="s">
        <v>17</v>
      </c>
      <c r="U8" s="770">
        <f t="shared" si="1"/>
        <v>0</v>
      </c>
      <c r="V8" s="769" t="s">
        <v>17</v>
      </c>
      <c r="W8" s="770">
        <f t="shared" si="2"/>
        <v>0</v>
      </c>
      <c r="X8" s="771"/>
      <c r="Y8" s="3209" t="s">
        <v>2540</v>
      </c>
      <c r="Z8" s="3210"/>
      <c r="AA8" s="772" t="e">
        <f t="shared" ref="AA8:AA45" si="3">D8/F8</f>
        <v>#DIV/0!</v>
      </c>
      <c r="AB8" s="772" t="e">
        <f t="shared" ref="AB8:AB45" si="4">D8/H8</f>
        <v>#DIV/0!</v>
      </c>
      <c r="AC8" s="772" t="e">
        <f t="shared" ref="AC8:AC45" si="5">D8/J8</f>
        <v>#DIV/0!</v>
      </c>
    </row>
    <row r="9" spans="1:30" s="117" customFormat="1">
      <c r="A9" s="415" t="s">
        <v>2541</v>
      </c>
      <c r="B9" s="71" t="s">
        <v>2542</v>
      </c>
      <c r="C9" s="2694"/>
      <c r="D9" s="135">
        <v>100</v>
      </c>
      <c r="E9" s="2694"/>
      <c r="F9" s="135">
        <f>SUMIF(75:75,E9,76:76)-SUMIF(75:75,C9,76:76)+100</f>
        <v>100</v>
      </c>
      <c r="G9" s="2694"/>
      <c r="H9" s="135">
        <f>SUMIF(75:75,G9,76:76)-SUMIF(75:75,C9,76:76)+100</f>
        <v>100</v>
      </c>
      <c r="I9" s="2694"/>
      <c r="J9" s="135">
        <f>SUMIF(75:75,I9,76:76)-SUMIF(75:75,C9,76:76)+100</f>
        <v>100</v>
      </c>
      <c r="K9" s="611"/>
      <c r="L9" s="1131"/>
      <c r="M9" s="1132"/>
      <c r="N9" s="1132"/>
      <c r="O9" s="1133"/>
      <c r="P9" s="3246" t="s">
        <v>2543</v>
      </c>
      <c r="Q9" s="1793" t="str">
        <f t="shared" ref="Q9:Q15" si="6">B9</f>
        <v>用途</v>
      </c>
      <c r="R9" s="769" t="s">
        <v>17</v>
      </c>
      <c r="S9" s="770">
        <f t="shared" si="0"/>
        <v>100</v>
      </c>
      <c r="T9" s="769" t="s">
        <v>17</v>
      </c>
      <c r="U9" s="770">
        <f t="shared" si="1"/>
        <v>100</v>
      </c>
      <c r="V9" s="769" t="s">
        <v>17</v>
      </c>
      <c r="W9" s="770">
        <f t="shared" si="2"/>
        <v>100</v>
      </c>
      <c r="X9" s="771"/>
      <c r="Y9" s="3082" t="s">
        <v>2544</v>
      </c>
      <c r="Z9" s="55" t="str">
        <f t="shared" ref="Z9:Z15" si="7">Q9</f>
        <v>用途</v>
      </c>
      <c r="AA9" s="772">
        <f t="shared" si="3"/>
        <v>1</v>
      </c>
      <c r="AB9" s="772">
        <f t="shared" si="4"/>
        <v>1</v>
      </c>
      <c r="AC9" s="772">
        <f t="shared" si="5"/>
        <v>1</v>
      </c>
    </row>
    <row r="10" spans="1:30" s="427" customFormat="1" ht="27">
      <c r="A10" s="421"/>
      <c r="B10" s="422" t="s">
        <v>2545</v>
      </c>
      <c r="C10" s="432"/>
      <c r="D10" s="136">
        <v>100</v>
      </c>
      <c r="E10" s="465"/>
      <c r="F10" s="136">
        <f>ROUND(100/'数据-取费表'!G16,0)</f>
        <v>113</v>
      </c>
      <c r="G10" s="463"/>
      <c r="H10" s="136">
        <f>ROUND(100/'数据-取费表'!G16,0)</f>
        <v>113</v>
      </c>
      <c r="I10" s="463"/>
      <c r="J10" s="136">
        <f>ROUND(100/'数据-取费表'!G16,0)</f>
        <v>113</v>
      </c>
      <c r="K10" s="672"/>
      <c r="L10" s="1134"/>
      <c r="M10" s="1135"/>
      <c r="N10" s="1135"/>
      <c r="O10" s="1136"/>
      <c r="P10" s="3246"/>
      <c r="Q10" s="1793" t="str">
        <f t="shared" si="6"/>
        <v>土地使用年限（年）</v>
      </c>
      <c r="R10" s="769" t="s">
        <v>17</v>
      </c>
      <c r="S10" s="770">
        <f t="shared" si="0"/>
        <v>113</v>
      </c>
      <c r="T10" s="769" t="s">
        <v>17</v>
      </c>
      <c r="U10" s="770">
        <f t="shared" si="1"/>
        <v>113</v>
      </c>
      <c r="V10" s="769" t="s">
        <v>17</v>
      </c>
      <c r="W10" s="770">
        <f t="shared" si="2"/>
        <v>113</v>
      </c>
      <c r="X10" s="771"/>
      <c r="Y10" s="3082"/>
      <c r="Z10" s="55" t="str">
        <f t="shared" si="7"/>
        <v>土地使用年限（年）</v>
      </c>
      <c r="AA10" s="772">
        <f t="shared" si="3"/>
        <v>0.88495575221238942</v>
      </c>
      <c r="AB10" s="772">
        <f t="shared" si="4"/>
        <v>0.88495575221238942</v>
      </c>
      <c r="AC10" s="772">
        <f t="shared" si="5"/>
        <v>0.88495575221238942</v>
      </c>
    </row>
    <row r="11" spans="1:30" ht="15">
      <c r="A11" s="428"/>
      <c r="B11" s="422" t="s">
        <v>2546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7"/>
      <c r="M11" s="1130"/>
      <c r="N11" s="1130"/>
      <c r="O11" s="1138"/>
      <c r="P11" s="3246"/>
      <c r="Q11" s="1793" t="str">
        <f t="shared" si="6"/>
        <v>容积率</v>
      </c>
      <c r="R11" s="769" t="s">
        <v>17</v>
      </c>
      <c r="S11" s="770" t="e">
        <f t="shared" si="0"/>
        <v>#N/A</v>
      </c>
      <c r="T11" s="769" t="s">
        <v>17</v>
      </c>
      <c r="U11" s="770" t="e">
        <f t="shared" si="1"/>
        <v>#N/A</v>
      </c>
      <c r="V11" s="769" t="s">
        <v>17</v>
      </c>
      <c r="W11" s="770" t="e">
        <f t="shared" si="2"/>
        <v>#N/A</v>
      </c>
      <c r="X11" s="771"/>
      <c r="Y11" s="3082"/>
      <c r="Z11" s="55" t="str">
        <f t="shared" si="7"/>
        <v>容积率</v>
      </c>
      <c r="AA11" s="772" t="e">
        <f t="shared" si="3"/>
        <v>#N/A</v>
      </c>
      <c r="AB11" s="772" t="e">
        <f t="shared" si="4"/>
        <v>#N/A</v>
      </c>
      <c r="AC11" s="772" t="e">
        <f t="shared" si="5"/>
        <v>#N/A</v>
      </c>
    </row>
    <row r="12" spans="1:30" s="117" customFormat="1" ht="15">
      <c r="A12" s="431"/>
      <c r="B12" s="2595" t="s">
        <v>2735</v>
      </c>
      <c r="C12" s="432"/>
      <c r="D12" s="433">
        <v>100</v>
      </c>
      <c r="E12" s="465"/>
      <c r="F12" s="136">
        <f>SUMIF(82:82,E12,83:83)-SUMIF(82:82,C12,83:83)+100</f>
        <v>100</v>
      </c>
      <c r="G12" s="463"/>
      <c r="H12" s="136">
        <f>SUMIF(82:82,G12,83:83)-SUMIF(82:82,C12,83:83)+100</f>
        <v>100</v>
      </c>
      <c r="I12" s="465"/>
      <c r="J12" s="136">
        <f>SUMIF(82:82,I12,83:83)-SUMIF(82:82,C12,83:83)+100</f>
        <v>100</v>
      </c>
      <c r="K12" s="672"/>
      <c r="L12" s="1131"/>
      <c r="M12" s="1132"/>
      <c r="N12" s="1132"/>
      <c r="O12" s="1133"/>
      <c r="P12" s="3246"/>
      <c r="Q12" s="1793" t="str">
        <f t="shared" si="6"/>
        <v>配建</v>
      </c>
      <c r="R12" s="769" t="s">
        <v>17</v>
      </c>
      <c r="S12" s="770">
        <f t="shared" si="0"/>
        <v>100</v>
      </c>
      <c r="T12" s="769" t="s">
        <v>17</v>
      </c>
      <c r="U12" s="770">
        <f t="shared" si="1"/>
        <v>100</v>
      </c>
      <c r="V12" s="769" t="s">
        <v>17</v>
      </c>
      <c r="W12" s="770">
        <f t="shared" si="2"/>
        <v>100</v>
      </c>
      <c r="X12" s="771"/>
      <c r="Y12" s="3082"/>
      <c r="Z12" s="55" t="str">
        <f t="shared" si="7"/>
        <v>配建</v>
      </c>
      <c r="AA12" s="772">
        <f>D12/F12</f>
        <v>1</v>
      </c>
      <c r="AB12" s="772">
        <f>D12/H12</f>
        <v>1</v>
      </c>
      <c r="AC12" s="772">
        <f>D12/J12</f>
        <v>1</v>
      </c>
    </row>
    <row r="13" spans="1:30" ht="15">
      <c r="A13" s="428"/>
      <c r="B13" s="2595">
        <v>111</v>
      </c>
      <c r="C13" s="434"/>
      <c r="D13" s="435">
        <v>100</v>
      </c>
      <c r="E13" s="549"/>
      <c r="F13" s="136">
        <f>SUMIF(84:84,E13,85:85)-SUMIF(84:84,C13,85:85)+100</f>
        <v>100</v>
      </c>
      <c r="G13" s="674"/>
      <c r="H13" s="435">
        <f>SUMIF(84:84,G13,85:85)-SUMIF(84:84,C13,85:85)+100</f>
        <v>100</v>
      </c>
      <c r="I13" s="674"/>
      <c r="J13" s="435">
        <f>SUMIF(84:84,I13,85:85)-SUMIF(84:84,C13,85:85)+100</f>
        <v>100</v>
      </c>
      <c r="K13" s="672"/>
      <c r="L13" s="1139"/>
      <c r="M13" s="1130"/>
      <c r="N13" s="1130"/>
      <c r="O13" s="1138"/>
      <c r="P13" s="3246"/>
      <c r="Q13" s="1793">
        <f t="shared" si="6"/>
        <v>111</v>
      </c>
      <c r="R13" s="769" t="s">
        <v>17</v>
      </c>
      <c r="S13" s="770">
        <f t="shared" si="0"/>
        <v>100</v>
      </c>
      <c r="T13" s="769" t="s">
        <v>17</v>
      </c>
      <c r="U13" s="770">
        <f t="shared" si="1"/>
        <v>100</v>
      </c>
      <c r="V13" s="769" t="s">
        <v>17</v>
      </c>
      <c r="W13" s="770">
        <f t="shared" si="2"/>
        <v>100</v>
      </c>
      <c r="X13" s="771"/>
      <c r="Y13" s="3082"/>
      <c r="Z13" s="55">
        <f t="shared" si="7"/>
        <v>111</v>
      </c>
      <c r="AA13" s="772">
        <f>D13/F13</f>
        <v>1</v>
      </c>
      <c r="AB13" s="772">
        <f>D13/H13</f>
        <v>1</v>
      </c>
      <c r="AC13" s="772">
        <f>D13/J13</f>
        <v>1</v>
      </c>
    </row>
    <row r="14" spans="1:30" ht="15.75" thickBot="1">
      <c r="A14" s="436"/>
      <c r="B14" s="2597">
        <v>111</v>
      </c>
      <c r="C14" s="437"/>
      <c r="D14" s="438">
        <v>100</v>
      </c>
      <c r="E14" s="549"/>
      <c r="F14" s="438">
        <f>SUMIF(86:86,E14,87:87)-SUMIF(86:86,C14,87:87)+100</f>
        <v>100</v>
      </c>
      <c r="G14" s="674"/>
      <c r="H14" s="438">
        <f>SUMIF(86:86,G14,87:87)-SUMIF(86:86,C14,87:87)+100</f>
        <v>100</v>
      </c>
      <c r="I14" s="674"/>
      <c r="J14" s="438">
        <f>SUMIF(86:86,I14,87:87)-SUMIF(86:86,C14,87:87)+100</f>
        <v>100</v>
      </c>
      <c r="K14" s="672"/>
      <c r="L14" s="1139"/>
      <c r="M14" s="1130"/>
      <c r="N14" s="1130"/>
      <c r="O14" s="1138"/>
      <c r="P14" s="3246"/>
      <c r="Q14" s="1793">
        <f t="shared" si="6"/>
        <v>111</v>
      </c>
      <c r="R14" s="769" t="s">
        <v>17</v>
      </c>
      <c r="S14" s="770">
        <f t="shared" si="0"/>
        <v>100</v>
      </c>
      <c r="T14" s="769" t="s">
        <v>17</v>
      </c>
      <c r="U14" s="770">
        <f t="shared" si="1"/>
        <v>100</v>
      </c>
      <c r="V14" s="769" t="s">
        <v>17</v>
      </c>
      <c r="W14" s="770">
        <f t="shared" si="2"/>
        <v>100</v>
      </c>
      <c r="X14" s="771"/>
      <c r="Y14" s="3082"/>
      <c r="Z14" s="55">
        <f t="shared" si="7"/>
        <v>111</v>
      </c>
      <c r="AA14" s="772">
        <f>D14/F14</f>
        <v>1</v>
      </c>
      <c r="AB14" s="772">
        <f>D14/H14</f>
        <v>1</v>
      </c>
      <c r="AC14" s="772">
        <f>D14/J14</f>
        <v>1</v>
      </c>
    </row>
    <row r="15" spans="1:30" ht="15">
      <c r="A15" s="440" t="s">
        <v>2547</v>
      </c>
      <c r="B15" s="69" t="s">
        <v>2084</v>
      </c>
      <c r="C15" s="2598">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39"/>
      <c r="M15" s="1130"/>
      <c r="N15" s="1130"/>
      <c r="O15" s="1138"/>
      <c r="P15" s="3239" t="s">
        <v>2548</v>
      </c>
      <c r="Q15" s="1808" t="str">
        <f t="shared" si="6"/>
        <v>居住社区成熟度</v>
      </c>
      <c r="R15" s="773" t="s">
        <v>17</v>
      </c>
      <c r="S15" s="774">
        <f t="shared" si="0"/>
        <v>100</v>
      </c>
      <c r="T15" s="773" t="s">
        <v>17</v>
      </c>
      <c r="U15" s="774">
        <f t="shared" si="1"/>
        <v>100</v>
      </c>
      <c r="V15" s="773" t="s">
        <v>17</v>
      </c>
      <c r="W15" s="774">
        <f t="shared" si="2"/>
        <v>100</v>
      </c>
      <c r="X15" s="1811"/>
      <c r="Y15" s="3239" t="s">
        <v>2548</v>
      </c>
      <c r="Z15" s="1812" t="str">
        <f t="shared" si="7"/>
        <v>居住社区成熟度</v>
      </c>
      <c r="AA15" s="1809">
        <f t="shared" si="3"/>
        <v>1</v>
      </c>
      <c r="AB15" s="1809">
        <f t="shared" si="4"/>
        <v>1</v>
      </c>
      <c r="AC15" s="1809">
        <f t="shared" si="5"/>
        <v>1</v>
      </c>
    </row>
    <row r="16" spans="1:30" ht="15">
      <c r="A16" s="428"/>
      <c r="B16" s="446"/>
      <c r="C16" s="447"/>
      <c r="D16" s="448"/>
      <c r="E16" s="2600"/>
      <c r="F16" s="448"/>
      <c r="G16" s="2600"/>
      <c r="H16" s="450"/>
      <c r="I16" s="2599"/>
      <c r="J16" s="448"/>
      <c r="K16" s="672"/>
      <c r="L16" s="1139"/>
      <c r="M16" s="1130"/>
      <c r="N16" s="1130"/>
      <c r="O16" s="1138"/>
      <c r="P16" s="3240"/>
      <c r="Q16" s="1808"/>
      <c r="R16" s="773"/>
      <c r="S16" s="774"/>
      <c r="T16" s="773"/>
      <c r="U16" s="774"/>
      <c r="V16" s="773"/>
      <c r="W16" s="774"/>
      <c r="X16" s="1811"/>
      <c r="Y16" s="3240"/>
      <c r="Z16" s="1812"/>
      <c r="AA16" s="1809">
        <v>1</v>
      </c>
      <c r="AB16" s="1809">
        <v>1</v>
      </c>
      <c r="AC16" s="1809">
        <v>1</v>
      </c>
    </row>
    <row r="17" spans="1:29" ht="71.25">
      <c r="A17" s="428"/>
      <c r="B17" s="451" t="s">
        <v>2641</v>
      </c>
      <c r="C17" s="2659" t="str">
        <f>估价对象房地状况!C16</f>
        <v>周边商业有集美家居、银泰百货，人流量一般，商业繁华度一般</v>
      </c>
      <c r="D17" s="450">
        <v>100</v>
      </c>
      <c r="E17" s="452"/>
      <c r="F17" s="450">
        <f>SUMIF(90:90,E18,91:91)-SUMIF(90:90,C18,91:91)+100</f>
        <v>100</v>
      </c>
      <c r="G17" s="452"/>
      <c r="H17" s="455">
        <f>SUMIF(90:90,G18,91:91)-SUMIF(90:90,C18,91:91)+100</f>
        <v>100</v>
      </c>
      <c r="I17" s="454"/>
      <c r="J17" s="455">
        <f>SUMIF(90:90,I18,91:91)-SUMIF(90:90,C18,91:91)+100</f>
        <v>100</v>
      </c>
      <c r="K17" s="673"/>
      <c r="L17" s="1139"/>
      <c r="M17" s="1130"/>
      <c r="N17" s="1130"/>
      <c r="O17" s="1138"/>
      <c r="P17" s="3240"/>
      <c r="Q17" s="1808" t="str">
        <f>B17</f>
        <v>商业繁华度</v>
      </c>
      <c r="R17" s="773" t="s">
        <v>17</v>
      </c>
      <c r="S17" s="774">
        <f>F17</f>
        <v>100</v>
      </c>
      <c r="T17" s="773" t="s">
        <v>17</v>
      </c>
      <c r="U17" s="774">
        <f>H17</f>
        <v>100</v>
      </c>
      <c r="V17" s="773" t="s">
        <v>17</v>
      </c>
      <c r="W17" s="774">
        <f>J17</f>
        <v>100</v>
      </c>
      <c r="X17" s="1811"/>
      <c r="Y17" s="3240"/>
      <c r="Z17" s="1812" t="str">
        <f>Q17</f>
        <v>商业繁华度</v>
      </c>
      <c r="AA17" s="1809">
        <f t="shared" si="3"/>
        <v>1</v>
      </c>
      <c r="AB17" s="1809">
        <f t="shared" si="4"/>
        <v>1</v>
      </c>
      <c r="AC17" s="1809">
        <f t="shared" si="5"/>
        <v>1</v>
      </c>
    </row>
    <row r="18" spans="1:29" ht="15">
      <c r="A18" s="428"/>
      <c r="B18" s="456"/>
      <c r="C18" s="2603"/>
      <c r="D18" s="450"/>
      <c r="E18" s="2605"/>
      <c r="F18" s="450"/>
      <c r="G18" s="2605"/>
      <c r="H18" s="448"/>
      <c r="I18" s="2604"/>
      <c r="J18" s="448"/>
      <c r="K18" s="672"/>
      <c r="L18" s="1139"/>
      <c r="M18" s="1130"/>
      <c r="N18" s="1130"/>
      <c r="O18" s="1138"/>
      <c r="P18" s="3240"/>
      <c r="Q18" s="1808"/>
      <c r="R18" s="773"/>
      <c r="S18" s="774"/>
      <c r="T18" s="773"/>
      <c r="U18" s="774"/>
      <c r="V18" s="773"/>
      <c r="W18" s="774"/>
      <c r="X18" s="1811"/>
      <c r="Y18" s="3240"/>
      <c r="Z18" s="1812"/>
      <c r="AA18" s="1809">
        <v>1</v>
      </c>
      <c r="AB18" s="1809">
        <v>1</v>
      </c>
      <c r="AC18" s="1809">
        <v>1</v>
      </c>
    </row>
    <row r="19" spans="1:29" ht="15">
      <c r="A19" s="428"/>
      <c r="B19" s="451" t="s">
        <v>2675</v>
      </c>
      <c r="C19" s="2659">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39"/>
      <c r="M19" s="1130"/>
      <c r="N19" s="1130"/>
      <c r="O19" s="1138"/>
      <c r="P19" s="3240"/>
      <c r="Q19" s="1808" t="str">
        <f>B19</f>
        <v>办公集聚程度</v>
      </c>
      <c r="R19" s="773" t="s">
        <v>17</v>
      </c>
      <c r="S19" s="774">
        <f>F19</f>
        <v>100</v>
      </c>
      <c r="T19" s="773" t="s">
        <v>17</v>
      </c>
      <c r="U19" s="774">
        <f>H19</f>
        <v>100</v>
      </c>
      <c r="V19" s="773" t="s">
        <v>17</v>
      </c>
      <c r="W19" s="774">
        <f>J19</f>
        <v>100</v>
      </c>
      <c r="X19" s="1811"/>
      <c r="Y19" s="3240"/>
      <c r="Z19" s="1812" t="str">
        <f>Q19</f>
        <v>办公集聚程度</v>
      </c>
      <c r="AA19" s="1809">
        <f t="shared" si="3"/>
        <v>1</v>
      </c>
      <c r="AB19" s="1809">
        <f t="shared" si="4"/>
        <v>1</v>
      </c>
      <c r="AC19" s="1809">
        <f t="shared" si="5"/>
        <v>1</v>
      </c>
    </row>
    <row r="20" spans="1:29" ht="15">
      <c r="A20" s="428"/>
      <c r="B20" s="456"/>
      <c r="C20" s="447"/>
      <c r="D20" s="448"/>
      <c r="E20" s="2600"/>
      <c r="F20" s="448"/>
      <c r="G20" s="2600"/>
      <c r="H20" s="448"/>
      <c r="I20" s="2599"/>
      <c r="J20" s="448"/>
      <c r="K20" s="672"/>
      <c r="L20" s="1139"/>
      <c r="M20" s="1130"/>
      <c r="N20" s="1130"/>
      <c r="O20" s="1138"/>
      <c r="P20" s="3240"/>
      <c r="Q20" s="1808"/>
      <c r="R20" s="773"/>
      <c r="S20" s="774"/>
      <c r="T20" s="773"/>
      <c r="U20" s="774"/>
      <c r="V20" s="773"/>
      <c r="W20" s="774"/>
      <c r="X20" s="1811"/>
      <c r="Y20" s="3240"/>
      <c r="Z20" s="1812"/>
      <c r="AA20" s="1809">
        <v>1</v>
      </c>
      <c r="AB20" s="1809">
        <v>1</v>
      </c>
      <c r="AC20" s="1809">
        <v>1</v>
      </c>
    </row>
    <row r="21" spans="1:29" ht="128.25">
      <c r="A21" s="428"/>
      <c r="B21" s="451" t="s">
        <v>2697</v>
      </c>
      <c r="C21" s="2602" t="str">
        <f>估价对象房地状况!C18</f>
        <v>估价对象周边有485、501、602、736、957路及地铁十号线等、公共交通通达情况较好、停车便捷程度较好，综合评价交通便捷度较好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9"/>
      <c r="M21" s="1130"/>
      <c r="N21" s="1130"/>
      <c r="O21" s="1138"/>
      <c r="P21" s="3240"/>
      <c r="Q21" s="1808" t="str">
        <f>B21</f>
        <v>交通便捷度</v>
      </c>
      <c r="R21" s="773" t="s">
        <v>17</v>
      </c>
      <c r="S21" s="774">
        <f>F21</f>
        <v>100</v>
      </c>
      <c r="T21" s="773" t="s">
        <v>17</v>
      </c>
      <c r="U21" s="774">
        <f>H21</f>
        <v>100</v>
      </c>
      <c r="V21" s="773" t="s">
        <v>17</v>
      </c>
      <c r="W21" s="774">
        <f>J21</f>
        <v>100</v>
      </c>
      <c r="X21" s="1811"/>
      <c r="Y21" s="3240"/>
      <c r="Z21" s="1812" t="str">
        <f>Q21</f>
        <v>交通便捷度</v>
      </c>
      <c r="AA21" s="1809">
        <f t="shared" si="3"/>
        <v>1</v>
      </c>
      <c r="AB21" s="1809">
        <f t="shared" si="4"/>
        <v>1</v>
      </c>
      <c r="AC21" s="1809">
        <f t="shared" si="5"/>
        <v>1</v>
      </c>
    </row>
    <row r="22" spans="1:29" ht="15">
      <c r="A22" s="428"/>
      <c r="B22" s="1383"/>
      <c r="C22" s="447"/>
      <c r="D22" s="450"/>
      <c r="E22" s="2600"/>
      <c r="F22" s="448"/>
      <c r="G22" s="2600"/>
      <c r="H22" s="448"/>
      <c r="I22" s="2599"/>
      <c r="J22" s="448"/>
      <c r="K22" s="672"/>
      <c r="L22" s="1139"/>
      <c r="M22" s="1130"/>
      <c r="N22" s="1130"/>
      <c r="O22" s="1138"/>
      <c r="P22" s="3240"/>
      <c r="Q22" s="1808"/>
      <c r="R22" s="773"/>
      <c r="S22" s="774"/>
      <c r="T22" s="773"/>
      <c r="U22" s="774"/>
      <c r="V22" s="773"/>
      <c r="W22" s="774"/>
      <c r="X22" s="1811"/>
      <c r="Y22" s="3240"/>
      <c r="Z22" s="1812"/>
      <c r="AA22" s="1809">
        <v>1</v>
      </c>
      <c r="AB22" s="1809">
        <v>1</v>
      </c>
      <c r="AC22" s="1809">
        <v>1</v>
      </c>
    </row>
    <row r="23" spans="1:29" ht="15">
      <c r="A23" s="404"/>
      <c r="B23" s="451" t="s">
        <v>2736</v>
      </c>
      <c r="C23" s="1388">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9"/>
      <c r="M23" s="1130"/>
      <c r="N23" s="1130"/>
      <c r="O23" s="1138"/>
      <c r="P23" s="3240"/>
      <c r="Q23" s="1808" t="str">
        <f t="shared" ref="Q23:Q37" si="8">B23</f>
        <v>区域土地利用方向</v>
      </c>
      <c r="R23" s="773" t="s">
        <v>17</v>
      </c>
      <c r="S23" s="774">
        <f>F23</f>
        <v>100</v>
      </c>
      <c r="T23" s="773" t="s">
        <v>17</v>
      </c>
      <c r="U23" s="774">
        <f>H23</f>
        <v>100</v>
      </c>
      <c r="V23" s="773" t="s">
        <v>17</v>
      </c>
      <c r="W23" s="774">
        <f>J23</f>
        <v>100</v>
      </c>
      <c r="X23" s="1811"/>
      <c r="Y23" s="3240"/>
      <c r="Z23" s="1812" t="str">
        <f>Q23</f>
        <v>区域土地利用方向</v>
      </c>
      <c r="AA23" s="1809">
        <f t="shared" si="3"/>
        <v>1</v>
      </c>
      <c r="AB23" s="1809">
        <f t="shared" si="4"/>
        <v>1</v>
      </c>
      <c r="AC23" s="1809">
        <f t="shared" si="5"/>
        <v>1</v>
      </c>
    </row>
    <row r="24" spans="1:29" ht="15">
      <c r="A24" s="404"/>
      <c r="B24" s="456"/>
      <c r="C24" s="616"/>
      <c r="D24" s="448"/>
      <c r="E24" s="2600"/>
      <c r="F24" s="448"/>
      <c r="G24" s="2599"/>
      <c r="H24" s="448"/>
      <c r="I24" s="2599"/>
      <c r="J24" s="448"/>
      <c r="K24" s="811"/>
      <c r="L24" s="1139"/>
      <c r="M24" s="1130"/>
      <c r="N24" s="1130"/>
      <c r="O24" s="1138"/>
      <c r="P24" s="3240"/>
      <c r="Q24" s="1808"/>
      <c r="R24" s="773"/>
      <c r="S24" s="774"/>
      <c r="T24" s="773"/>
      <c r="U24" s="774"/>
      <c r="V24" s="773"/>
      <c r="W24" s="774"/>
      <c r="X24" s="1811"/>
      <c r="Y24" s="3240"/>
      <c r="Z24" s="1812"/>
      <c r="AA24" s="1809"/>
      <c r="AB24" s="1809"/>
      <c r="AC24" s="1809"/>
    </row>
    <row r="25" spans="1:29" ht="42.75">
      <c r="A25" s="404"/>
      <c r="B25" s="1383" t="s">
        <v>2737</v>
      </c>
      <c r="C25" s="2659" t="str">
        <f>估价对象房地状况!C20</f>
        <v>周边有桃苑公园自然及人文环境一般</v>
      </c>
      <c r="D25" s="450">
        <v>100</v>
      </c>
      <c r="E25" s="452"/>
      <c r="F25" s="450">
        <f>SUMIF(98:98,E26,99:99)-SUMIF(98:98,C26,99:99)+100</f>
        <v>100</v>
      </c>
      <c r="G25" s="452"/>
      <c r="H25" s="450">
        <f>SUMIF(98:98,G26,99:99)-SUMIF(98:98,C26,99:99)+100</f>
        <v>100</v>
      </c>
      <c r="I25" s="454"/>
      <c r="J25" s="450">
        <f>SUMIF(98:98,I26,99:99)-SUMIF(98:98,C26,99:99)+100</f>
        <v>100</v>
      </c>
      <c r="K25" s="673"/>
      <c r="L25" s="1139"/>
      <c r="M25" s="1130"/>
      <c r="N25" s="1130"/>
      <c r="O25" s="1138"/>
      <c r="P25" s="3240"/>
      <c r="Q25" s="1808" t="str">
        <f t="shared" si="8"/>
        <v>自然及人文环境状况</v>
      </c>
      <c r="R25" s="773" t="s">
        <v>17</v>
      </c>
      <c r="S25" s="774">
        <f>F25</f>
        <v>100</v>
      </c>
      <c r="T25" s="773" t="s">
        <v>17</v>
      </c>
      <c r="U25" s="774">
        <f>H25</f>
        <v>100</v>
      </c>
      <c r="V25" s="773" t="s">
        <v>17</v>
      </c>
      <c r="W25" s="774">
        <f>J25</f>
        <v>100</v>
      </c>
      <c r="X25" s="1811"/>
      <c r="Y25" s="3240"/>
      <c r="Z25" s="1812" t="str">
        <f>Q25</f>
        <v>自然及人文环境状况</v>
      </c>
      <c r="AA25" s="1809">
        <f t="shared" si="3"/>
        <v>1</v>
      </c>
      <c r="AB25" s="1809">
        <f t="shared" si="4"/>
        <v>1</v>
      </c>
      <c r="AC25" s="1809">
        <f t="shared" si="5"/>
        <v>1</v>
      </c>
    </row>
    <row r="26" spans="1:29" ht="15">
      <c r="A26" s="404"/>
      <c r="B26" s="456"/>
      <c r="C26" s="447"/>
      <c r="D26" s="448"/>
      <c r="E26" s="2606"/>
      <c r="F26" s="448"/>
      <c r="G26" s="2606"/>
      <c r="H26" s="448"/>
      <c r="I26" s="447"/>
      <c r="J26" s="448"/>
      <c r="K26" s="672"/>
      <c r="L26" s="1139"/>
      <c r="M26" s="1130"/>
      <c r="N26" s="1130"/>
      <c r="O26" s="1138"/>
      <c r="P26" s="3240"/>
      <c r="Q26" s="1808"/>
      <c r="R26" s="773"/>
      <c r="S26" s="774"/>
      <c r="T26" s="773"/>
      <c r="U26" s="774"/>
      <c r="V26" s="773"/>
      <c r="W26" s="774"/>
      <c r="X26" s="1811"/>
      <c r="Y26" s="3240"/>
      <c r="Z26" s="1812"/>
      <c r="AA26" s="1809">
        <v>1</v>
      </c>
      <c r="AB26" s="1809">
        <v>1</v>
      </c>
      <c r="AC26" s="1809">
        <v>1</v>
      </c>
    </row>
    <row r="27" spans="1:29" s="117" customFormat="1" ht="114">
      <c r="A27" s="649"/>
      <c r="B27" s="1383" t="s">
        <v>2642</v>
      </c>
      <c r="C27" s="2602" t="str">
        <f>估价对象房地状况!C21</f>
        <v>周边有中国建设银行、广东发展银行、集美家居、物美超市、西马金润小学、丰台第一小学远洋分校等，公共配套设施较齐备</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1"/>
      <c r="M27" s="1132"/>
      <c r="N27" s="1132"/>
      <c r="O27" s="1133"/>
      <c r="P27" s="3240"/>
      <c r="Q27" s="1793" t="str">
        <f t="shared" si="8"/>
        <v>公共配套设施</v>
      </c>
      <c r="R27" s="769" t="s">
        <v>17</v>
      </c>
      <c r="S27" s="770">
        <f>F27</f>
        <v>100</v>
      </c>
      <c r="T27" s="769" t="s">
        <v>17</v>
      </c>
      <c r="U27" s="770">
        <f>H27</f>
        <v>100</v>
      </c>
      <c r="V27" s="769" t="s">
        <v>17</v>
      </c>
      <c r="W27" s="770">
        <f>J27</f>
        <v>100</v>
      </c>
      <c r="X27" s="771"/>
      <c r="Y27" s="3240"/>
      <c r="Z27" s="55" t="str">
        <f>Q27</f>
        <v>公共配套设施</v>
      </c>
      <c r="AA27" s="1809">
        <f>D27/F27</f>
        <v>1</v>
      </c>
      <c r="AB27" s="1809">
        <f>D27/H27</f>
        <v>1</v>
      </c>
      <c r="AC27" s="1809">
        <f>D27/J27</f>
        <v>1</v>
      </c>
    </row>
    <row r="28" spans="1:29" s="117" customFormat="1" ht="15">
      <c r="A28" s="649"/>
      <c r="B28" s="456"/>
      <c r="C28" s="2695"/>
      <c r="D28" s="448"/>
      <c r="E28" s="2606"/>
      <c r="F28" s="448"/>
      <c r="G28" s="2606"/>
      <c r="H28" s="448"/>
      <c r="I28" s="447"/>
      <c r="J28" s="448"/>
      <c r="K28" s="672"/>
      <c r="L28" s="1131"/>
      <c r="M28" s="1132"/>
      <c r="N28" s="1132"/>
      <c r="O28" s="1133"/>
      <c r="P28" s="3240"/>
      <c r="Q28" s="1793"/>
      <c r="R28" s="769"/>
      <c r="S28" s="770"/>
      <c r="T28" s="769"/>
      <c r="U28" s="770"/>
      <c r="V28" s="769"/>
      <c r="W28" s="770"/>
      <c r="X28" s="771"/>
      <c r="Y28" s="3240"/>
      <c r="Z28" s="55"/>
      <c r="AA28" s="1809">
        <v>1</v>
      </c>
      <c r="AB28" s="1809">
        <v>1</v>
      </c>
      <c r="AC28" s="1809">
        <v>1</v>
      </c>
    </row>
    <row r="29" spans="1:29" s="117" customFormat="1" ht="15">
      <c r="A29" s="649"/>
      <c r="B29" s="1383" t="s">
        <v>2643</v>
      </c>
      <c r="C29" s="2602"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1"/>
      <c r="M29" s="1132"/>
      <c r="N29" s="1132"/>
      <c r="O29" s="1133"/>
      <c r="P29" s="3240"/>
      <c r="Q29" s="1793" t="str">
        <f t="shared" ref="Q29" si="9">B29</f>
        <v>基础设施水平</v>
      </c>
      <c r="R29" s="769" t="s">
        <v>17</v>
      </c>
      <c r="S29" s="770">
        <f>F29</f>
        <v>100</v>
      </c>
      <c r="T29" s="769" t="s">
        <v>17</v>
      </c>
      <c r="U29" s="770">
        <f>H29</f>
        <v>100</v>
      </c>
      <c r="V29" s="769" t="s">
        <v>17</v>
      </c>
      <c r="W29" s="770">
        <f>J29</f>
        <v>100</v>
      </c>
      <c r="X29" s="771"/>
      <c r="Y29" s="3240"/>
      <c r="Z29" s="55" t="str">
        <f>Q29</f>
        <v>基础设施水平</v>
      </c>
      <c r="AA29" s="1809">
        <f>D29/F29</f>
        <v>1</v>
      </c>
      <c r="AB29" s="1809">
        <f>D29/H29</f>
        <v>1</v>
      </c>
      <c r="AC29" s="1809">
        <f>D29/J29</f>
        <v>1</v>
      </c>
    </row>
    <row r="30" spans="1:29" s="117" customFormat="1" ht="15">
      <c r="A30" s="649"/>
      <c r="B30" s="456"/>
      <c r="C30" s="2695"/>
      <c r="D30" s="448"/>
      <c r="E30" s="2696"/>
      <c r="F30" s="448"/>
      <c r="G30" s="2696"/>
      <c r="H30" s="448"/>
      <c r="I30" s="2696"/>
      <c r="J30" s="448"/>
      <c r="K30" s="672"/>
      <c r="L30" s="1131"/>
      <c r="M30" s="1132"/>
      <c r="N30" s="1132"/>
      <c r="O30" s="1133"/>
      <c r="P30" s="3240"/>
      <c r="Q30" s="1793"/>
      <c r="R30" s="769"/>
      <c r="S30" s="770"/>
      <c r="T30" s="769"/>
      <c r="U30" s="770"/>
      <c r="V30" s="769"/>
      <c r="W30" s="770"/>
      <c r="X30" s="771"/>
      <c r="Y30" s="3240"/>
      <c r="Z30" s="55"/>
      <c r="AA30" s="1809">
        <v>1</v>
      </c>
      <c r="AB30" s="1809">
        <v>1</v>
      </c>
      <c r="AC30" s="1809">
        <v>1</v>
      </c>
    </row>
    <row r="31" spans="1:29" ht="15">
      <c r="A31" s="428"/>
      <c r="B31" s="456" t="s">
        <v>2644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9"/>
      <c r="M31" s="1130"/>
      <c r="N31" s="1130"/>
      <c r="O31" s="1138"/>
      <c r="P31" s="3240"/>
      <c r="Q31" s="1808" t="str">
        <f t="shared" si="8"/>
        <v>临街状况</v>
      </c>
      <c r="R31" s="773" t="s">
        <v>17</v>
      </c>
      <c r="S31" s="774">
        <f t="shared" ref="S31:S45" si="10">F31</f>
        <v>100</v>
      </c>
      <c r="T31" s="773" t="s">
        <v>17</v>
      </c>
      <c r="U31" s="774">
        <f t="shared" ref="U31:U45" si="11">H31</f>
        <v>100</v>
      </c>
      <c r="V31" s="773" t="s">
        <v>17</v>
      </c>
      <c r="W31" s="774">
        <f t="shared" ref="W31:W45" si="12">J31</f>
        <v>100</v>
      </c>
      <c r="X31" s="1811"/>
      <c r="Y31" s="3240"/>
      <c r="Z31" s="1812" t="str">
        <f t="shared" ref="Z31:Z45" si="13">Q31</f>
        <v>临街状况</v>
      </c>
      <c r="AA31" s="1809">
        <f t="shared" si="3"/>
        <v>1</v>
      </c>
      <c r="AB31" s="1809">
        <f t="shared" si="4"/>
        <v>1</v>
      </c>
      <c r="AC31" s="1809">
        <f t="shared" si="5"/>
        <v>1</v>
      </c>
    </row>
    <row r="32" spans="1:29" ht="27">
      <c r="A32" s="428"/>
      <c r="B32" s="1383" t="s">
        <v>2679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9"/>
      <c r="M32" s="1130"/>
      <c r="N32" s="1130"/>
      <c r="O32" s="1138"/>
      <c r="P32" s="3240"/>
      <c r="Q32" s="1808" t="str">
        <f t="shared" si="8"/>
        <v>毗邻道路的类型与等级</v>
      </c>
      <c r="R32" s="773" t="s">
        <v>17</v>
      </c>
      <c r="S32" s="774">
        <f t="shared" si="10"/>
        <v>100</v>
      </c>
      <c r="T32" s="773" t="s">
        <v>17</v>
      </c>
      <c r="U32" s="774">
        <f t="shared" si="11"/>
        <v>100</v>
      </c>
      <c r="V32" s="773" t="s">
        <v>17</v>
      </c>
      <c r="W32" s="774">
        <f t="shared" si="12"/>
        <v>100</v>
      </c>
      <c r="X32" s="1811"/>
      <c r="Y32" s="3240"/>
      <c r="Z32" s="1812" t="str">
        <f t="shared" si="13"/>
        <v>毗邻道路的类型与等级</v>
      </c>
      <c r="AA32" s="1809">
        <f t="shared" si="3"/>
        <v>1</v>
      </c>
      <c r="AB32" s="1809">
        <f t="shared" si="4"/>
        <v>1</v>
      </c>
      <c r="AC32" s="1809">
        <f t="shared" si="5"/>
        <v>1</v>
      </c>
    </row>
    <row r="33" spans="1:29" ht="15">
      <c r="A33" s="428"/>
      <c r="B33" s="456"/>
      <c r="C33" s="447"/>
      <c r="D33" s="448"/>
      <c r="E33" s="2606"/>
      <c r="F33" s="448"/>
      <c r="G33" s="2606"/>
      <c r="H33" s="448"/>
      <c r="I33" s="447"/>
      <c r="J33" s="448"/>
      <c r="K33" s="613"/>
      <c r="L33" s="1139"/>
      <c r="M33" s="1130"/>
      <c r="N33" s="1130"/>
      <c r="O33" s="1138"/>
      <c r="P33" s="3240"/>
      <c r="Q33" s="1808"/>
      <c r="R33" s="773"/>
      <c r="S33" s="774"/>
      <c r="T33" s="773"/>
      <c r="U33" s="774"/>
      <c r="V33" s="773"/>
      <c r="W33" s="774"/>
      <c r="X33" s="1811"/>
      <c r="Y33" s="3240"/>
      <c r="Z33" s="1812"/>
      <c r="AA33" s="1809">
        <v>1</v>
      </c>
      <c r="AB33" s="1809">
        <v>1</v>
      </c>
      <c r="AC33" s="1809">
        <v>1</v>
      </c>
    </row>
    <row r="34" spans="1:29" ht="15">
      <c r="A34" s="428"/>
      <c r="B34" s="422" t="s">
        <v>2738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9"/>
      <c r="M34" s="1130"/>
      <c r="N34" s="1130"/>
      <c r="O34" s="1138"/>
      <c r="P34" s="3240"/>
      <c r="Q34" s="1808" t="str">
        <f t="shared" si="8"/>
        <v>土地级别</v>
      </c>
      <c r="R34" s="773" t="s">
        <v>17</v>
      </c>
      <c r="S34" s="774">
        <f t="shared" si="10"/>
        <v>100</v>
      </c>
      <c r="T34" s="773" t="s">
        <v>17</v>
      </c>
      <c r="U34" s="774">
        <f t="shared" si="11"/>
        <v>100</v>
      </c>
      <c r="V34" s="773" t="s">
        <v>17</v>
      </c>
      <c r="W34" s="774">
        <f t="shared" si="12"/>
        <v>100</v>
      </c>
      <c r="X34" s="1811"/>
      <c r="Y34" s="3240"/>
      <c r="Z34" s="1812" t="str">
        <f t="shared" si="13"/>
        <v>土地级别</v>
      </c>
      <c r="AA34" s="1809">
        <f t="shared" si="3"/>
        <v>1</v>
      </c>
      <c r="AB34" s="1809">
        <f t="shared" si="4"/>
        <v>1</v>
      </c>
      <c r="AC34" s="1809">
        <f t="shared" si="5"/>
        <v>1</v>
      </c>
    </row>
    <row r="35" spans="1:29" ht="15">
      <c r="A35" s="404"/>
      <c r="B35" s="1385">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9"/>
      <c r="M35" s="1130"/>
      <c r="N35" s="1130"/>
      <c r="O35" s="1138"/>
      <c r="P35" s="3240"/>
      <c r="Q35" s="1808">
        <f t="shared" si="8"/>
        <v>111</v>
      </c>
      <c r="R35" s="773" t="s">
        <v>17</v>
      </c>
      <c r="S35" s="774">
        <f t="shared" si="10"/>
        <v>100</v>
      </c>
      <c r="T35" s="773" t="s">
        <v>17</v>
      </c>
      <c r="U35" s="774">
        <f t="shared" si="11"/>
        <v>100</v>
      </c>
      <c r="V35" s="773" t="s">
        <v>17</v>
      </c>
      <c r="W35" s="774">
        <f t="shared" si="12"/>
        <v>100</v>
      </c>
      <c r="X35" s="1811"/>
      <c r="Y35" s="3240"/>
      <c r="Z35" s="1812">
        <f t="shared" si="13"/>
        <v>111</v>
      </c>
      <c r="AA35" s="1809">
        <f t="shared" si="3"/>
        <v>1</v>
      </c>
      <c r="AB35" s="1809">
        <f t="shared" si="4"/>
        <v>1</v>
      </c>
      <c r="AC35" s="1809">
        <f t="shared" si="5"/>
        <v>1</v>
      </c>
    </row>
    <row r="36" spans="1:29" ht="15">
      <c r="A36" s="675"/>
      <c r="B36" s="1386">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9"/>
      <c r="M36" s="1130"/>
      <c r="N36" s="1130"/>
      <c r="O36" s="1138"/>
      <c r="P36" s="3299" t="s">
        <v>2553</v>
      </c>
      <c r="Q36" s="1808">
        <f t="shared" si="8"/>
        <v>111</v>
      </c>
      <c r="R36" s="773" t="s">
        <v>17</v>
      </c>
      <c r="S36" s="774">
        <f t="shared" si="10"/>
        <v>100</v>
      </c>
      <c r="T36" s="773" t="s">
        <v>17</v>
      </c>
      <c r="U36" s="774">
        <f t="shared" si="11"/>
        <v>100</v>
      </c>
      <c r="V36" s="773" t="s">
        <v>17</v>
      </c>
      <c r="W36" s="774">
        <f t="shared" si="12"/>
        <v>100</v>
      </c>
      <c r="X36" s="1811"/>
      <c r="Y36" s="3244" t="s">
        <v>2553</v>
      </c>
      <c r="Z36" s="1812">
        <f t="shared" si="13"/>
        <v>111</v>
      </c>
      <c r="AA36" s="1809">
        <f t="shared" si="3"/>
        <v>1</v>
      </c>
      <c r="AB36" s="1809">
        <f t="shared" si="4"/>
        <v>1</v>
      </c>
      <c r="AC36" s="1809">
        <f t="shared" si="5"/>
        <v>1</v>
      </c>
    </row>
    <row r="37" spans="1:29" s="471" customFormat="1" ht="15.75" thickBot="1">
      <c r="A37" s="676"/>
      <c r="B37" s="1387">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7"/>
      <c r="M37" s="1140"/>
      <c r="N37" s="1140"/>
      <c r="O37" s="1141"/>
      <c r="P37" s="3244"/>
      <c r="Q37" s="1808">
        <f t="shared" si="8"/>
        <v>111</v>
      </c>
      <c r="R37" s="776" t="s">
        <v>17</v>
      </c>
      <c r="S37" s="777">
        <f t="shared" si="10"/>
        <v>100</v>
      </c>
      <c r="T37" s="776" t="s">
        <v>17</v>
      </c>
      <c r="U37" s="777">
        <f t="shared" si="11"/>
        <v>100</v>
      </c>
      <c r="V37" s="776" t="s">
        <v>17</v>
      </c>
      <c r="W37" s="777">
        <f t="shared" si="12"/>
        <v>100</v>
      </c>
      <c r="X37" s="778"/>
      <c r="Y37" s="3244"/>
      <c r="Z37" s="779">
        <f t="shared" si="13"/>
        <v>111</v>
      </c>
      <c r="AA37" s="1809">
        <f t="shared" si="3"/>
        <v>1</v>
      </c>
      <c r="AB37" s="1809">
        <f t="shared" si="4"/>
        <v>1</v>
      </c>
      <c r="AC37" s="1809">
        <f t="shared" si="5"/>
        <v>1</v>
      </c>
    </row>
    <row r="38" spans="1:29" ht="15">
      <c r="A38" s="472" t="s">
        <v>2551</v>
      </c>
      <c r="B38" s="456" t="s">
        <v>2739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9"/>
      <c r="M38" s="1130"/>
      <c r="N38" s="1130"/>
      <c r="O38" s="1138"/>
      <c r="P38" s="3244"/>
      <c r="Q38" s="1808" t="str">
        <f>B38</f>
        <v>宗地面积</v>
      </c>
      <c r="R38" s="773" t="s">
        <v>17</v>
      </c>
      <c r="S38" s="774" t="e">
        <f t="shared" si="10"/>
        <v>#N/A</v>
      </c>
      <c r="T38" s="773" t="s">
        <v>17</v>
      </c>
      <c r="U38" s="774" t="e">
        <f t="shared" si="11"/>
        <v>#N/A</v>
      </c>
      <c r="V38" s="773" t="s">
        <v>17</v>
      </c>
      <c r="W38" s="774" t="e">
        <f t="shared" si="12"/>
        <v>#N/A</v>
      </c>
      <c r="X38" s="1811"/>
      <c r="Y38" s="3244"/>
      <c r="Z38" s="1812" t="str">
        <f t="shared" si="13"/>
        <v>宗地面积</v>
      </c>
      <c r="AA38" s="1809" t="e">
        <f t="shared" si="3"/>
        <v>#N/A</v>
      </c>
      <c r="AB38" s="1809" t="e">
        <f t="shared" si="4"/>
        <v>#N/A</v>
      </c>
      <c r="AC38" s="1809" t="e">
        <f t="shared" si="5"/>
        <v>#N/A</v>
      </c>
    </row>
    <row r="39" spans="1:29" ht="15">
      <c r="A39" s="472"/>
      <c r="B39" s="422" t="s">
        <v>2740</v>
      </c>
      <c r="C39" s="2608"/>
      <c r="D39" s="435">
        <v>100</v>
      </c>
      <c r="E39" s="2608"/>
      <c r="F39" s="435">
        <f>SUMIF(119:119,E39,120:120)-SUMIF(119:119,C39,120:120)+100</f>
        <v>100</v>
      </c>
      <c r="G39" s="2608"/>
      <c r="H39" s="435">
        <f>SUMIF(119:119,G39,120:120)-SUMIF(119:119,C39,120:120)+100</f>
        <v>100</v>
      </c>
      <c r="I39" s="2608"/>
      <c r="J39" s="435">
        <f>SUMIF(119:119,I39,120:120)-SUMIF(119:119,C39,120:120)+100</f>
        <v>100</v>
      </c>
      <c r="K39" s="612"/>
      <c r="L39" s="1139"/>
      <c r="M39" s="1130"/>
      <c r="N39" s="1130"/>
      <c r="O39" s="1138"/>
      <c r="P39" s="3244"/>
      <c r="Q39" s="1808" t="str">
        <f t="shared" ref="Q39:Q45" si="14">B39</f>
        <v>宗地形状</v>
      </c>
      <c r="R39" s="773" t="s">
        <v>17</v>
      </c>
      <c r="S39" s="774">
        <f t="shared" si="10"/>
        <v>100</v>
      </c>
      <c r="T39" s="773" t="s">
        <v>17</v>
      </c>
      <c r="U39" s="774">
        <f t="shared" si="11"/>
        <v>100</v>
      </c>
      <c r="V39" s="773" t="s">
        <v>17</v>
      </c>
      <c r="W39" s="774">
        <f t="shared" si="12"/>
        <v>100</v>
      </c>
      <c r="X39" s="1811"/>
      <c r="Y39" s="3244"/>
      <c r="Z39" s="1812" t="str">
        <f t="shared" si="13"/>
        <v>宗地形状</v>
      </c>
      <c r="AA39" s="1809">
        <f t="shared" si="3"/>
        <v>1</v>
      </c>
      <c r="AB39" s="1809">
        <f t="shared" si="4"/>
        <v>1</v>
      </c>
      <c r="AC39" s="1809">
        <f t="shared" si="5"/>
        <v>1</v>
      </c>
    </row>
    <row r="40" spans="1:29" ht="15">
      <c r="A40" s="472"/>
      <c r="B40" s="422" t="s">
        <v>2741</v>
      </c>
      <c r="C40" s="2608"/>
      <c r="D40" s="435">
        <v>100</v>
      </c>
      <c r="E40" s="2608"/>
      <c r="F40" s="435">
        <f>SUMIF(121:121,E40,122:122)-SUMIF(121:121,C40,122:122)+100</f>
        <v>100</v>
      </c>
      <c r="G40" s="2608"/>
      <c r="H40" s="435">
        <f>SUMIF(121:121,G40,122:122)-SUMIF(121:121,C40,122:122)+100</f>
        <v>100</v>
      </c>
      <c r="I40" s="2608"/>
      <c r="J40" s="435">
        <f>SUMIF(121:121,I40,122:122)-SUMIF(121:121,C40,122:122)+100</f>
        <v>100</v>
      </c>
      <c r="K40" s="612"/>
      <c r="L40" s="1139"/>
      <c r="M40" s="1130"/>
      <c r="N40" s="1130"/>
      <c r="O40" s="1138"/>
      <c r="P40" s="3244"/>
      <c r="Q40" s="1808" t="str">
        <f t="shared" si="14"/>
        <v>临街宽度及深度</v>
      </c>
      <c r="R40" s="773" t="s">
        <v>17</v>
      </c>
      <c r="S40" s="774">
        <f t="shared" si="10"/>
        <v>100</v>
      </c>
      <c r="T40" s="773" t="s">
        <v>17</v>
      </c>
      <c r="U40" s="774">
        <f t="shared" si="11"/>
        <v>100</v>
      </c>
      <c r="V40" s="773" t="s">
        <v>17</v>
      </c>
      <c r="W40" s="774">
        <f t="shared" si="12"/>
        <v>100</v>
      </c>
      <c r="X40" s="1811"/>
      <c r="Y40" s="3244"/>
      <c r="Z40" s="1812" t="str">
        <f t="shared" si="13"/>
        <v>临街宽度及深度</v>
      </c>
      <c r="AA40" s="1809">
        <f t="shared" si="3"/>
        <v>1</v>
      </c>
      <c r="AB40" s="1809">
        <f t="shared" si="4"/>
        <v>1</v>
      </c>
      <c r="AC40" s="1809">
        <f t="shared" si="5"/>
        <v>1</v>
      </c>
    </row>
    <row r="41" spans="1:29" s="117" customFormat="1" ht="15">
      <c r="A41" s="473"/>
      <c r="B41" s="422" t="s">
        <v>2742</v>
      </c>
      <c r="C41" s="2697"/>
      <c r="D41" s="136">
        <v>100</v>
      </c>
      <c r="E41" s="2697"/>
      <c r="F41" s="435">
        <f>SUMIF(123:123,E41,124:124)-SUMIF(123:123,C41,124:124)+100</f>
        <v>100</v>
      </c>
      <c r="G41" s="2697"/>
      <c r="H41" s="435">
        <f>SUMIF(123:123,G41,124:124)-SUMIF(123:123,C41,124:124)+100</f>
        <v>100</v>
      </c>
      <c r="I41" s="2697"/>
      <c r="J41" s="435">
        <f>SUMIF(123:123,I41,124:124)-SUMIF(123:123,C41,124:124)+100</f>
        <v>100</v>
      </c>
      <c r="K41" s="612"/>
      <c r="L41" s="1131"/>
      <c r="M41" s="1132"/>
      <c r="N41" s="1132"/>
      <c r="O41" s="1133"/>
      <c r="P41" s="3244"/>
      <c r="Q41" s="1808" t="str">
        <f t="shared" si="14"/>
        <v>宗地开发程度</v>
      </c>
      <c r="R41" s="769" t="s">
        <v>17</v>
      </c>
      <c r="S41" s="770">
        <f t="shared" si="10"/>
        <v>100</v>
      </c>
      <c r="T41" s="769" t="s">
        <v>17</v>
      </c>
      <c r="U41" s="770">
        <f t="shared" si="11"/>
        <v>100</v>
      </c>
      <c r="V41" s="769" t="s">
        <v>17</v>
      </c>
      <c r="W41" s="770">
        <f t="shared" si="12"/>
        <v>100</v>
      </c>
      <c r="X41" s="771"/>
      <c r="Y41" s="3244"/>
      <c r="Z41" s="55" t="str">
        <f t="shared" si="13"/>
        <v>宗地开发程度</v>
      </c>
      <c r="AA41" s="772">
        <f t="shared" si="3"/>
        <v>1</v>
      </c>
      <c r="AB41" s="772">
        <f t="shared" si="4"/>
        <v>1</v>
      </c>
      <c r="AC41" s="772">
        <f t="shared" si="5"/>
        <v>1</v>
      </c>
    </row>
    <row r="42" spans="1:29" ht="15">
      <c r="A42" s="472"/>
      <c r="B42" s="422" t="s">
        <v>2743</v>
      </c>
      <c r="C42" s="2608"/>
      <c r="D42" s="435">
        <v>100</v>
      </c>
      <c r="E42" s="2608"/>
      <c r="F42" s="435">
        <f>SUMIF(125:125,E42,126:126)-SUMIF(125:125,C42,126:126)+100</f>
        <v>100</v>
      </c>
      <c r="G42" s="2608"/>
      <c r="H42" s="435">
        <f>SUMIF(125:125,G42,126:126)-SUMIF(125:125,C42,126:126)+100</f>
        <v>100</v>
      </c>
      <c r="I42" s="2608"/>
      <c r="J42" s="435">
        <f>SUMIF(125:125,I42,126:126)-SUMIF(125:125,C42,126:126)+100</f>
        <v>100</v>
      </c>
      <c r="K42" s="612"/>
      <c r="L42" s="1139"/>
      <c r="M42" s="1130"/>
      <c r="N42" s="1130"/>
      <c r="O42" s="1138"/>
      <c r="P42" s="3244" t="s">
        <v>2553</v>
      </c>
      <c r="Q42" s="1808" t="str">
        <f t="shared" si="14"/>
        <v>工程地质条件</v>
      </c>
      <c r="R42" s="773" t="s">
        <v>17</v>
      </c>
      <c r="S42" s="774">
        <f t="shared" si="10"/>
        <v>100</v>
      </c>
      <c r="T42" s="773" t="s">
        <v>17</v>
      </c>
      <c r="U42" s="774">
        <f t="shared" si="11"/>
        <v>100</v>
      </c>
      <c r="V42" s="773" t="s">
        <v>17</v>
      </c>
      <c r="W42" s="774">
        <f t="shared" si="12"/>
        <v>100</v>
      </c>
      <c r="X42" s="1811"/>
      <c r="Y42" s="3244" t="s">
        <v>2553</v>
      </c>
      <c r="Z42" s="1812" t="str">
        <f t="shared" si="13"/>
        <v>工程地质条件</v>
      </c>
      <c r="AA42" s="1809">
        <f t="shared" si="3"/>
        <v>1</v>
      </c>
      <c r="AB42" s="1809">
        <f t="shared" si="4"/>
        <v>1</v>
      </c>
      <c r="AC42" s="1809">
        <f t="shared" si="5"/>
        <v>1</v>
      </c>
    </row>
    <row r="43" spans="1:29" ht="15">
      <c r="A43" s="472"/>
      <c r="B43" s="1386">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9"/>
      <c r="M43" s="1130"/>
      <c r="N43" s="1130"/>
      <c r="O43" s="1138"/>
      <c r="P43" s="3244"/>
      <c r="Q43" s="1808">
        <f t="shared" si="14"/>
        <v>111</v>
      </c>
      <c r="R43" s="773" t="s">
        <v>17</v>
      </c>
      <c r="S43" s="774">
        <f t="shared" si="10"/>
        <v>100</v>
      </c>
      <c r="T43" s="773" t="s">
        <v>17</v>
      </c>
      <c r="U43" s="774">
        <f t="shared" si="11"/>
        <v>100</v>
      </c>
      <c r="V43" s="773" t="s">
        <v>17</v>
      </c>
      <c r="W43" s="774">
        <f t="shared" si="12"/>
        <v>100</v>
      </c>
      <c r="X43" s="1811"/>
      <c r="Y43" s="3244"/>
      <c r="Z43" s="1812">
        <f t="shared" si="13"/>
        <v>111</v>
      </c>
      <c r="AA43" s="1809">
        <f t="shared" si="3"/>
        <v>1</v>
      </c>
      <c r="AB43" s="1809">
        <f t="shared" si="4"/>
        <v>1</v>
      </c>
      <c r="AC43" s="1809">
        <f t="shared" si="5"/>
        <v>1</v>
      </c>
    </row>
    <row r="44" spans="1:29" ht="15">
      <c r="A44" s="472"/>
      <c r="B44" s="1386">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9"/>
      <c r="M44" s="1130"/>
      <c r="N44" s="1130"/>
      <c r="O44" s="1138"/>
      <c r="P44" s="3244"/>
      <c r="Q44" s="1808">
        <f t="shared" si="14"/>
        <v>111</v>
      </c>
      <c r="R44" s="773" t="s">
        <v>17</v>
      </c>
      <c r="S44" s="774">
        <f t="shared" si="10"/>
        <v>100</v>
      </c>
      <c r="T44" s="773" t="s">
        <v>17</v>
      </c>
      <c r="U44" s="774">
        <f t="shared" si="11"/>
        <v>100</v>
      </c>
      <c r="V44" s="773" t="s">
        <v>17</v>
      </c>
      <c r="W44" s="774">
        <f t="shared" si="12"/>
        <v>100</v>
      </c>
      <c r="X44" s="1811"/>
      <c r="Y44" s="3244"/>
      <c r="Z44" s="1812">
        <f t="shared" si="13"/>
        <v>111</v>
      </c>
      <c r="AA44" s="1809">
        <f t="shared" si="3"/>
        <v>1</v>
      </c>
      <c r="AB44" s="1809">
        <f t="shared" si="4"/>
        <v>1</v>
      </c>
      <c r="AC44" s="1809">
        <f t="shared" si="5"/>
        <v>1</v>
      </c>
    </row>
    <row r="45" spans="1:29" s="471" customFormat="1" ht="15.75" thickBot="1">
      <c r="A45" s="468"/>
      <c r="B45" s="1386">
        <v>111</v>
      </c>
      <c r="C45" s="2698"/>
      <c r="D45" s="680">
        <v>100</v>
      </c>
      <c r="E45" s="674"/>
      <c r="F45" s="438">
        <f>SUMIF(131:131,E45,132:132)-SUMIF(131:131,C45,132:132)+100</f>
        <v>100</v>
      </c>
      <c r="G45" s="674"/>
      <c r="H45" s="438">
        <f>SUMIF(131:131,G45,132:132)-SUMIF(131:131,C45,132:132)+100</f>
        <v>100</v>
      </c>
      <c r="I45" s="674"/>
      <c r="J45" s="438">
        <f>SUMIF(131:131,I45,132:132)-SUMIF(131:131,C45,132:132)+100</f>
        <v>100</v>
      </c>
      <c r="K45" s="681"/>
      <c r="L45" s="1137"/>
      <c r="M45" s="1140"/>
      <c r="N45" s="1140"/>
      <c r="O45" s="1141"/>
      <c r="P45" s="3244"/>
      <c r="Q45" s="1808">
        <f t="shared" si="14"/>
        <v>111</v>
      </c>
      <c r="R45" s="776" t="s">
        <v>17</v>
      </c>
      <c r="S45" s="777">
        <f t="shared" si="10"/>
        <v>100</v>
      </c>
      <c r="T45" s="776" t="s">
        <v>17</v>
      </c>
      <c r="U45" s="777">
        <f t="shared" si="11"/>
        <v>100</v>
      </c>
      <c r="V45" s="776" t="s">
        <v>17</v>
      </c>
      <c r="W45" s="777">
        <f t="shared" si="12"/>
        <v>100</v>
      </c>
      <c r="X45" s="778"/>
      <c r="Y45" s="3244"/>
      <c r="Z45" s="779">
        <f t="shared" si="13"/>
        <v>111</v>
      </c>
      <c r="AA45" s="1809">
        <f t="shared" si="3"/>
        <v>1</v>
      </c>
      <c r="AB45" s="1809">
        <f t="shared" si="4"/>
        <v>1</v>
      </c>
      <c r="AC45" s="1809">
        <f t="shared" si="5"/>
        <v>1</v>
      </c>
    </row>
    <row r="46" spans="1:29" ht="15">
      <c r="A46" s="479" t="s">
        <v>2708</v>
      </c>
      <c r="B46" s="2699" t="s">
        <v>2744</v>
      </c>
      <c r="C46" s="682" t="s">
        <v>1</v>
      </c>
      <c r="D46" s="481"/>
      <c r="E46" s="482"/>
      <c r="F46" s="483"/>
      <c r="G46" s="484"/>
      <c r="H46" s="485"/>
      <c r="I46" s="482"/>
      <c r="J46" s="485"/>
      <c r="K46" s="782"/>
      <c r="L46" s="1142"/>
      <c r="M46" s="1143"/>
      <c r="N46" s="1130"/>
      <c r="O46" s="1143"/>
      <c r="P46" s="3246" t="str">
        <f>A46</f>
        <v>成交单价</v>
      </c>
      <c r="Q46" s="3246"/>
      <c r="R46" s="3208">
        <f>E46</f>
        <v>0</v>
      </c>
      <c r="S46" s="3208"/>
      <c r="T46" s="3208">
        <f>G46</f>
        <v>0</v>
      </c>
      <c r="U46" s="3208"/>
      <c r="V46" s="3208">
        <f>I46</f>
        <v>0</v>
      </c>
      <c r="W46" s="3208"/>
      <c r="X46" s="758"/>
      <c r="Y46" s="780"/>
      <c r="Z46" s="758"/>
      <c r="AA46" s="758"/>
      <c r="AB46" s="758"/>
      <c r="AC46" s="758"/>
    </row>
    <row r="47" spans="1:29" ht="15.75" thickBot="1">
      <c r="A47" s="486" t="s">
        <v>2657</v>
      </c>
      <c r="B47" s="683"/>
      <c r="C47" s="490" t="e">
        <f>R48</f>
        <v>#DIV/0!</v>
      </c>
      <c r="D47" s="489"/>
      <c r="E47" s="490" t="e">
        <f>R47</f>
        <v>#DIV/0!</v>
      </c>
      <c r="F47" s="491"/>
      <c r="G47" s="488" t="e">
        <f>T47</f>
        <v>#DIV/0!</v>
      </c>
      <c r="H47" s="489"/>
      <c r="I47" s="490" t="e">
        <f>V47</f>
        <v>#DIV/0!</v>
      </c>
      <c r="J47" s="489"/>
      <c r="K47" s="783"/>
      <c r="L47" s="1142"/>
      <c r="M47" s="1143"/>
      <c r="N47" s="1143"/>
      <c r="O47" s="1143"/>
      <c r="P47" s="3246" t="str">
        <f>A47</f>
        <v>比较价值（元/平方米）</v>
      </c>
      <c r="Q47" s="3246"/>
      <c r="R47" s="3300" t="e">
        <f>ROUND(PRODUCT(R46,AA7:AA45),0)</f>
        <v>#DIV/0!</v>
      </c>
      <c r="S47" s="3300"/>
      <c r="T47" s="3300" t="e">
        <f>ROUND(PRODUCT(T46,AB7:AB45),0)</f>
        <v>#DIV/0!</v>
      </c>
      <c r="U47" s="3300"/>
      <c r="V47" s="3300" t="e">
        <f>ROUND(PRODUCT(V46,AC7:AC45),0)</f>
        <v>#DIV/0!</v>
      </c>
      <c r="W47" s="3300"/>
      <c r="X47" s="758"/>
      <c r="Y47" s="758"/>
      <c r="Z47" s="758"/>
      <c r="AA47" s="758"/>
      <c r="AB47" s="758"/>
      <c r="AC47" s="758"/>
    </row>
    <row r="48" spans="1:29" ht="15.75" thickBot="1">
      <c r="A48" s="492" t="s">
        <v>2745</v>
      </c>
      <c r="B48" s="493"/>
      <c r="C48" s="494" t="e">
        <f>R48</f>
        <v>#DIV/0!</v>
      </c>
      <c r="D48" s="494"/>
      <c r="E48" s="494"/>
      <c r="F48" s="494"/>
      <c r="G48" s="494"/>
      <c r="H48" s="494"/>
      <c r="I48" s="494"/>
      <c r="J48" s="494"/>
      <c r="K48" s="784"/>
      <c r="L48" s="1142"/>
      <c r="M48" s="1143"/>
      <c r="N48" s="1143"/>
      <c r="O48" s="1143"/>
      <c r="P48" s="3248" t="str">
        <f>A48</f>
        <v>估价对象XX用房的比较价值（楼面单价，元/平方米）</v>
      </c>
      <c r="Q48" s="3249"/>
      <c r="R48" s="3301" t="e">
        <f>ROUND(AVERAGE(R47:V47),0)</f>
        <v>#DIV/0!</v>
      </c>
      <c r="S48" s="3301"/>
      <c r="T48" s="3301"/>
      <c r="U48" s="3301"/>
      <c r="V48" s="3301"/>
      <c r="W48" s="3301"/>
      <c r="X48" s="758"/>
      <c r="Y48" s="758"/>
      <c r="Z48" s="758"/>
      <c r="AA48" s="758"/>
      <c r="AB48" s="758"/>
      <c r="AC48" s="758"/>
    </row>
    <row r="49" spans="1:15">
      <c r="A49" s="1143"/>
      <c r="B49" s="1143"/>
      <c r="C49" s="1143"/>
      <c r="D49" s="1143"/>
      <c r="E49" s="1143"/>
      <c r="F49" s="1143"/>
      <c r="G49" s="1146"/>
      <c r="H49" s="1143"/>
      <c r="I49" s="1143"/>
      <c r="J49" s="1143"/>
      <c r="K49" s="1105"/>
      <c r="L49" s="1106"/>
      <c r="M49" s="1143"/>
      <c r="N49" s="1143"/>
      <c r="O49" s="1143"/>
    </row>
    <row r="50" spans="1:15">
      <c r="A50" s="1143"/>
      <c r="B50" s="1143"/>
      <c r="C50" s="1143"/>
      <c r="D50" s="1143"/>
      <c r="E50" s="1143"/>
      <c r="F50" s="1143"/>
      <c r="G50" s="1143"/>
      <c r="H50" s="1143"/>
      <c r="I50" s="1143"/>
      <c r="J50" s="1143"/>
      <c r="K50" s="1105"/>
      <c r="L50" s="1106"/>
      <c r="M50" s="1143"/>
      <c r="N50" s="1143"/>
      <c r="O50" s="1143"/>
    </row>
    <row r="51" spans="1:15" ht="13.5" customHeight="1">
      <c r="A51" s="1143"/>
      <c r="B51" s="1143"/>
      <c r="C51" s="497" t="s">
        <v>2659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3"/>
      <c r="N51" s="1143"/>
      <c r="O51" s="1143"/>
    </row>
    <row r="52" spans="1:15" ht="13.5" customHeight="1">
      <c r="A52" s="1143"/>
      <c r="B52" s="1143"/>
      <c r="C52" s="497" t="s">
        <v>2660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3"/>
      <c r="N52" s="1143"/>
      <c r="O52" s="1143"/>
    </row>
    <row r="53" spans="1:15" s="502" customFormat="1" ht="13.5" customHeight="1">
      <c r="A53" s="1144"/>
      <c r="B53" s="1144"/>
      <c r="C53" s="497" t="s">
        <v>2661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7"/>
      <c r="L53" s="1148"/>
      <c r="M53" s="1144"/>
      <c r="N53" s="1144"/>
      <c r="O53" s="1144"/>
    </row>
    <row r="54" spans="1:15" s="502" customFormat="1" ht="15" thickBot="1">
      <c r="A54" s="1144"/>
      <c r="B54" s="1145"/>
      <c r="C54" s="761"/>
      <c r="D54" s="759"/>
      <c r="E54" s="759"/>
      <c r="F54" s="759"/>
      <c r="G54" s="759"/>
      <c r="H54" s="759"/>
      <c r="I54" s="759"/>
      <c r="J54" s="759"/>
      <c r="K54" s="1147"/>
      <c r="L54" s="1148"/>
      <c r="M54" s="1144"/>
      <c r="N54" s="1144"/>
      <c r="O54" s="1144"/>
    </row>
    <row r="55" spans="1:15" ht="27" customHeight="1">
      <c r="A55" s="684" t="s">
        <v>2746</v>
      </c>
      <c r="B55" s="685" t="s">
        <v>2747</v>
      </c>
      <c r="C55" s="2700" t="s">
        <v>2748</v>
      </c>
      <c r="D55" s="2701" t="s">
        <v>2749</v>
      </c>
      <c r="E55" s="686" t="s">
        <v>2750</v>
      </c>
      <c r="F55" s="1107" t="s">
        <v>2751</v>
      </c>
      <c r="G55" s="3224" t="s">
        <v>2752</v>
      </c>
      <c r="H55" s="3302"/>
      <c r="I55" s="144" t="s">
        <v>2753</v>
      </c>
      <c r="J55" s="2702">
        <f>项目基本情况!F35</f>
        <v>0</v>
      </c>
      <c r="K55" s="2703" t="s">
        <v>2754</v>
      </c>
      <c r="L55" s="1106"/>
      <c r="M55" s="1143"/>
      <c r="N55" s="1143"/>
      <c r="O55" s="1143"/>
    </row>
    <row r="56" spans="1:15" s="692" customFormat="1">
      <c r="A56" s="688" t="s">
        <v>2755</v>
      </c>
      <c r="B56" s="689" t="e">
        <f>C48</f>
        <v>#DIV/0!</v>
      </c>
      <c r="C56" s="690">
        <v>1</v>
      </c>
      <c r="D56" s="1162">
        <v>1</v>
      </c>
      <c r="E56" s="690">
        <f>'数据-汇总表'!E8+'数据-汇总表'!E9</f>
        <v>4163.47</v>
      </c>
      <c r="F56" s="1103" t="e">
        <f t="shared" ref="F56:F65" si="15">ROUND(B56*E56/10000,0)</f>
        <v>#DIV/0!</v>
      </c>
      <c r="G56" s="3223"/>
      <c r="H56" s="3246"/>
      <c r="I56" s="1108">
        <v>1</v>
      </c>
      <c r="J56" s="1111">
        <v>1</v>
      </c>
      <c r="K56" s="1144"/>
      <c r="L56" s="943"/>
      <c r="M56" s="943"/>
      <c r="N56" s="943"/>
      <c r="O56" s="943"/>
    </row>
    <row r="57" spans="1:15" s="692" customFormat="1">
      <c r="A57" s="693" t="s">
        <v>2756</v>
      </c>
      <c r="B57" s="262" t="e">
        <f>ROUND($C$48*C57*D57,0)</f>
        <v>#DIV/0!</v>
      </c>
      <c r="C57" s="200">
        <f t="shared" ref="C57:C65" si="16">IF($C$55="北京市系数",I57,J57)</f>
        <v>0.7</v>
      </c>
      <c r="D57" s="1163">
        <v>0.25</v>
      </c>
      <c r="E57" s="694"/>
      <c r="F57" s="1103" t="e">
        <f t="shared" si="15"/>
        <v>#DIV/0!</v>
      </c>
      <c r="G57" s="3303" t="s">
        <v>2757</v>
      </c>
      <c r="H57" s="1104" t="str">
        <f>项目基本情况!B37</f>
        <v>五级</v>
      </c>
      <c r="I57" s="1108">
        <f>SUMIF(修正!A45:A56,H57,修正!B45:B56)</f>
        <v>0.7</v>
      </c>
      <c r="J57" s="1112"/>
      <c r="K57" s="1143"/>
      <c r="L57" s="943"/>
      <c r="M57" s="943"/>
      <c r="N57" s="943"/>
      <c r="O57" s="943"/>
    </row>
    <row r="58" spans="1:15" s="692" customFormat="1">
      <c r="A58" s="693" t="s">
        <v>2758</v>
      </c>
      <c r="B58" s="262" t="e">
        <f t="shared" ref="B58:B65" si="17">ROUND($C$48*C58*D58,0)</f>
        <v>#DIV/0!</v>
      </c>
      <c r="C58" s="200">
        <f t="shared" si="16"/>
        <v>0.4</v>
      </c>
      <c r="D58" s="1163">
        <v>0.25</v>
      </c>
      <c r="E58" s="694"/>
      <c r="F58" s="1103" t="e">
        <f t="shared" si="15"/>
        <v>#DIV/0!</v>
      </c>
      <c r="G58" s="3303"/>
      <c r="H58" s="1104" t="str">
        <f>项目基本情况!B37</f>
        <v>五级</v>
      </c>
      <c r="I58" s="1108">
        <f>SUMIF(修正!A45:A56,H58,修正!C45:C56)</f>
        <v>0.4</v>
      </c>
      <c r="J58" s="1112"/>
      <c r="K58" s="1144"/>
      <c r="L58" s="943"/>
      <c r="M58" s="943"/>
      <c r="N58" s="943"/>
      <c r="O58" s="943"/>
    </row>
    <row r="59" spans="1:15" s="692" customFormat="1">
      <c r="A59" s="693" t="s">
        <v>2759</v>
      </c>
      <c r="B59" s="262" t="e">
        <f t="shared" si="17"/>
        <v>#DIV/0!</v>
      </c>
      <c r="C59" s="200">
        <f t="shared" si="16"/>
        <v>0.28000000000000003</v>
      </c>
      <c r="D59" s="1163">
        <v>0.25</v>
      </c>
      <c r="E59" s="694"/>
      <c r="F59" s="1103" t="e">
        <f t="shared" si="15"/>
        <v>#DIV/0!</v>
      </c>
      <c r="G59" s="3303"/>
      <c r="H59" s="1104" t="str">
        <f>项目基本情况!B37</f>
        <v>五级</v>
      </c>
      <c r="I59" s="1108">
        <f>SUMIF(修正!A45:A56,H59,修正!D45:D56)</f>
        <v>0.28000000000000003</v>
      </c>
      <c r="J59" s="1112"/>
      <c r="K59" s="1143"/>
      <c r="L59" s="943"/>
      <c r="M59" s="943"/>
      <c r="N59" s="943"/>
      <c r="O59" s="943"/>
    </row>
    <row r="60" spans="1:15" s="692" customFormat="1">
      <c r="A60" s="693" t="s">
        <v>2760</v>
      </c>
      <c r="B60" s="262" t="e">
        <f t="shared" si="17"/>
        <v>#DIV/0!</v>
      </c>
      <c r="C60" s="200">
        <f t="shared" si="16"/>
        <v>0.25</v>
      </c>
      <c r="D60" s="1163">
        <v>0.25</v>
      </c>
      <c r="E60" s="694"/>
      <c r="F60" s="1103" t="e">
        <f t="shared" si="15"/>
        <v>#DIV/0!</v>
      </c>
      <c r="G60" s="3303"/>
      <c r="H60" s="1104" t="str">
        <f>项目基本情况!B37</f>
        <v>五级</v>
      </c>
      <c r="I60" s="1108">
        <f>SUMIF(修正!A45:A56,H60,修正!E45:E56)</f>
        <v>0.25</v>
      </c>
      <c r="J60" s="1112"/>
      <c r="K60" s="1144"/>
      <c r="L60" s="943"/>
      <c r="M60" s="943"/>
      <c r="N60" s="943"/>
      <c r="O60" s="943"/>
    </row>
    <row r="61" spans="1:15" s="692" customFormat="1">
      <c r="A61" s="693" t="s">
        <v>2761</v>
      </c>
      <c r="B61" s="262" t="e">
        <f t="shared" si="17"/>
        <v>#DIV/0!</v>
      </c>
      <c r="C61" s="200">
        <f t="shared" si="16"/>
        <v>0</v>
      </c>
      <c r="D61" s="1163">
        <v>0.25</v>
      </c>
      <c r="E61" s="261">
        <f>'数据-汇总表'!E11</f>
        <v>0</v>
      </c>
      <c r="F61" s="1103" t="e">
        <f t="shared" si="15"/>
        <v>#DIV/0!</v>
      </c>
      <c r="G61" s="2704" t="s">
        <v>2762</v>
      </c>
      <c r="H61" s="1104">
        <f>项目基本情况!C37</f>
        <v>0</v>
      </c>
      <c r="I61" s="1108">
        <f>SUMIF(修正!A45:A56,H61,修正!F45:F56)</f>
        <v>0</v>
      </c>
      <c r="J61" s="1112"/>
      <c r="K61" s="1143"/>
      <c r="L61" s="943"/>
      <c r="M61" s="943"/>
      <c r="N61" s="943"/>
      <c r="O61" s="943"/>
    </row>
    <row r="62" spans="1:15" s="692" customFormat="1">
      <c r="A62" s="693" t="s">
        <v>2763</v>
      </c>
      <c r="B62" s="262" t="e">
        <f t="shared" si="17"/>
        <v>#DIV/0!</v>
      </c>
      <c r="C62" s="200">
        <f t="shared" si="16"/>
        <v>0</v>
      </c>
      <c r="D62" s="1163">
        <v>0.25</v>
      </c>
      <c r="E62" s="261">
        <f>'数据-汇总表'!E12</f>
        <v>0</v>
      </c>
      <c r="F62" s="1103" t="e">
        <f t="shared" si="15"/>
        <v>#DIV/0!</v>
      </c>
      <c r="G62" s="1109" t="s">
        <v>2764</v>
      </c>
      <c r="H62" s="1104">
        <f>IF(G62="商业",项目基本情况!B37,IF(G62="办公",项目基本情况!C37,IF(G62="住宅",项目基本情况!D37,项目基本情况!E37)))</f>
        <v>0</v>
      </c>
      <c r="I62" s="1108">
        <f>SUMIF(修正!A45:A56,H62,修正!G45:G56)</f>
        <v>0</v>
      </c>
      <c r="J62" s="1112"/>
      <c r="K62" s="1144"/>
      <c r="L62" s="943"/>
      <c r="M62" s="943"/>
      <c r="N62" s="943"/>
      <c r="O62" s="943"/>
    </row>
    <row r="63" spans="1:15" s="692" customFormat="1">
      <c r="A63" s="693" t="s">
        <v>2765</v>
      </c>
      <c r="B63" s="262" t="e">
        <f t="shared" si="17"/>
        <v>#DIV/0!</v>
      </c>
      <c r="C63" s="200">
        <f t="shared" si="16"/>
        <v>0</v>
      </c>
      <c r="D63" s="1163">
        <v>0.25</v>
      </c>
      <c r="E63" s="261">
        <f>'数据-汇总表'!E13</f>
        <v>0</v>
      </c>
      <c r="F63" s="1103" t="e">
        <f t="shared" si="15"/>
        <v>#DIV/0!</v>
      </c>
      <c r="G63" s="1109" t="s">
        <v>2766</v>
      </c>
      <c r="H63" s="1104">
        <f>IF(G63="商业",项目基本情况!B37,IF(G63="办公",项目基本情况!C37,IF(G63="住宅",项目基本情况!D37,项目基本情况!E37)))</f>
        <v>0</v>
      </c>
      <c r="I63" s="1108">
        <f>SUMIF(修正!A45:A56,H63,修正!H45:H56)</f>
        <v>0</v>
      </c>
      <c r="J63" s="1112"/>
      <c r="K63" s="1143"/>
      <c r="L63" s="943"/>
      <c r="M63" s="943"/>
      <c r="N63" s="943"/>
      <c r="O63" s="943"/>
    </row>
    <row r="64" spans="1:15" s="692" customFormat="1">
      <c r="A64" s="693" t="s">
        <v>2767</v>
      </c>
      <c r="B64" s="262" t="e">
        <f t="shared" si="17"/>
        <v>#DIV/0!</v>
      </c>
      <c r="C64" s="200">
        <f t="shared" si="16"/>
        <v>0.2</v>
      </c>
      <c r="D64" s="1163">
        <v>0.25</v>
      </c>
      <c r="E64" s="261">
        <f>'数据-汇总表'!E14</f>
        <v>0</v>
      </c>
      <c r="F64" s="1103" t="e">
        <f t="shared" si="15"/>
        <v>#DIV/0!</v>
      </c>
      <c r="G64" s="2704" t="s">
        <v>2757</v>
      </c>
      <c r="H64" s="1104" t="str">
        <f>项目基本情况!B37</f>
        <v>五级</v>
      </c>
      <c r="I64" s="1108">
        <f>SUMIF(修正!A45:A56,H64,修正!H45:H56)</f>
        <v>0.2</v>
      </c>
      <c r="J64" s="1112"/>
      <c r="K64" s="1144"/>
      <c r="L64" s="943"/>
      <c r="M64" s="943"/>
      <c r="N64" s="943"/>
      <c r="O64" s="943"/>
    </row>
    <row r="65" spans="1:17" s="692" customFormat="1" ht="15" thickBot="1">
      <c r="A65" s="693" t="s">
        <v>2768</v>
      </c>
      <c r="B65" s="262" t="e">
        <f t="shared" si="17"/>
        <v>#DIV/0!</v>
      </c>
      <c r="C65" s="200">
        <f t="shared" si="16"/>
        <v>0</v>
      </c>
      <c r="D65" s="1163">
        <v>0.25</v>
      </c>
      <c r="E65" s="261">
        <f>'数据-汇总表'!E15</f>
        <v>0</v>
      </c>
      <c r="F65" s="1103" t="e">
        <f t="shared" si="15"/>
        <v>#DIV/0!</v>
      </c>
      <c r="G65" s="2705" t="s">
        <v>2762</v>
      </c>
      <c r="H65" s="1114">
        <f>项目基本情况!C37</f>
        <v>0</v>
      </c>
      <c r="I65" s="1110">
        <f>SUMIF(修正!A45:A56,H65,修正!H45:H56)</f>
        <v>0</v>
      </c>
      <c r="J65" s="1113"/>
      <c r="K65" s="1143"/>
      <c r="L65" s="943"/>
      <c r="M65" s="943"/>
      <c r="N65" s="943"/>
      <c r="O65" s="943"/>
    </row>
    <row r="66" spans="1:17" s="692" customFormat="1" ht="13.5" thickBot="1">
      <c r="A66" s="695" t="s">
        <v>2769</v>
      </c>
      <c r="B66" s="696" t="s">
        <v>28</v>
      </c>
      <c r="C66" s="696" t="s">
        <v>29</v>
      </c>
      <c r="D66" s="696" t="s">
        <v>1029</v>
      </c>
      <c r="E66" s="696">
        <f>IF(B46="楼面地价",SUM(E56:E65),'数据-汇总表'!D3)</f>
        <v>4163.47</v>
      </c>
      <c r="F66" s="697" t="e">
        <f>IF(B46="楼面地价",SUM(F56:F65),ROUND(C48*E66/10000,0))</f>
        <v>#DIV/0!</v>
      </c>
      <c r="G66" s="786"/>
      <c r="H66" s="786"/>
      <c r="I66" s="786"/>
      <c r="J66" s="786"/>
      <c r="K66" s="1157"/>
      <c r="L66" s="943"/>
      <c r="M66" s="943"/>
      <c r="N66" s="943"/>
      <c r="O66" s="943"/>
    </row>
    <row r="67" spans="1:17">
      <c r="A67" s="758"/>
      <c r="B67" s="760"/>
      <c r="C67" s="761"/>
      <c r="D67" s="758"/>
      <c r="E67" s="758"/>
      <c r="F67" s="758"/>
      <c r="G67" s="758"/>
      <c r="H67" s="758"/>
      <c r="I67" s="758"/>
      <c r="J67" s="1143"/>
      <c r="K67" s="1105"/>
      <c r="L67" s="1106"/>
      <c r="M67" s="1143"/>
      <c r="N67" s="1143"/>
      <c r="O67" s="1143"/>
    </row>
    <row r="68" spans="1:17">
      <c r="A68" s="758"/>
      <c r="B68" s="760"/>
      <c r="C68" s="760" t="str">
        <f>YEAR(C7)&amp;"-"&amp;MONTH(C7)&amp;"-1"</f>
        <v>2018-2-1</v>
      </c>
      <c r="D68" s="760">
        <f>EDATE(C68,-3)</f>
        <v>43040</v>
      </c>
      <c r="E68" s="760">
        <f>EDATE(D68,-3)</f>
        <v>42948</v>
      </c>
      <c r="F68" s="760">
        <f t="shared" ref="F68:O68" si="18">EDATE(E68,-3)</f>
        <v>42856</v>
      </c>
      <c r="G68" s="760">
        <f t="shared" si="18"/>
        <v>42767</v>
      </c>
      <c r="H68" s="760">
        <f t="shared" si="18"/>
        <v>42675</v>
      </c>
      <c r="I68" s="760">
        <f t="shared" si="18"/>
        <v>42583</v>
      </c>
      <c r="J68" s="760">
        <f t="shared" si="18"/>
        <v>42491</v>
      </c>
      <c r="K68" s="760">
        <f t="shared" si="18"/>
        <v>42401</v>
      </c>
      <c r="L68" s="760">
        <f t="shared" si="18"/>
        <v>42309</v>
      </c>
      <c r="M68" s="760">
        <f t="shared" si="18"/>
        <v>42217</v>
      </c>
      <c r="N68" s="760">
        <f t="shared" si="18"/>
        <v>42125</v>
      </c>
      <c r="O68" s="760">
        <f t="shared" si="18"/>
        <v>42036</v>
      </c>
    </row>
    <row r="69" spans="1:17" ht="21.75" thickBot="1">
      <c r="A69" s="762" t="s">
        <v>2662</v>
      </c>
      <c r="B69" s="758"/>
      <c r="C69" s="763"/>
      <c r="D69" s="763"/>
      <c r="E69" s="763"/>
      <c r="F69" s="764"/>
      <c r="G69" s="764"/>
      <c r="H69" s="763"/>
      <c r="I69" s="763"/>
      <c r="J69" s="1158"/>
      <c r="K69" s="1159"/>
      <c r="L69" s="1160"/>
      <c r="M69" s="1158"/>
      <c r="N69" s="1158"/>
      <c r="O69" s="1158"/>
      <c r="P69" s="503"/>
      <c r="Q69" s="504"/>
    </row>
    <row r="70" spans="1:17" s="508" customFormat="1" ht="15">
      <c r="A70" s="2706" t="s">
        <v>2770</v>
      </c>
      <c r="B70" s="1358"/>
      <c r="C70" s="1571" t="str">
        <f>YEAR(C68)&amp;"-"&amp;ROUNDUP(MONTH(C68)/3,0)</f>
        <v>2018-1</v>
      </c>
      <c r="D70" s="1571" t="str">
        <f>YEAR(D68)&amp;"-"&amp;ROUNDUP(MONTH(D68)/3,0)</f>
        <v>2017-4</v>
      </c>
      <c r="E70" s="1571" t="str">
        <f t="shared" ref="E70:O70" si="19">YEAR(E68)&amp;"-"&amp;ROUNDUP(MONTH(E68)/3,0)</f>
        <v>2017-3</v>
      </c>
      <c r="F70" s="1571" t="str">
        <f t="shared" si="19"/>
        <v>2017-2</v>
      </c>
      <c r="G70" s="1571" t="str">
        <f t="shared" si="19"/>
        <v>2017-1</v>
      </c>
      <c r="H70" s="1571" t="str">
        <f t="shared" si="19"/>
        <v>2016-4</v>
      </c>
      <c r="I70" s="1571" t="str">
        <f t="shared" si="19"/>
        <v>2016-3</v>
      </c>
      <c r="J70" s="1571" t="str">
        <f t="shared" si="19"/>
        <v>2016-2</v>
      </c>
      <c r="K70" s="1571" t="str">
        <f t="shared" si="19"/>
        <v>2016-1</v>
      </c>
      <c r="L70" s="1571" t="str">
        <f t="shared" si="19"/>
        <v>2015-4</v>
      </c>
      <c r="M70" s="1571" t="str">
        <f t="shared" si="19"/>
        <v>2015-3</v>
      </c>
      <c r="N70" s="1571" t="str">
        <f t="shared" si="19"/>
        <v>2015-2</v>
      </c>
      <c r="O70" s="1571" t="str">
        <f t="shared" si="19"/>
        <v>2015-1</v>
      </c>
      <c r="P70" s="507"/>
    </row>
    <row r="71" spans="1:17" s="117" customFormat="1" ht="30" customHeight="1">
      <c r="A71" s="2707" t="s">
        <v>2771</v>
      </c>
      <c r="B71" s="332" t="str">
        <f>"北京市平均增长率"&amp;TEXT(SUMIF(基准地价修正!N21:N25,A71,基准地价修正!P21:P25),"0.00%")</f>
        <v>北京市平均增长率2.55%</v>
      </c>
      <c r="C71" s="603">
        <v>100</v>
      </c>
      <c r="D71" s="595"/>
      <c r="E71" s="595"/>
      <c r="F71" s="595"/>
      <c r="G71" s="595"/>
      <c r="H71" s="595"/>
      <c r="I71" s="595"/>
      <c r="J71" s="595"/>
      <c r="K71" s="595"/>
      <c r="L71" s="595"/>
      <c r="M71" s="1566"/>
      <c r="N71" s="595"/>
      <c r="O71" s="1567"/>
      <c r="P71" s="504"/>
    </row>
    <row r="72" spans="1:17" s="117" customFormat="1" ht="15.75" thickBot="1">
      <c r="A72" s="515" t="s">
        <v>2573</v>
      </c>
      <c r="B72" s="516"/>
      <c r="C72" s="517"/>
      <c r="D72" s="518"/>
      <c r="E72" s="518"/>
      <c r="F72" s="518"/>
      <c r="G72" s="518"/>
      <c r="H72" s="518"/>
      <c r="I72" s="518"/>
      <c r="J72" s="518"/>
      <c r="K72" s="518"/>
      <c r="L72" s="518"/>
      <c r="M72" s="519"/>
      <c r="N72" s="518"/>
      <c r="O72" s="1161"/>
      <c r="P72" s="504"/>
      <c r="Q72" s="504"/>
    </row>
    <row r="73" spans="1:17" s="117" customFormat="1" ht="15">
      <c r="A73" s="521" t="s">
        <v>2538</v>
      </c>
      <c r="B73" s="510"/>
      <c r="C73" s="522" t="s">
        <v>2640</v>
      </c>
      <c r="D73" s="523"/>
      <c r="E73" s="523"/>
      <c r="F73" s="523"/>
      <c r="G73" s="523"/>
      <c r="H73" s="523"/>
      <c r="I73" s="523"/>
      <c r="J73" s="523"/>
      <c r="K73" s="523"/>
      <c r="L73" s="524"/>
      <c r="M73" s="525"/>
      <c r="N73" s="1150"/>
      <c r="O73" s="1150"/>
      <c r="P73" s="526"/>
      <c r="Q73" s="504"/>
    </row>
    <row r="74" spans="1:17" s="117" customFormat="1" ht="15.75" thickBot="1">
      <c r="A74" s="521"/>
      <c r="B74" s="510"/>
      <c r="C74" s="639">
        <v>100</v>
      </c>
      <c r="D74" s="512"/>
      <c r="E74" s="512"/>
      <c r="F74" s="512"/>
      <c r="G74" s="512"/>
      <c r="H74" s="512"/>
      <c r="I74" s="512"/>
      <c r="J74" s="512"/>
      <c r="K74" s="512"/>
      <c r="L74" s="512"/>
      <c r="M74" s="514"/>
      <c r="N74" s="1150"/>
      <c r="O74" s="1150"/>
      <c r="P74" s="504"/>
      <c r="Q74" s="504"/>
    </row>
    <row r="75" spans="1:17">
      <c r="A75" s="527" t="s">
        <v>2576</v>
      </c>
      <c r="B75" s="528" t="s">
        <v>2542</v>
      </c>
      <c r="C75" s="530"/>
      <c r="D75" s="530"/>
      <c r="E75" s="530"/>
      <c r="F75" s="530"/>
      <c r="G75" s="530"/>
      <c r="H75" s="530"/>
      <c r="I75" s="530"/>
      <c r="J75" s="530"/>
      <c r="K75" s="531"/>
      <c r="L75" s="532"/>
      <c r="M75" s="533"/>
      <c r="N75" s="1151"/>
      <c r="O75" s="1151"/>
      <c r="P75" s="45"/>
      <c r="Q75" s="504"/>
    </row>
    <row r="76" spans="1:17" ht="15.75" thickBot="1">
      <c r="A76" s="534"/>
      <c r="B76" s="535"/>
      <c r="C76" s="536"/>
      <c r="D76" s="536"/>
      <c r="E76" s="536"/>
      <c r="F76" s="536"/>
      <c r="G76" s="536"/>
      <c r="H76" s="536"/>
      <c r="I76" s="536"/>
      <c r="J76" s="536"/>
      <c r="K76" s="536"/>
      <c r="L76" s="536"/>
      <c r="M76" s="537"/>
      <c r="N76" s="1152"/>
      <c r="O76" s="1152"/>
      <c r="P76" s="45"/>
      <c r="Q76" s="504"/>
    </row>
    <row r="77" spans="1:17" ht="27.75" thickTop="1">
      <c r="A77" s="534"/>
      <c r="B77" s="538" t="s">
        <v>2545</v>
      </c>
      <c r="C77" s="539"/>
      <c r="D77" s="539"/>
      <c r="E77" s="539"/>
      <c r="F77" s="539"/>
      <c r="G77" s="539"/>
      <c r="H77" s="539"/>
      <c r="I77" s="539"/>
      <c r="J77" s="539"/>
      <c r="K77" s="540"/>
      <c r="L77" s="541"/>
      <c r="M77" s="542"/>
      <c r="N77" s="1151"/>
      <c r="O77" s="1151"/>
      <c r="P77" s="45"/>
      <c r="Q77" s="504"/>
    </row>
    <row r="78" spans="1:17" ht="15.75" thickBot="1">
      <c r="A78" s="534"/>
      <c r="B78" s="543"/>
      <c r="C78" s="544"/>
      <c r="D78" s="544"/>
      <c r="E78" s="544"/>
      <c r="F78" s="544"/>
      <c r="G78" s="544"/>
      <c r="H78" s="544"/>
      <c r="I78" s="544"/>
      <c r="J78" s="544"/>
      <c r="K78" s="544"/>
      <c r="L78" s="544"/>
      <c r="M78" s="545"/>
      <c r="N78" s="1152"/>
      <c r="O78" s="1152"/>
      <c r="P78" s="45"/>
      <c r="Q78" s="504"/>
    </row>
    <row r="79" spans="1:17" ht="15.75" thickTop="1">
      <c r="A79" s="534"/>
      <c r="B79" s="546" t="s">
        <v>2546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2"/>
      <c r="O79" s="1152"/>
      <c r="P79" s="45"/>
      <c r="Q79" s="504"/>
    </row>
    <row r="80" spans="1:17" ht="15">
      <c r="A80" s="534"/>
      <c r="B80" s="548"/>
      <c r="C80" s="549"/>
      <c r="D80" s="549"/>
      <c r="E80" s="549"/>
      <c r="F80" s="549"/>
      <c r="G80" s="549"/>
      <c r="H80" s="549"/>
      <c r="I80" s="549"/>
      <c r="J80" s="549"/>
      <c r="K80" s="550"/>
      <c r="L80" s="551"/>
      <c r="M80" s="552"/>
      <c r="N80" s="1151"/>
      <c r="O80" s="1151"/>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2"/>
      <c r="O81" s="1152"/>
      <c r="P81" s="45"/>
      <c r="Q81" s="504"/>
    </row>
    <row r="82" spans="1:17" s="471" customFormat="1" ht="15.75" thickTop="1">
      <c r="A82" s="553"/>
      <c r="B82" s="538" t="str">
        <f>B12</f>
        <v>配建</v>
      </c>
      <c r="C82" s="554"/>
      <c r="D82" s="554"/>
      <c r="E82" s="554"/>
      <c r="F82" s="554"/>
      <c r="G82" s="554"/>
      <c r="H82" s="555"/>
      <c r="I82" s="555"/>
      <c r="J82" s="555"/>
      <c r="K82" s="555"/>
      <c r="L82" s="556"/>
      <c r="M82" s="557"/>
      <c r="N82" s="1153"/>
      <c r="O82" s="1153"/>
      <c r="P82" s="558"/>
      <c r="Q82" s="559"/>
    </row>
    <row r="83" spans="1:17" s="471" customFormat="1" ht="15.75" thickBot="1">
      <c r="A83" s="553"/>
      <c r="B83" s="543"/>
      <c r="C83" s="560"/>
      <c r="D83" s="536"/>
      <c r="E83" s="536"/>
      <c r="F83" s="536"/>
      <c r="G83" s="536"/>
      <c r="H83" s="536"/>
      <c r="I83" s="536"/>
      <c r="J83" s="536"/>
      <c r="K83" s="536"/>
      <c r="L83" s="536"/>
      <c r="M83" s="537"/>
      <c r="N83" s="1152"/>
      <c r="O83" s="1152"/>
      <c r="P83" s="558"/>
      <c r="Q83" s="559"/>
    </row>
    <row r="84" spans="1:17" s="471" customFormat="1" ht="15.75" thickTop="1">
      <c r="A84" s="553"/>
      <c r="B84" s="538">
        <f>B13</f>
        <v>111</v>
      </c>
      <c r="C84" s="554"/>
      <c r="D84" s="554"/>
      <c r="E84" s="554"/>
      <c r="F84" s="554"/>
      <c r="G84" s="554"/>
      <c r="H84" s="555"/>
      <c r="I84" s="555"/>
      <c r="J84" s="555"/>
      <c r="K84" s="555"/>
      <c r="L84" s="556"/>
      <c r="M84" s="557"/>
      <c r="N84" s="1153"/>
      <c r="O84" s="1153"/>
      <c r="P84" s="470"/>
      <c r="Q84" s="561"/>
    </row>
    <row r="85" spans="1:17" s="471" customFormat="1" ht="15.75" thickBot="1">
      <c r="A85" s="553"/>
      <c r="B85" s="543"/>
      <c r="C85" s="560"/>
      <c r="D85" s="560"/>
      <c r="E85" s="560"/>
      <c r="F85" s="560"/>
      <c r="G85" s="560"/>
      <c r="H85" s="562"/>
      <c r="I85" s="562"/>
      <c r="J85" s="562"/>
      <c r="K85" s="562"/>
      <c r="L85" s="562"/>
      <c r="M85" s="563"/>
      <c r="N85" s="1153"/>
      <c r="O85" s="1153"/>
      <c r="P85" s="558"/>
      <c r="Q85" s="559"/>
    </row>
    <row r="86" spans="1:17" s="471" customFormat="1" ht="15.75" thickTop="1">
      <c r="A86" s="553"/>
      <c r="B86" s="546">
        <f>B14</f>
        <v>111</v>
      </c>
      <c r="C86" s="523"/>
      <c r="D86" s="523"/>
      <c r="E86" s="523"/>
      <c r="F86" s="523"/>
      <c r="G86" s="523"/>
      <c r="H86" s="564"/>
      <c r="I86" s="564"/>
      <c r="J86" s="564"/>
      <c r="K86" s="564"/>
      <c r="L86" s="565"/>
      <c r="M86" s="566"/>
      <c r="N86" s="1153"/>
      <c r="O86" s="1153"/>
      <c r="P86" s="567"/>
      <c r="Q86" s="559"/>
    </row>
    <row r="87" spans="1:17" s="471" customFormat="1" ht="15.75" thickBot="1">
      <c r="A87" s="568"/>
      <c r="B87" s="569"/>
      <c r="C87" s="570"/>
      <c r="D87" s="570"/>
      <c r="E87" s="570"/>
      <c r="F87" s="570"/>
      <c r="G87" s="570"/>
      <c r="H87" s="571"/>
      <c r="I87" s="571"/>
      <c r="J87" s="571"/>
      <c r="K87" s="571"/>
      <c r="L87" s="571"/>
      <c r="M87" s="572"/>
      <c r="N87" s="1153"/>
      <c r="O87" s="1153"/>
      <c r="P87" s="558"/>
      <c r="Q87" s="559"/>
    </row>
    <row r="88" spans="1:17">
      <c r="A88" s="527" t="s">
        <v>2547</v>
      </c>
      <c r="B88" s="528" t="s">
        <v>2584</v>
      </c>
      <c r="C88" s="573" t="s">
        <v>2585</v>
      </c>
      <c r="D88" s="573" t="s">
        <v>2586</v>
      </c>
      <c r="E88" s="573" t="s">
        <v>2587</v>
      </c>
      <c r="F88" s="573" t="s">
        <v>2588</v>
      </c>
      <c r="G88" s="573" t="s">
        <v>2589</v>
      </c>
      <c r="H88" s="529"/>
      <c r="I88" s="529"/>
      <c r="J88" s="529"/>
      <c r="K88" s="574"/>
      <c r="L88" s="575"/>
      <c r="M88" s="576"/>
      <c r="N88" s="1151"/>
      <c r="O88" s="1151"/>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2"/>
      <c r="O89" s="1152"/>
      <c r="P89" s="45"/>
      <c r="Q89" s="504"/>
    </row>
    <row r="90" spans="1:17" ht="15.75" thickTop="1">
      <c r="A90" s="534"/>
      <c r="B90" s="538" t="s">
        <v>2772</v>
      </c>
      <c r="C90" s="578" t="s">
        <v>2585</v>
      </c>
      <c r="D90" s="578" t="s">
        <v>2586</v>
      </c>
      <c r="E90" s="578" t="s">
        <v>2587</v>
      </c>
      <c r="F90" s="578" t="s">
        <v>2588</v>
      </c>
      <c r="G90" s="578" t="s">
        <v>2589</v>
      </c>
      <c r="H90" s="539"/>
      <c r="I90" s="539"/>
      <c r="J90" s="539"/>
      <c r="K90" s="540"/>
      <c r="L90" s="541"/>
      <c r="M90" s="542"/>
      <c r="N90" s="1151"/>
      <c r="O90" s="1151"/>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2"/>
      <c r="O91" s="1152"/>
      <c r="P91" s="45"/>
      <c r="Q91" s="504"/>
    </row>
    <row r="92" spans="1:17" ht="15.75" thickTop="1">
      <c r="A92" s="534"/>
      <c r="B92" s="538" t="s">
        <v>2685</v>
      </c>
      <c r="C92" s="578" t="s">
        <v>2585</v>
      </c>
      <c r="D92" s="578" t="s">
        <v>2586</v>
      </c>
      <c r="E92" s="578" t="s">
        <v>2587</v>
      </c>
      <c r="F92" s="578" t="s">
        <v>2588</v>
      </c>
      <c r="G92" s="578" t="s">
        <v>2589</v>
      </c>
      <c r="H92" s="539"/>
      <c r="I92" s="539"/>
      <c r="J92" s="539"/>
      <c r="K92" s="540"/>
      <c r="L92" s="541"/>
      <c r="M92" s="542"/>
      <c r="N92" s="1151"/>
      <c r="O92" s="1151"/>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2"/>
      <c r="O93" s="1152"/>
      <c r="P93" s="45"/>
      <c r="Q93" s="504"/>
    </row>
    <row r="94" spans="1:17" ht="15.75" thickTop="1">
      <c r="A94" s="534"/>
      <c r="B94" s="538" t="s">
        <v>2590</v>
      </c>
      <c r="C94" s="578" t="s">
        <v>2585</v>
      </c>
      <c r="D94" s="578" t="s">
        <v>2586</v>
      </c>
      <c r="E94" s="578" t="s">
        <v>2587</v>
      </c>
      <c r="F94" s="578" t="s">
        <v>2588</v>
      </c>
      <c r="G94" s="578" t="s">
        <v>2589</v>
      </c>
      <c r="H94" s="539"/>
      <c r="I94" s="539"/>
      <c r="J94" s="539"/>
      <c r="K94" s="540"/>
      <c r="L94" s="541"/>
      <c r="M94" s="542"/>
      <c r="N94" s="1151"/>
      <c r="O94" s="1151"/>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2"/>
      <c r="O95" s="1152"/>
      <c r="P95" s="45"/>
      <c r="Q95" s="504"/>
    </row>
    <row r="96" spans="1:17" s="117" customFormat="1" ht="15.75" thickTop="1">
      <c r="A96" s="579"/>
      <c r="B96" s="538" t="s">
        <v>2773</v>
      </c>
      <c r="C96" s="578" t="s">
        <v>2585</v>
      </c>
      <c r="D96" s="578" t="s">
        <v>2586</v>
      </c>
      <c r="E96" s="578" t="s">
        <v>2587</v>
      </c>
      <c r="F96" s="578" t="s">
        <v>2588</v>
      </c>
      <c r="G96" s="578" t="s">
        <v>2589</v>
      </c>
      <c r="H96" s="578"/>
      <c r="I96" s="578"/>
      <c r="J96" s="578"/>
      <c r="K96" s="578"/>
      <c r="L96" s="698"/>
      <c r="M96" s="622"/>
      <c r="N96" s="1150"/>
      <c r="O96" s="1150"/>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2"/>
      <c r="O97" s="1152"/>
      <c r="P97" s="45"/>
      <c r="Q97" s="504"/>
    </row>
    <row r="98" spans="1:17" s="117" customFormat="1" ht="27.75" thickTop="1">
      <c r="A98" s="579"/>
      <c r="B98" s="538" t="s">
        <v>2774</v>
      </c>
      <c r="C98" s="573" t="s">
        <v>2585</v>
      </c>
      <c r="D98" s="573" t="s">
        <v>2586</v>
      </c>
      <c r="E98" s="573" t="s">
        <v>2587</v>
      </c>
      <c r="F98" s="573" t="s">
        <v>2588</v>
      </c>
      <c r="G98" s="573" t="s">
        <v>2589</v>
      </c>
      <c r="H98" s="578"/>
      <c r="I98" s="578"/>
      <c r="J98" s="578"/>
      <c r="K98" s="578"/>
      <c r="L98" s="578"/>
      <c r="M98" s="622"/>
      <c r="N98" s="1150"/>
      <c r="O98" s="1150"/>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2"/>
      <c r="O99" s="1152"/>
      <c r="P99" s="45"/>
      <c r="Q99" s="504"/>
    </row>
    <row r="100" spans="1:17" s="471" customFormat="1" ht="15.75" thickTop="1">
      <c r="A100" s="553"/>
      <c r="B100" s="538" t="s">
        <v>2642</v>
      </c>
      <c r="C100" s="573" t="s">
        <v>2585</v>
      </c>
      <c r="D100" s="573" t="s">
        <v>2586</v>
      </c>
      <c r="E100" s="573" t="s">
        <v>2587</v>
      </c>
      <c r="F100" s="573" t="s">
        <v>2588</v>
      </c>
      <c r="G100" s="573" t="s">
        <v>2589</v>
      </c>
      <c r="H100" s="600"/>
      <c r="I100" s="600"/>
      <c r="J100" s="600"/>
      <c r="K100" s="600"/>
      <c r="L100" s="601"/>
      <c r="M100" s="602"/>
      <c r="N100" s="1153"/>
      <c r="O100" s="1153"/>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3"/>
      <c r="O101" s="1153"/>
      <c r="P101" s="558"/>
      <c r="Q101" s="559"/>
    </row>
    <row r="102" spans="1:17" s="471" customFormat="1" ht="15.75" thickTop="1">
      <c r="A102" s="553"/>
      <c r="B102" s="546" t="s">
        <v>2643</v>
      </c>
      <c r="C102" s="660" t="s">
        <v>2663</v>
      </c>
      <c r="D102" s="660" t="s">
        <v>2664</v>
      </c>
      <c r="E102" s="660" t="s">
        <v>2665</v>
      </c>
      <c r="F102" s="660" t="s">
        <v>2666</v>
      </c>
      <c r="G102" s="660" t="s">
        <v>2667</v>
      </c>
      <c r="H102" s="600"/>
      <c r="I102" s="600"/>
      <c r="J102" s="600"/>
      <c r="K102" s="600"/>
      <c r="L102" s="600"/>
      <c r="M102" s="1384"/>
      <c r="N102" s="1153"/>
      <c r="O102" s="1153"/>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4"/>
      <c r="N103" s="1153"/>
      <c r="O103" s="1153"/>
      <c r="P103" s="558"/>
      <c r="Q103" s="559"/>
    </row>
    <row r="104" spans="1:17" ht="15.75" thickTop="1">
      <c r="A104" s="534"/>
      <c r="B104" s="538" t="str">
        <f>B31</f>
        <v>临街状况</v>
      </c>
      <c r="C104" s="539" t="s">
        <v>2775</v>
      </c>
      <c r="D104" s="539" t="s">
        <v>2776</v>
      </c>
      <c r="E104" s="539" t="s">
        <v>2777</v>
      </c>
      <c r="F104" s="539" t="s">
        <v>2778</v>
      </c>
      <c r="G104" s="539"/>
      <c r="H104" s="539"/>
      <c r="I104" s="539"/>
      <c r="J104" s="539"/>
      <c r="K104" s="540"/>
      <c r="L104" s="541"/>
      <c r="M104" s="542"/>
      <c r="N104" s="1151"/>
      <c r="O104" s="1151"/>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2"/>
      <c r="O105" s="1152"/>
      <c r="P105" s="45"/>
      <c r="Q105" s="504"/>
    </row>
    <row r="106" spans="1:17" ht="27.75" thickTop="1">
      <c r="A106" s="534"/>
      <c r="B106" s="538" t="s">
        <v>2679</v>
      </c>
      <c r="C106" s="554"/>
      <c r="D106" s="554"/>
      <c r="E106" s="554"/>
      <c r="F106" s="554"/>
      <c r="G106" s="554"/>
      <c r="H106" s="583"/>
      <c r="I106" s="583"/>
      <c r="J106" s="583"/>
      <c r="K106" s="584"/>
      <c r="L106" s="585"/>
      <c r="M106" s="586"/>
      <c r="N106" s="1151"/>
      <c r="O106" s="1151"/>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2"/>
      <c r="O107" s="1152"/>
      <c r="P107" s="45"/>
      <c r="Q107" s="504"/>
    </row>
    <row r="108" spans="1:17" ht="15.75" thickTop="1">
      <c r="A108" s="534"/>
      <c r="B108" s="538" t="s">
        <v>2738</v>
      </c>
      <c r="C108" s="583"/>
      <c r="D108" s="583"/>
      <c r="E108" s="583"/>
      <c r="F108" s="583"/>
      <c r="G108" s="583"/>
      <c r="H108" s="583"/>
      <c r="I108" s="583"/>
      <c r="J108" s="583"/>
      <c r="K108" s="584"/>
      <c r="L108" s="585"/>
      <c r="M108" s="586"/>
      <c r="N108" s="1151"/>
      <c r="O108" s="1151"/>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2"/>
      <c r="O109" s="1152"/>
      <c r="P109" s="45"/>
      <c r="Q109" s="504"/>
    </row>
    <row r="110" spans="1:17" ht="15.75" thickTop="1">
      <c r="A110" s="534"/>
      <c r="B110" s="546">
        <f>B35</f>
        <v>111</v>
      </c>
      <c r="C110" s="554"/>
      <c r="D110" s="554"/>
      <c r="E110" s="554"/>
      <c r="F110" s="554"/>
      <c r="G110" s="587"/>
      <c r="H110" s="587"/>
      <c r="I110" s="587"/>
      <c r="J110" s="587"/>
      <c r="K110" s="588"/>
      <c r="L110" s="589"/>
      <c r="M110" s="590"/>
      <c r="N110" s="1151"/>
      <c r="O110" s="1151"/>
      <c r="P110" s="45"/>
      <c r="Q110" s="504"/>
    </row>
    <row r="111" spans="1:17" ht="15.75" thickBot="1">
      <c r="A111" s="534"/>
      <c r="B111" s="569"/>
      <c r="C111" s="560"/>
      <c r="D111" s="560"/>
      <c r="E111" s="560"/>
      <c r="F111" s="560"/>
      <c r="G111" s="591"/>
      <c r="H111" s="591"/>
      <c r="I111" s="591"/>
      <c r="J111" s="591"/>
      <c r="K111" s="591"/>
      <c r="L111" s="591"/>
      <c r="M111" s="592"/>
      <c r="N111" s="1152"/>
      <c r="O111" s="1152"/>
      <c r="P111" s="45"/>
      <c r="Q111" s="504"/>
    </row>
    <row r="112" spans="1:17" ht="15" thickTop="1">
      <c r="A112" s="675"/>
      <c r="B112" s="538">
        <f>B36</f>
        <v>111</v>
      </c>
      <c r="C112" s="523"/>
      <c r="D112" s="523"/>
      <c r="E112" s="523"/>
      <c r="F112" s="523"/>
      <c r="G112" s="583"/>
      <c r="H112" s="583"/>
      <c r="I112" s="583"/>
      <c r="J112" s="583"/>
      <c r="K112" s="584"/>
      <c r="L112" s="585"/>
      <c r="M112" s="586"/>
      <c r="N112" s="1151"/>
      <c r="O112" s="1151"/>
      <c r="P112" s="45"/>
      <c r="Q112" s="504"/>
    </row>
    <row r="113" spans="1:17" ht="15.75" thickBot="1">
      <c r="A113" s="534"/>
      <c r="B113" s="543"/>
      <c r="C113" s="570"/>
      <c r="D113" s="570"/>
      <c r="E113" s="570"/>
      <c r="F113" s="570"/>
      <c r="G113" s="536"/>
      <c r="H113" s="536"/>
      <c r="I113" s="536"/>
      <c r="J113" s="536"/>
      <c r="K113" s="536"/>
      <c r="L113" s="536"/>
      <c r="M113" s="537"/>
      <c r="N113" s="1152"/>
      <c r="O113" s="1152"/>
      <c r="P113" s="45"/>
      <c r="Q113" s="504"/>
    </row>
    <row r="114" spans="1:17" s="471" customFormat="1" ht="15" thickTop="1">
      <c r="A114" s="593"/>
      <c r="B114" s="594">
        <f>B37</f>
        <v>111</v>
      </c>
      <c r="C114" s="595"/>
      <c r="D114" s="595"/>
      <c r="E114" s="595"/>
      <c r="F114" s="595"/>
      <c r="G114" s="595"/>
      <c r="H114" s="595"/>
      <c r="I114" s="595"/>
      <c r="J114" s="596"/>
      <c r="K114" s="596"/>
      <c r="L114" s="597"/>
      <c r="M114" s="598"/>
      <c r="N114" s="1153"/>
      <c r="O114" s="1153"/>
      <c r="P114" s="558"/>
      <c r="Q114" s="559"/>
    </row>
    <row r="115" spans="1:17" s="471" customFormat="1" ht="15.75" thickBot="1">
      <c r="A115" s="553"/>
      <c r="B115" s="546"/>
      <c r="C115" s="512"/>
      <c r="D115" s="677"/>
      <c r="E115" s="677"/>
      <c r="F115" s="677"/>
      <c r="G115" s="677"/>
      <c r="H115" s="677"/>
      <c r="I115" s="677"/>
      <c r="J115" s="677"/>
      <c r="K115" s="677"/>
      <c r="L115" s="677"/>
      <c r="M115" s="699"/>
      <c r="N115" s="1152"/>
      <c r="O115" s="1152"/>
      <c r="P115" s="558"/>
      <c r="Q115" s="559"/>
    </row>
    <row r="116" spans="1:17">
      <c r="A116" s="527" t="s">
        <v>2551</v>
      </c>
      <c r="B116" s="528" t="s">
        <v>2779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1"/>
      <c r="O116" s="1151"/>
      <c r="P116" s="45"/>
      <c r="Q116" s="504"/>
    </row>
    <row r="117" spans="1:17" ht="15">
      <c r="A117" s="534"/>
      <c r="B117" s="546"/>
      <c r="C117" s="595"/>
      <c r="D117" s="595"/>
      <c r="E117" s="595"/>
      <c r="F117" s="595"/>
      <c r="G117" s="595"/>
      <c r="H117" s="595"/>
      <c r="I117" s="595"/>
      <c r="J117" s="596"/>
      <c r="K117" s="596"/>
      <c r="L117" s="597"/>
      <c r="M117" s="598"/>
      <c r="N117" s="1151"/>
      <c r="O117" s="1151"/>
      <c r="P117" s="45"/>
      <c r="Q117" s="504"/>
    </row>
    <row r="118" spans="1:17" ht="15.75" thickBot="1">
      <c r="A118" s="534"/>
      <c r="B118" s="543"/>
      <c r="C118" s="570"/>
      <c r="D118" s="591"/>
      <c r="E118" s="591"/>
      <c r="F118" s="591"/>
      <c r="G118" s="591"/>
      <c r="H118" s="591"/>
      <c r="I118" s="591"/>
      <c r="J118" s="591"/>
      <c r="K118" s="591"/>
      <c r="L118" s="591"/>
      <c r="M118" s="592"/>
      <c r="N118" s="1152"/>
      <c r="O118" s="1152"/>
      <c r="P118" s="45"/>
      <c r="Q118" s="504"/>
    </row>
    <row r="119" spans="1:17" ht="15" thickTop="1">
      <c r="A119" s="599"/>
      <c r="B119" s="538" t="s">
        <v>2780</v>
      </c>
      <c r="C119" s="583"/>
      <c r="D119" s="583"/>
      <c r="E119" s="583"/>
      <c r="F119" s="583"/>
      <c r="G119" s="583"/>
      <c r="H119" s="583"/>
      <c r="I119" s="583"/>
      <c r="J119" s="583"/>
      <c r="K119" s="584"/>
      <c r="L119" s="585"/>
      <c r="M119" s="586"/>
      <c r="N119" s="1151"/>
      <c r="O119" s="1151"/>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2"/>
      <c r="O120" s="1152"/>
      <c r="P120" s="45"/>
      <c r="Q120" s="504"/>
    </row>
    <row r="121" spans="1:17" ht="15" thickTop="1">
      <c r="A121" s="599"/>
      <c r="B121" s="538" t="s">
        <v>2781</v>
      </c>
      <c r="C121" s="554"/>
      <c r="D121" s="554"/>
      <c r="E121" s="554"/>
      <c r="F121" s="583"/>
      <c r="G121" s="583"/>
      <c r="H121" s="583"/>
      <c r="I121" s="583"/>
      <c r="J121" s="583"/>
      <c r="K121" s="584"/>
      <c r="L121" s="585"/>
      <c r="M121" s="586"/>
      <c r="N121" s="1151"/>
      <c r="O121" s="1151"/>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2"/>
      <c r="O122" s="1152"/>
      <c r="P122" s="45"/>
      <c r="Q122" s="504"/>
    </row>
    <row r="123" spans="1:17" s="471" customFormat="1" ht="15" thickTop="1">
      <c r="A123" s="593"/>
      <c r="B123" s="538" t="s">
        <v>2782</v>
      </c>
      <c r="C123" s="554"/>
      <c r="D123" s="554"/>
      <c r="E123" s="554"/>
      <c r="F123" s="554"/>
      <c r="G123" s="554"/>
      <c r="H123" s="583"/>
      <c r="I123" s="583"/>
      <c r="J123" s="583"/>
      <c r="K123" s="584"/>
      <c r="L123" s="585"/>
      <c r="M123" s="586"/>
      <c r="N123" s="1153"/>
      <c r="O123" s="1153"/>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3"/>
      <c r="O124" s="1153"/>
      <c r="P124" s="558"/>
      <c r="Q124" s="559"/>
    </row>
    <row r="125" spans="1:17" ht="15" thickTop="1">
      <c r="A125" s="599"/>
      <c r="B125" s="538" t="s">
        <v>2783</v>
      </c>
      <c r="C125" s="554"/>
      <c r="D125" s="554"/>
      <c r="E125" s="583"/>
      <c r="F125" s="583"/>
      <c r="G125" s="583"/>
      <c r="H125" s="583"/>
      <c r="I125" s="583"/>
      <c r="J125" s="583"/>
      <c r="K125" s="584"/>
      <c r="L125" s="585"/>
      <c r="M125" s="586"/>
      <c r="N125" s="1151"/>
      <c r="O125" s="1151"/>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2"/>
      <c r="O126" s="1152"/>
      <c r="P126" s="45"/>
      <c r="Q126" s="504"/>
    </row>
    <row r="127" spans="1:17" ht="15" thickTop="1">
      <c r="A127" s="599"/>
      <c r="B127" s="538">
        <f>B43</f>
        <v>111</v>
      </c>
      <c r="C127" s="554"/>
      <c r="D127" s="554"/>
      <c r="E127" s="554"/>
      <c r="F127" s="554"/>
      <c r="G127" s="554"/>
      <c r="H127" s="583"/>
      <c r="I127" s="583"/>
      <c r="J127" s="583"/>
      <c r="K127" s="584"/>
      <c r="L127" s="585"/>
      <c r="M127" s="586"/>
      <c r="N127" s="1151"/>
      <c r="O127" s="1151"/>
      <c r="P127" s="45"/>
      <c r="Q127" s="504"/>
    </row>
    <row r="128" spans="1:17" ht="15.75" thickBot="1">
      <c r="A128" s="534"/>
      <c r="B128" s="543"/>
      <c r="C128" s="560"/>
      <c r="D128" s="560"/>
      <c r="E128" s="560"/>
      <c r="F128" s="560"/>
      <c r="G128" s="536"/>
      <c r="H128" s="536"/>
      <c r="I128" s="536"/>
      <c r="J128" s="536"/>
      <c r="K128" s="536"/>
      <c r="L128" s="536"/>
      <c r="M128" s="537"/>
      <c r="N128" s="1152"/>
      <c r="O128" s="1152"/>
      <c r="P128" s="45"/>
      <c r="Q128" s="504"/>
    </row>
    <row r="129" spans="1:17" ht="15" thickTop="1">
      <c r="A129" s="599"/>
      <c r="B129" s="538">
        <f>B44</f>
        <v>111</v>
      </c>
      <c r="C129" s="523"/>
      <c r="D129" s="523"/>
      <c r="E129" s="523"/>
      <c r="F129" s="523"/>
      <c r="G129" s="583"/>
      <c r="H129" s="583"/>
      <c r="I129" s="583"/>
      <c r="J129" s="583"/>
      <c r="K129" s="584"/>
      <c r="L129" s="585"/>
      <c r="M129" s="586"/>
      <c r="N129" s="1151"/>
      <c r="O129" s="1151"/>
      <c r="P129" s="45"/>
      <c r="Q129" s="504"/>
    </row>
    <row r="130" spans="1:17" ht="15.75" thickBot="1">
      <c r="A130" s="534"/>
      <c r="B130" s="543"/>
      <c r="C130" s="570"/>
      <c r="D130" s="570"/>
      <c r="E130" s="570"/>
      <c r="F130" s="570"/>
      <c r="G130" s="536"/>
      <c r="H130" s="536"/>
      <c r="I130" s="536"/>
      <c r="J130" s="536"/>
      <c r="K130" s="536"/>
      <c r="L130" s="536"/>
      <c r="M130" s="537"/>
      <c r="N130" s="1152"/>
      <c r="O130" s="1152"/>
      <c r="P130" s="45"/>
      <c r="Q130" s="504"/>
    </row>
    <row r="131" spans="1:17" s="471" customFormat="1" ht="15" thickTop="1">
      <c r="A131" s="593"/>
      <c r="B131" s="538">
        <f>B45</f>
        <v>111</v>
      </c>
      <c r="C131" s="523"/>
      <c r="D131" s="523"/>
      <c r="E131" s="523"/>
      <c r="F131" s="523"/>
      <c r="G131" s="555"/>
      <c r="H131" s="555"/>
      <c r="I131" s="555"/>
      <c r="J131" s="555"/>
      <c r="K131" s="555"/>
      <c r="L131" s="556"/>
      <c r="M131" s="557"/>
      <c r="N131" s="1153"/>
      <c r="O131" s="1153"/>
      <c r="P131" s="558"/>
      <c r="Q131" s="559"/>
    </row>
    <row r="132" spans="1:17" s="471" customFormat="1" ht="15.75" thickBot="1">
      <c r="A132" s="568"/>
      <c r="B132" s="700"/>
      <c r="C132" s="570"/>
      <c r="D132" s="570"/>
      <c r="E132" s="570"/>
      <c r="F132" s="570"/>
      <c r="G132" s="591"/>
      <c r="H132" s="591"/>
      <c r="I132" s="591"/>
      <c r="J132" s="591"/>
      <c r="K132" s="591"/>
      <c r="L132" s="591"/>
      <c r="M132" s="592"/>
      <c r="N132" s="1153"/>
      <c r="O132" s="1153"/>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58" priority="14" stopIfTrue="1" operator="containsText" text="超过">
      <formula>NOT(ISERROR(SEARCH("超过",F51)))</formula>
    </cfRule>
  </conditionalFormatting>
  <conditionalFormatting sqref="J53">
    <cfRule type="containsText" dxfId="57" priority="13" stopIfTrue="1" operator="containsText" text="超过">
      <formula>NOT(ISERROR(SEARCH("超过",J53)))</formula>
    </cfRule>
  </conditionalFormatting>
  <conditionalFormatting sqref="H53">
    <cfRule type="containsText" dxfId="56" priority="12" stopIfTrue="1" operator="containsText" text="超过">
      <formula>NOT(ISERROR(SEARCH("超过",H53)))</formula>
    </cfRule>
  </conditionalFormatting>
  <conditionalFormatting sqref="F53">
    <cfRule type="containsText" dxfId="55" priority="11" stopIfTrue="1" operator="containsText" text="超过">
      <formula>NOT(ISERROR(SEARCH("超过",F53)))</formula>
    </cfRule>
  </conditionalFormatting>
  <conditionalFormatting sqref="F52 H52 J52">
    <cfRule type="containsText" dxfId="54" priority="10" stopIfTrue="1" operator="containsText" text="超过">
      <formula>NOT(ISERROR(SEARCH("超过",F52)))</formula>
    </cfRule>
  </conditionalFormatting>
  <conditionalFormatting sqref="E51">
    <cfRule type="expression" dxfId="53" priority="9" stopIfTrue="1">
      <formula>$F$51="超过30%"</formula>
    </cfRule>
  </conditionalFormatting>
  <conditionalFormatting sqref="G53">
    <cfRule type="expression" dxfId="52" priority="8" stopIfTrue="1">
      <formula>$H$53="超过30%"</formula>
    </cfRule>
  </conditionalFormatting>
  <conditionalFormatting sqref="E52">
    <cfRule type="expression" dxfId="51" priority="7" stopIfTrue="1">
      <formula>$F$52="超过20%"</formula>
    </cfRule>
  </conditionalFormatting>
  <conditionalFormatting sqref="E53">
    <cfRule type="expression" dxfId="50" priority="6" stopIfTrue="1">
      <formula>$F$53="超过30%"</formula>
    </cfRule>
  </conditionalFormatting>
  <conditionalFormatting sqref="G51">
    <cfRule type="expression" dxfId="49" priority="5" stopIfTrue="1">
      <formula>$H$53+$H$51="超过30%"</formula>
    </cfRule>
  </conditionalFormatting>
  <conditionalFormatting sqref="G52">
    <cfRule type="expression" dxfId="48" priority="4" stopIfTrue="1">
      <formula>$H$52="超过20%"</formula>
    </cfRule>
  </conditionalFormatting>
  <conditionalFormatting sqref="I51">
    <cfRule type="expression" dxfId="47" priority="3" stopIfTrue="1">
      <formula>$J$51="超过30%"</formula>
    </cfRule>
  </conditionalFormatting>
  <conditionalFormatting sqref="I52">
    <cfRule type="expression" dxfId="46" priority="2" stopIfTrue="1">
      <formula>$J$52="超过20%"</formula>
    </cfRule>
  </conditionalFormatting>
  <conditionalFormatting sqref="I53">
    <cfRule type="expression" dxfId="4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2732</v>
      </c>
      <c r="B1" s="395"/>
      <c r="C1" s="396" t="s">
        <v>2784</v>
      </c>
      <c r="D1" s="754"/>
      <c r="E1" s="754"/>
      <c r="F1" s="753" t="s">
        <v>2631</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8" customFormat="1" ht="28.5" customHeight="1">
      <c r="A2" s="245" t="s">
        <v>2315</v>
      </c>
      <c r="B2" s="671" t="e">
        <f>F61</f>
        <v>#DIV/0!</v>
      </c>
      <c r="C2" s="1124"/>
      <c r="D2" s="1124"/>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2317</v>
      </c>
      <c r="B3" s="609" t="e">
        <f>ROUND(IF(D3="",B2*10000/'数据-汇总表'!E3,B2*10000/D3),0)</f>
        <v>#DIV/0!</v>
      </c>
      <c r="C3" s="247" t="s">
        <v>2734</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2633</v>
      </c>
      <c r="B4" s="402"/>
      <c r="C4" s="3224" t="s">
        <v>2634</v>
      </c>
      <c r="D4" s="3225"/>
      <c r="E4" s="3226" t="s">
        <v>2635</v>
      </c>
      <c r="F4" s="3227"/>
      <c r="G4" s="3224" t="s">
        <v>2636</v>
      </c>
      <c r="H4" s="3225"/>
      <c r="I4" s="3224" t="s">
        <v>2637</v>
      </c>
      <c r="J4" s="3225"/>
      <c r="K4" s="610" t="s">
        <v>2638</v>
      </c>
      <c r="L4" s="1129"/>
      <c r="M4" s="1130"/>
      <c r="N4" s="1130"/>
      <c r="O4" s="1130"/>
      <c r="P4" s="3228" t="s">
        <v>2639</v>
      </c>
      <c r="Q4" s="3229"/>
      <c r="R4" s="3211" t="s">
        <v>2635</v>
      </c>
      <c r="S4" s="3212"/>
      <c r="T4" s="3211" t="s">
        <v>2636</v>
      </c>
      <c r="U4" s="3212"/>
      <c r="V4" s="3208" t="s">
        <v>2637</v>
      </c>
      <c r="W4" s="3208"/>
      <c r="X4" s="1811"/>
      <c r="Y4" s="3211" t="s">
        <v>2639</v>
      </c>
      <c r="Z4" s="3212"/>
      <c r="AA4" s="3205" t="s">
        <v>2635</v>
      </c>
      <c r="AB4" s="3206" t="s">
        <v>2636</v>
      </c>
      <c r="AC4" s="3205" t="s">
        <v>2637</v>
      </c>
    </row>
    <row r="5" spans="1:29" ht="15">
      <c r="A5" s="404"/>
      <c r="B5" s="405"/>
      <c r="C5" s="3283" t="s">
        <v>2530</v>
      </c>
      <c r="D5" s="3218"/>
      <c r="E5" s="3282" t="s">
        <v>2531</v>
      </c>
      <c r="F5" s="3216"/>
      <c r="G5" s="3283" t="s">
        <v>2532</v>
      </c>
      <c r="H5" s="3218"/>
      <c r="I5" s="3283" t="s">
        <v>2533</v>
      </c>
      <c r="J5" s="3218"/>
      <c r="K5" s="610"/>
      <c r="L5" s="1129"/>
      <c r="M5" s="1130"/>
      <c r="N5" s="1130"/>
      <c r="O5" s="1130"/>
      <c r="P5" s="3230"/>
      <c r="Q5" s="3231"/>
      <c r="R5" s="3213"/>
      <c r="S5" s="3214"/>
      <c r="T5" s="3213"/>
      <c r="U5" s="3214"/>
      <c r="V5" s="3208"/>
      <c r="W5" s="3208"/>
      <c r="X5" s="1811"/>
      <c r="Y5" s="3213"/>
      <c r="Z5" s="3214"/>
      <c r="AA5" s="3206"/>
      <c r="AB5" s="3206"/>
      <c r="AC5" s="3206"/>
    </row>
    <row r="6" spans="1:29" ht="15.75" thickBot="1">
      <c r="A6" s="406"/>
      <c r="B6" s="407"/>
      <c r="C6" s="3304" t="s">
        <v>2785</v>
      </c>
      <c r="D6" s="3305"/>
      <c r="E6" s="3306" t="s">
        <v>2785</v>
      </c>
      <c r="F6" s="3307"/>
      <c r="G6" s="3304" t="s">
        <v>2785</v>
      </c>
      <c r="H6" s="3305"/>
      <c r="I6" s="3304" t="s">
        <v>2785</v>
      </c>
      <c r="J6" s="3305"/>
      <c r="K6" s="610" t="s">
        <v>2535</v>
      </c>
      <c r="L6" s="1129"/>
      <c r="M6" s="1130"/>
      <c r="N6" s="1130"/>
      <c r="O6" s="1130"/>
      <c r="P6" s="3232"/>
      <c r="Q6" s="3233"/>
      <c r="R6" s="3213"/>
      <c r="S6" s="3214"/>
      <c r="T6" s="3234"/>
      <c r="U6" s="3235"/>
      <c r="V6" s="3208"/>
      <c r="W6" s="3208"/>
      <c r="X6" s="1811"/>
      <c r="Y6" s="3234"/>
      <c r="Z6" s="3235"/>
      <c r="AA6" s="3207"/>
      <c r="AB6" s="3207"/>
      <c r="AC6" s="3207"/>
    </row>
    <row r="7" spans="1:29" s="117" customFormat="1" ht="15.75" thickBot="1">
      <c r="A7" s="408" t="s">
        <v>2536</v>
      </c>
      <c r="B7" s="409"/>
      <c r="C7" s="410">
        <f>'数据-取费表'!B2</f>
        <v>43132</v>
      </c>
      <c r="D7" s="411">
        <v>100</v>
      </c>
      <c r="E7" s="412"/>
      <c r="F7" s="413">
        <f>SUMIF(65:65,YEAR(E7)&amp;"-"&amp;INT((MONTH(E7)+2)/3),66:66)</f>
        <v>0</v>
      </c>
      <c r="G7" s="2691"/>
      <c r="H7" s="411">
        <f>SUMIF(65:65,YEAR(G7)&amp;"-"&amp;INT((MONTH(G7)+2)/3),66:66)</f>
        <v>0</v>
      </c>
      <c r="I7" s="2691"/>
      <c r="J7" s="411">
        <f>SUMIF(65:65,YEAR(I7)&amp;"-"&amp;INT((MONTH(I7)+2)/3),66:66)</f>
        <v>0</v>
      </c>
      <c r="K7" s="611"/>
      <c r="L7" s="1131"/>
      <c r="M7" s="1132"/>
      <c r="N7" s="1132"/>
      <c r="O7" s="1132"/>
      <c r="P7" s="3209" t="s">
        <v>2537</v>
      </c>
      <c r="Q7" s="3236"/>
      <c r="R7" s="769" t="s">
        <v>17</v>
      </c>
      <c r="S7" s="770">
        <f t="shared" ref="S7:S15" si="0">F7</f>
        <v>0</v>
      </c>
      <c r="T7" s="769" t="s">
        <v>17</v>
      </c>
      <c r="U7" s="770">
        <f t="shared" ref="U7:U15" si="1">H7</f>
        <v>0</v>
      </c>
      <c r="V7" s="769" t="s">
        <v>17</v>
      </c>
      <c r="W7" s="770">
        <f t="shared" ref="W7:W15" si="2">J7</f>
        <v>0</v>
      </c>
      <c r="X7" s="771"/>
      <c r="Y7" s="3209" t="s">
        <v>2537</v>
      </c>
      <c r="Z7" s="3210"/>
      <c r="AA7" s="772" t="e">
        <f>D7/F7</f>
        <v>#DIV/0!</v>
      </c>
      <c r="AB7" s="772" t="e">
        <f>D7/H7</f>
        <v>#DIV/0!</v>
      </c>
      <c r="AC7" s="772" t="e">
        <f>D7/J7</f>
        <v>#DIV/0!</v>
      </c>
    </row>
    <row r="8" spans="1:29" s="117" customFormat="1" ht="15.75" thickBot="1">
      <c r="A8" s="408" t="s">
        <v>2538</v>
      </c>
      <c r="B8" s="409"/>
      <c r="C8" s="414" t="s">
        <v>2539</v>
      </c>
      <c r="D8" s="411">
        <v>100</v>
      </c>
      <c r="E8" s="414"/>
      <c r="F8" s="413">
        <f>SUMIF(68:68,E8,69:69)-SUMIF(68:68,C8,69:69)+100</f>
        <v>0</v>
      </c>
      <c r="G8" s="414"/>
      <c r="H8" s="411">
        <f>SUMIF(68:68,G8,69:69)-SUMIF(68:68,C8,69:69)+100</f>
        <v>0</v>
      </c>
      <c r="I8" s="414"/>
      <c r="J8" s="411">
        <f>SUMIF(68:68,I8,69:69)-SUMIF(68:68,C8,69:69)+100</f>
        <v>0</v>
      </c>
      <c r="K8" s="611"/>
      <c r="L8" s="1131"/>
      <c r="M8" s="1132"/>
      <c r="N8" s="1132"/>
      <c r="O8" s="1132"/>
      <c r="P8" s="3209" t="s">
        <v>2540</v>
      </c>
      <c r="Q8" s="3210"/>
      <c r="R8" s="769" t="s">
        <v>17</v>
      </c>
      <c r="S8" s="770">
        <f t="shared" si="0"/>
        <v>0</v>
      </c>
      <c r="T8" s="769" t="s">
        <v>17</v>
      </c>
      <c r="U8" s="770">
        <f t="shared" si="1"/>
        <v>0</v>
      </c>
      <c r="V8" s="769" t="s">
        <v>17</v>
      </c>
      <c r="W8" s="770">
        <f t="shared" si="2"/>
        <v>0</v>
      </c>
      <c r="X8" s="771"/>
      <c r="Y8" s="3209" t="s">
        <v>2540</v>
      </c>
      <c r="Z8" s="3210"/>
      <c r="AA8" s="772" t="e">
        <f t="shared" ref="AA8:AA40" si="3">D8/F8</f>
        <v>#DIV/0!</v>
      </c>
      <c r="AB8" s="772" t="e">
        <f t="shared" ref="AB8:AB40" si="4">D8/H8</f>
        <v>#DIV/0!</v>
      </c>
      <c r="AC8" s="772" t="e">
        <f t="shared" ref="AC8:AC40" si="5">D8/J8</f>
        <v>#DIV/0!</v>
      </c>
    </row>
    <row r="9" spans="1:29" s="117" customFormat="1">
      <c r="A9" s="415" t="s">
        <v>2541</v>
      </c>
      <c r="B9" s="71" t="s">
        <v>2542</v>
      </c>
      <c r="C9" s="2694"/>
      <c r="D9" s="135">
        <v>100</v>
      </c>
      <c r="E9" s="2694"/>
      <c r="F9" s="135">
        <f>SUMIF(70:70,E9,71:71)-SUMIF(70:70,C9,71:71)+100</f>
        <v>100</v>
      </c>
      <c r="G9" s="2694"/>
      <c r="H9" s="135">
        <f>SUMIF(70:70,G9,71:71)-SUMIF(70:70,C9,71:71)+100</f>
        <v>100</v>
      </c>
      <c r="I9" s="2694"/>
      <c r="J9" s="135">
        <f>SUMIF(70:70,I9,71:71)-SUMIF(70:70,C9,71:71)+100</f>
        <v>100</v>
      </c>
      <c r="K9" s="611"/>
      <c r="L9" s="1131"/>
      <c r="M9" s="1132"/>
      <c r="N9" s="1132"/>
      <c r="O9" s="1133"/>
      <c r="P9" s="3246" t="s">
        <v>2543</v>
      </c>
      <c r="Q9" s="1793" t="str">
        <f t="shared" ref="Q9:Q15" si="6">B9</f>
        <v>用途</v>
      </c>
      <c r="R9" s="769" t="s">
        <v>17</v>
      </c>
      <c r="S9" s="770">
        <f t="shared" si="0"/>
        <v>100</v>
      </c>
      <c r="T9" s="769" t="s">
        <v>17</v>
      </c>
      <c r="U9" s="770">
        <f t="shared" si="1"/>
        <v>100</v>
      </c>
      <c r="V9" s="769" t="s">
        <v>17</v>
      </c>
      <c r="W9" s="770">
        <f t="shared" si="2"/>
        <v>100</v>
      </c>
      <c r="X9" s="771"/>
      <c r="Y9" s="3082" t="s">
        <v>2544</v>
      </c>
      <c r="Z9" s="55" t="str">
        <f t="shared" ref="Z9:Z15" si="7">Q9</f>
        <v>用途</v>
      </c>
      <c r="AA9" s="772">
        <f t="shared" si="3"/>
        <v>1</v>
      </c>
      <c r="AB9" s="772">
        <f t="shared" si="4"/>
        <v>1</v>
      </c>
      <c r="AC9" s="772">
        <f t="shared" si="5"/>
        <v>1</v>
      </c>
    </row>
    <row r="10" spans="1:29" s="427" customFormat="1" ht="27">
      <c r="A10" s="421"/>
      <c r="B10" s="422" t="s">
        <v>2545</v>
      </c>
      <c r="C10" s="432"/>
      <c r="D10" s="136">
        <v>100</v>
      </c>
      <c r="E10" s="432"/>
      <c r="F10" s="136">
        <f>ROUND(100/'数据-取费表'!G16,0)</f>
        <v>113</v>
      </c>
      <c r="G10" s="432"/>
      <c r="H10" s="136">
        <f>ROUND(100/'数据-取费表'!G16,0)</f>
        <v>113</v>
      </c>
      <c r="I10" s="432"/>
      <c r="J10" s="136">
        <f>ROUND(100/'数据-取费表'!G16,0)</f>
        <v>113</v>
      </c>
      <c r="K10" s="672"/>
      <c r="L10" s="1134"/>
      <c r="M10" s="1135"/>
      <c r="N10" s="1135"/>
      <c r="O10" s="1136"/>
      <c r="P10" s="3246"/>
      <c r="Q10" s="1793" t="str">
        <f t="shared" si="6"/>
        <v>土地使用年限（年）</v>
      </c>
      <c r="R10" s="769" t="s">
        <v>17</v>
      </c>
      <c r="S10" s="770">
        <f t="shared" si="0"/>
        <v>113</v>
      </c>
      <c r="T10" s="769" t="s">
        <v>17</v>
      </c>
      <c r="U10" s="770">
        <f t="shared" si="1"/>
        <v>113</v>
      </c>
      <c r="V10" s="769" t="s">
        <v>17</v>
      </c>
      <c r="W10" s="770">
        <f t="shared" si="2"/>
        <v>113</v>
      </c>
      <c r="X10" s="771"/>
      <c r="Y10" s="3082"/>
      <c r="Z10" s="55" t="str">
        <f t="shared" si="7"/>
        <v>土地使用年限（年）</v>
      </c>
      <c r="AA10" s="772">
        <f t="shared" si="3"/>
        <v>0.88495575221238942</v>
      </c>
      <c r="AB10" s="772">
        <f t="shared" si="4"/>
        <v>0.88495575221238942</v>
      </c>
      <c r="AC10" s="772">
        <f t="shared" si="5"/>
        <v>0.88495575221238942</v>
      </c>
    </row>
    <row r="11" spans="1:29" ht="15">
      <c r="A11" s="428"/>
      <c r="B11" s="422" t="s">
        <v>2546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7"/>
      <c r="M11" s="1130"/>
      <c r="N11" s="1130"/>
      <c r="O11" s="1138"/>
      <c r="P11" s="3246"/>
      <c r="Q11" s="1793" t="str">
        <f t="shared" si="6"/>
        <v>容积率</v>
      </c>
      <c r="R11" s="769" t="s">
        <v>17</v>
      </c>
      <c r="S11" s="770" t="e">
        <f t="shared" si="0"/>
        <v>#N/A</v>
      </c>
      <c r="T11" s="769" t="s">
        <v>17</v>
      </c>
      <c r="U11" s="770" t="e">
        <f t="shared" si="1"/>
        <v>#N/A</v>
      </c>
      <c r="V11" s="769" t="s">
        <v>17</v>
      </c>
      <c r="W11" s="770" t="e">
        <f t="shared" si="2"/>
        <v>#N/A</v>
      </c>
      <c r="X11" s="771"/>
      <c r="Y11" s="3082"/>
      <c r="Z11" s="55" t="str">
        <f t="shared" si="7"/>
        <v>容积率</v>
      </c>
      <c r="AA11" s="772" t="e">
        <f t="shared" si="3"/>
        <v>#N/A</v>
      </c>
      <c r="AB11" s="772" t="e">
        <f t="shared" si="4"/>
        <v>#N/A</v>
      </c>
      <c r="AC11" s="772" t="e">
        <f t="shared" si="5"/>
        <v>#N/A</v>
      </c>
    </row>
    <row r="12" spans="1:29" s="117" customFormat="1" ht="15">
      <c r="A12" s="431"/>
      <c r="B12" s="2595">
        <v>111</v>
      </c>
      <c r="C12" s="432"/>
      <c r="D12" s="433">
        <v>100</v>
      </c>
      <c r="E12" s="549"/>
      <c r="F12" s="136">
        <f>SUMIF(77:77,E12,78:78)-SUMIF(77:77,C12,78:78)+100</f>
        <v>100</v>
      </c>
      <c r="G12" s="674"/>
      <c r="H12" s="136">
        <f>SUMIF(77:77,G12,78:78)-SUMIF(77:77,C12,78:78)+100</f>
        <v>100</v>
      </c>
      <c r="I12" s="549"/>
      <c r="J12" s="136">
        <f>SUMIF(77:77,I12,78:78)-SUMIF(77:77,C12,78:78)+100</f>
        <v>100</v>
      </c>
      <c r="K12" s="672"/>
      <c r="L12" s="1131"/>
      <c r="M12" s="1132"/>
      <c r="N12" s="1132"/>
      <c r="O12" s="1133"/>
      <c r="P12" s="3246"/>
      <c r="Q12" s="1793">
        <f t="shared" si="6"/>
        <v>111</v>
      </c>
      <c r="R12" s="769" t="s">
        <v>17</v>
      </c>
      <c r="S12" s="770">
        <f t="shared" si="0"/>
        <v>100</v>
      </c>
      <c r="T12" s="769" t="s">
        <v>17</v>
      </c>
      <c r="U12" s="770">
        <f t="shared" si="1"/>
        <v>100</v>
      </c>
      <c r="V12" s="769" t="s">
        <v>17</v>
      </c>
      <c r="W12" s="770">
        <f t="shared" si="2"/>
        <v>100</v>
      </c>
      <c r="X12" s="771"/>
      <c r="Y12" s="3082"/>
      <c r="Z12" s="55">
        <f t="shared" si="7"/>
        <v>111</v>
      </c>
      <c r="AA12" s="772">
        <f>D12/F12</f>
        <v>1</v>
      </c>
      <c r="AB12" s="772">
        <f>D12/H12</f>
        <v>1</v>
      </c>
      <c r="AC12" s="772">
        <f>D12/J12</f>
        <v>1</v>
      </c>
    </row>
    <row r="13" spans="1:29" ht="15">
      <c r="A13" s="428"/>
      <c r="B13" s="2595">
        <v>111</v>
      </c>
      <c r="C13" s="434"/>
      <c r="D13" s="435">
        <v>100</v>
      </c>
      <c r="E13" s="549"/>
      <c r="F13" s="136">
        <f>SUMIF(79:79,E13,80:80)-SUMIF(79:79,C13,80:80)+100</f>
        <v>100</v>
      </c>
      <c r="G13" s="674"/>
      <c r="H13" s="435">
        <f>SUMIF(79:79,G13,80:80)-SUMIF(79:79,C13,80:80)+100</f>
        <v>100</v>
      </c>
      <c r="I13" s="549"/>
      <c r="J13" s="435">
        <f>SUMIF(79:79,I13,80:80)-SUMIF(79:79,C13,80:80)+100</f>
        <v>100</v>
      </c>
      <c r="K13" s="672"/>
      <c r="L13" s="1139"/>
      <c r="M13" s="1130"/>
      <c r="N13" s="1130"/>
      <c r="O13" s="1138"/>
      <c r="P13" s="3246"/>
      <c r="Q13" s="1793">
        <f t="shared" si="6"/>
        <v>111</v>
      </c>
      <c r="R13" s="769" t="s">
        <v>17</v>
      </c>
      <c r="S13" s="770">
        <f t="shared" si="0"/>
        <v>100</v>
      </c>
      <c r="T13" s="769" t="s">
        <v>17</v>
      </c>
      <c r="U13" s="770">
        <f t="shared" si="1"/>
        <v>100</v>
      </c>
      <c r="V13" s="769" t="s">
        <v>17</v>
      </c>
      <c r="W13" s="770">
        <f t="shared" si="2"/>
        <v>100</v>
      </c>
      <c r="X13" s="771"/>
      <c r="Y13" s="3082"/>
      <c r="Z13" s="55">
        <f t="shared" si="7"/>
        <v>111</v>
      </c>
      <c r="AA13" s="772">
        <f t="shared" si="3"/>
        <v>1</v>
      </c>
      <c r="AB13" s="772">
        <f t="shared" si="4"/>
        <v>1</v>
      </c>
      <c r="AC13" s="772">
        <f t="shared" si="5"/>
        <v>1</v>
      </c>
    </row>
    <row r="14" spans="1:29" ht="15.75" thickBot="1">
      <c r="A14" s="436"/>
      <c r="B14" s="2597">
        <v>111</v>
      </c>
      <c r="C14" s="437"/>
      <c r="D14" s="438">
        <v>100</v>
      </c>
      <c r="E14" s="549"/>
      <c r="F14" s="438">
        <f>SUMIF(81:81,E14,82:82)-SUMIF(81:81,C14,82:82)+100</f>
        <v>100</v>
      </c>
      <c r="G14" s="674"/>
      <c r="H14" s="438">
        <f>SUMIF(81:81,G14,82:82)-SUMIF(81:81,C14,82:82)+100</f>
        <v>100</v>
      </c>
      <c r="I14" s="549"/>
      <c r="J14" s="438">
        <f>SUMIF(81:81,I14,82:82)-SUMIF(81:81,C14,82:82)+100</f>
        <v>100</v>
      </c>
      <c r="K14" s="672"/>
      <c r="L14" s="1139"/>
      <c r="M14" s="1130"/>
      <c r="N14" s="1130"/>
      <c r="O14" s="1138"/>
      <c r="P14" s="3246"/>
      <c r="Q14" s="1793">
        <f t="shared" si="6"/>
        <v>111</v>
      </c>
      <c r="R14" s="769" t="s">
        <v>17</v>
      </c>
      <c r="S14" s="770">
        <f t="shared" si="0"/>
        <v>100</v>
      </c>
      <c r="T14" s="769" t="s">
        <v>17</v>
      </c>
      <c r="U14" s="770">
        <f t="shared" si="1"/>
        <v>100</v>
      </c>
      <c r="V14" s="769" t="s">
        <v>17</v>
      </c>
      <c r="W14" s="770">
        <f t="shared" si="2"/>
        <v>100</v>
      </c>
      <c r="X14" s="771"/>
      <c r="Y14" s="3082"/>
      <c r="Z14" s="55">
        <f t="shared" si="7"/>
        <v>111</v>
      </c>
      <c r="AA14" s="772">
        <f t="shared" si="3"/>
        <v>1</v>
      </c>
      <c r="AB14" s="772">
        <f t="shared" si="4"/>
        <v>1</v>
      </c>
      <c r="AC14" s="772">
        <f t="shared" si="5"/>
        <v>1</v>
      </c>
    </row>
    <row r="15" spans="1:29" ht="15">
      <c r="A15" s="440" t="s">
        <v>2547</v>
      </c>
      <c r="B15" s="629" t="s">
        <v>2786</v>
      </c>
      <c r="C15" s="2688">
        <f>估价对象房地状况!G15</f>
        <v>0</v>
      </c>
      <c r="D15" s="441">
        <v>100</v>
      </c>
      <c r="E15" s="442"/>
      <c r="F15" s="441">
        <f>SUMIF(83:83,E16,84:84)-SUMIF(83:83,C16,84:84)+100</f>
        <v>100</v>
      </c>
      <c r="G15" s="442"/>
      <c r="H15" s="441">
        <f>SUMIF(83:83,G16,84:84)-SUMIF(83:83,C16,84:84)+100</f>
        <v>100</v>
      </c>
      <c r="I15" s="444"/>
      <c r="J15" s="441">
        <f>SUMIF(83:83,I16,84:84)-SUMIF(83:83,C16,84:84)+100</f>
        <v>100</v>
      </c>
      <c r="K15" s="673"/>
      <c r="L15" s="1139"/>
      <c r="M15" s="1130"/>
      <c r="N15" s="1130"/>
      <c r="O15" s="1138"/>
      <c r="P15" s="3239" t="s">
        <v>2548</v>
      </c>
      <c r="Q15" s="1808" t="str">
        <f t="shared" si="6"/>
        <v>产业集聚程度</v>
      </c>
      <c r="R15" s="773" t="s">
        <v>17</v>
      </c>
      <c r="S15" s="774">
        <f t="shared" si="0"/>
        <v>100</v>
      </c>
      <c r="T15" s="773" t="s">
        <v>17</v>
      </c>
      <c r="U15" s="774">
        <f t="shared" si="1"/>
        <v>100</v>
      </c>
      <c r="V15" s="773" t="s">
        <v>17</v>
      </c>
      <c r="W15" s="774">
        <f t="shared" si="2"/>
        <v>100</v>
      </c>
      <c r="X15" s="1811"/>
      <c r="Y15" s="3239" t="s">
        <v>2548</v>
      </c>
      <c r="Z15" s="1812" t="str">
        <f t="shared" si="7"/>
        <v>产业集聚程度</v>
      </c>
      <c r="AA15" s="1809">
        <f t="shared" si="3"/>
        <v>1</v>
      </c>
      <c r="AB15" s="1809">
        <f t="shared" si="4"/>
        <v>1</v>
      </c>
      <c r="AC15" s="1809">
        <f t="shared" si="5"/>
        <v>1</v>
      </c>
    </row>
    <row r="16" spans="1:29" ht="15">
      <c r="A16" s="428"/>
      <c r="B16" s="630"/>
      <c r="C16" s="447"/>
      <c r="D16" s="448"/>
      <c r="E16" s="2606"/>
      <c r="F16" s="448"/>
      <c r="G16" s="2606"/>
      <c r="H16" s="450"/>
      <c r="I16" s="2606"/>
      <c r="J16" s="448"/>
      <c r="K16" s="672"/>
      <c r="L16" s="1139"/>
      <c r="M16" s="1130"/>
      <c r="N16" s="1130"/>
      <c r="O16" s="1138"/>
      <c r="P16" s="3240"/>
      <c r="Q16" s="1808"/>
      <c r="R16" s="773"/>
      <c r="S16" s="774"/>
      <c r="T16" s="773"/>
      <c r="U16" s="774"/>
      <c r="V16" s="773"/>
      <c r="W16" s="774"/>
      <c r="X16" s="1811"/>
      <c r="Y16" s="3240"/>
      <c r="Z16" s="1812"/>
      <c r="AA16" s="1809">
        <v>1</v>
      </c>
      <c r="AB16" s="1809">
        <v>1</v>
      </c>
      <c r="AC16" s="1809">
        <v>1</v>
      </c>
    </row>
    <row r="17" spans="1:29" ht="15">
      <c r="A17" s="428"/>
      <c r="B17" s="631" t="s">
        <v>2697</v>
      </c>
      <c r="C17" s="2602">
        <f>估价对象房地状况!G16</f>
        <v>0</v>
      </c>
      <c r="D17" s="450">
        <v>100</v>
      </c>
      <c r="E17" s="452"/>
      <c r="F17" s="455">
        <f>SUMIF(85:85,E18,86:86)-SUMIF(85:85,C18,86:86)+100</f>
        <v>100</v>
      </c>
      <c r="G17" s="452"/>
      <c r="H17" s="455">
        <f>SUMIF(85:85,G18,86:86)-SUMIF(85:85,C18,86:86)+100</f>
        <v>100</v>
      </c>
      <c r="I17" s="454"/>
      <c r="J17" s="450">
        <f>SUMIF(85:85,I18,86:86)-SUMIF(85:85,C18,86:86)+100</f>
        <v>100</v>
      </c>
      <c r="K17" s="673"/>
      <c r="L17" s="1139"/>
      <c r="M17" s="1130"/>
      <c r="N17" s="1130"/>
      <c r="O17" s="1138"/>
      <c r="P17" s="3240"/>
      <c r="Q17" s="1808" t="str">
        <f>B17</f>
        <v>交通便捷度</v>
      </c>
      <c r="R17" s="773" t="s">
        <v>17</v>
      </c>
      <c r="S17" s="774">
        <f>F17</f>
        <v>100</v>
      </c>
      <c r="T17" s="773" t="s">
        <v>17</v>
      </c>
      <c r="U17" s="774">
        <f>H17</f>
        <v>100</v>
      </c>
      <c r="V17" s="773" t="s">
        <v>17</v>
      </c>
      <c r="W17" s="774">
        <f>J17</f>
        <v>100</v>
      </c>
      <c r="X17" s="1811"/>
      <c r="Y17" s="3240"/>
      <c r="Z17" s="1812" t="str">
        <f>Q17</f>
        <v>交通便捷度</v>
      </c>
      <c r="AA17" s="1809">
        <f t="shared" si="3"/>
        <v>1</v>
      </c>
      <c r="AB17" s="1809">
        <f t="shared" si="4"/>
        <v>1</v>
      </c>
      <c r="AC17" s="1809">
        <f t="shared" si="5"/>
        <v>1</v>
      </c>
    </row>
    <row r="18" spans="1:29" ht="15">
      <c r="A18" s="428"/>
      <c r="B18" s="632"/>
      <c r="C18" s="447"/>
      <c r="D18" s="448"/>
      <c r="E18" s="2600"/>
      <c r="F18" s="448"/>
      <c r="G18" s="2600"/>
      <c r="H18" s="448"/>
      <c r="I18" s="2599"/>
      <c r="J18" s="448"/>
      <c r="K18" s="672"/>
      <c r="L18" s="1139"/>
      <c r="M18" s="1130"/>
      <c r="N18" s="1130"/>
      <c r="O18" s="1138"/>
      <c r="P18" s="3240"/>
      <c r="Q18" s="1808"/>
      <c r="R18" s="773"/>
      <c r="S18" s="774"/>
      <c r="T18" s="773"/>
      <c r="U18" s="774"/>
      <c r="V18" s="773"/>
      <c r="W18" s="774"/>
      <c r="X18" s="1811"/>
      <c r="Y18" s="3240"/>
      <c r="Z18" s="1812"/>
      <c r="AA18" s="1809">
        <v>1</v>
      </c>
      <c r="AB18" s="1809">
        <v>1</v>
      </c>
      <c r="AC18" s="1809">
        <v>1</v>
      </c>
    </row>
    <row r="19" spans="1:29" ht="15">
      <c r="A19" s="428"/>
      <c r="B19" s="631" t="s">
        <v>2736</v>
      </c>
      <c r="C19" s="2602">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9"/>
      <c r="M19" s="1130"/>
      <c r="N19" s="1130"/>
      <c r="O19" s="1138"/>
      <c r="P19" s="3240"/>
      <c r="Q19" s="1808" t="str">
        <f t="shared" ref="Q19:Q33" si="8">B19</f>
        <v>区域土地利用方向</v>
      </c>
      <c r="R19" s="773" t="s">
        <v>17</v>
      </c>
      <c r="S19" s="774">
        <f>F19</f>
        <v>100</v>
      </c>
      <c r="T19" s="773" t="s">
        <v>17</v>
      </c>
      <c r="U19" s="774">
        <f>H19</f>
        <v>100</v>
      </c>
      <c r="V19" s="773" t="s">
        <v>17</v>
      </c>
      <c r="W19" s="774">
        <f>J19</f>
        <v>100</v>
      </c>
      <c r="X19" s="1811"/>
      <c r="Y19" s="3240"/>
      <c r="Z19" s="1812" t="str">
        <f>Q19</f>
        <v>区域土地利用方向</v>
      </c>
      <c r="AA19" s="1809">
        <f t="shared" si="3"/>
        <v>1</v>
      </c>
      <c r="AB19" s="1809">
        <f t="shared" si="4"/>
        <v>1</v>
      </c>
      <c r="AC19" s="1809">
        <f t="shared" si="5"/>
        <v>1</v>
      </c>
    </row>
    <row r="20" spans="1:29" ht="15">
      <c r="A20" s="404"/>
      <c r="B20" s="632"/>
      <c r="C20" s="447"/>
      <c r="D20" s="448"/>
      <c r="E20" s="2600"/>
      <c r="F20" s="448"/>
      <c r="G20" s="2600"/>
      <c r="H20" s="448"/>
      <c r="I20" s="2600"/>
      <c r="J20" s="448"/>
      <c r="K20" s="811"/>
      <c r="L20" s="1139"/>
      <c r="M20" s="1130"/>
      <c r="N20" s="1130"/>
      <c r="O20" s="1138"/>
      <c r="P20" s="3240"/>
      <c r="Q20" s="1808"/>
      <c r="R20" s="773"/>
      <c r="S20" s="774"/>
      <c r="T20" s="773"/>
      <c r="U20" s="774"/>
      <c r="V20" s="773"/>
      <c r="W20" s="774"/>
      <c r="X20" s="1811"/>
      <c r="Y20" s="3240"/>
      <c r="Z20" s="1812"/>
      <c r="AA20" s="1809"/>
      <c r="AB20" s="1809"/>
      <c r="AC20" s="1809"/>
    </row>
    <row r="21" spans="1:29" ht="15">
      <c r="A21" s="404"/>
      <c r="B21" s="631" t="s">
        <v>2787</v>
      </c>
      <c r="C21" s="2602">
        <f>估价对象房地状况!G18</f>
        <v>0</v>
      </c>
      <c r="D21" s="450">
        <v>100</v>
      </c>
      <c r="E21" s="452"/>
      <c r="F21" s="450">
        <f>SUMIF(89:89,E22,90:90)-SUMIF(89:89,C22,90:90)+100</f>
        <v>100</v>
      </c>
      <c r="G21" s="452"/>
      <c r="H21" s="450">
        <f>SUMIF(89:89,G22,90:90)-SUMIF(89:89,C22,90:90)+100</f>
        <v>100</v>
      </c>
      <c r="I21" s="454"/>
      <c r="J21" s="450">
        <f>SUMIF(89:89,I22,90:90)-SUMIF(89:89,C22,90:90)+100</f>
        <v>100</v>
      </c>
      <c r="K21" s="673"/>
      <c r="L21" s="1139"/>
      <c r="M21" s="1130"/>
      <c r="N21" s="1130"/>
      <c r="O21" s="1138"/>
      <c r="P21" s="3240"/>
      <c r="Q21" s="1808" t="str">
        <f t="shared" si="8"/>
        <v>环境状况</v>
      </c>
      <c r="R21" s="773" t="s">
        <v>17</v>
      </c>
      <c r="S21" s="774">
        <f>F21</f>
        <v>100</v>
      </c>
      <c r="T21" s="773" t="s">
        <v>17</v>
      </c>
      <c r="U21" s="774">
        <f>H21</f>
        <v>100</v>
      </c>
      <c r="V21" s="773" t="s">
        <v>17</v>
      </c>
      <c r="W21" s="774">
        <f>J21</f>
        <v>100</v>
      </c>
      <c r="X21" s="1811"/>
      <c r="Y21" s="3240"/>
      <c r="Z21" s="1812" t="str">
        <f>Q21</f>
        <v>环境状况</v>
      </c>
      <c r="AA21" s="1809">
        <f t="shared" si="3"/>
        <v>1</v>
      </c>
      <c r="AB21" s="1809">
        <f t="shared" si="4"/>
        <v>1</v>
      </c>
      <c r="AC21" s="1809">
        <f t="shared" si="5"/>
        <v>1</v>
      </c>
    </row>
    <row r="22" spans="1:29" ht="15">
      <c r="A22" s="404"/>
      <c r="B22" s="632"/>
      <c r="C22" s="447"/>
      <c r="D22" s="448"/>
      <c r="E22" s="2606"/>
      <c r="F22" s="448"/>
      <c r="G22" s="2606"/>
      <c r="H22" s="448"/>
      <c r="I22" s="447"/>
      <c r="J22" s="448"/>
      <c r="K22" s="672"/>
      <c r="L22" s="1139"/>
      <c r="M22" s="1130"/>
      <c r="N22" s="1130"/>
      <c r="O22" s="1138"/>
      <c r="P22" s="3240"/>
      <c r="Q22" s="1808"/>
      <c r="R22" s="773"/>
      <c r="S22" s="774"/>
      <c r="T22" s="773"/>
      <c r="U22" s="774"/>
      <c r="V22" s="773"/>
      <c r="W22" s="774"/>
      <c r="X22" s="1811"/>
      <c r="Y22" s="3240"/>
      <c r="Z22" s="1812"/>
      <c r="AA22" s="1809">
        <v>1</v>
      </c>
      <c r="AB22" s="1809">
        <v>1</v>
      </c>
      <c r="AC22" s="1809">
        <v>1</v>
      </c>
    </row>
    <row r="23" spans="1:29" s="117" customFormat="1" ht="15">
      <c r="A23" s="649"/>
      <c r="B23" s="633" t="s">
        <v>2642</v>
      </c>
      <c r="C23" s="2602">
        <f>估价对象房地状况!G19</f>
        <v>0</v>
      </c>
      <c r="D23" s="450">
        <v>100</v>
      </c>
      <c r="E23" s="452"/>
      <c r="F23" s="450">
        <f>SUMIF(91:91,E24,92:92)-SUMIF(91:91,C24,92:92)+100</f>
        <v>100</v>
      </c>
      <c r="G23" s="452"/>
      <c r="H23" s="450">
        <f>SUMIF(91:91,G24,92:92)-SUMIF(91:91,C24,92:92)+100</f>
        <v>100</v>
      </c>
      <c r="I23" s="454"/>
      <c r="J23" s="450">
        <f>SUMIF(91:91,I24,92:92)-SUMIF(91:91,C24,92:92)+100</f>
        <v>100</v>
      </c>
      <c r="K23" s="673"/>
      <c r="L23" s="1131"/>
      <c r="M23" s="1132"/>
      <c r="N23" s="1132"/>
      <c r="O23" s="1133"/>
      <c r="P23" s="3240"/>
      <c r="Q23" s="1793" t="str">
        <f t="shared" si="8"/>
        <v>公共配套设施</v>
      </c>
      <c r="R23" s="769" t="s">
        <v>17</v>
      </c>
      <c r="S23" s="770">
        <f>F23</f>
        <v>100</v>
      </c>
      <c r="T23" s="769" t="s">
        <v>17</v>
      </c>
      <c r="U23" s="770">
        <f>H23</f>
        <v>100</v>
      </c>
      <c r="V23" s="769" t="s">
        <v>17</v>
      </c>
      <c r="W23" s="770">
        <f>J23</f>
        <v>100</v>
      </c>
      <c r="X23" s="771"/>
      <c r="Y23" s="3240"/>
      <c r="Z23" s="55" t="str">
        <f>Q23</f>
        <v>公共配套设施</v>
      </c>
      <c r="AA23" s="1809">
        <f>D23/F23</f>
        <v>1</v>
      </c>
      <c r="AB23" s="1809">
        <f>D23/H23</f>
        <v>1</v>
      </c>
      <c r="AC23" s="1809">
        <f>D23/J23</f>
        <v>1</v>
      </c>
    </row>
    <row r="24" spans="1:29" s="117" customFormat="1" ht="15">
      <c r="A24" s="649"/>
      <c r="B24" s="632"/>
      <c r="C24" s="2695"/>
      <c r="D24" s="448"/>
      <c r="E24" s="2606"/>
      <c r="F24" s="448"/>
      <c r="G24" s="2606"/>
      <c r="H24" s="448"/>
      <c r="I24" s="447"/>
      <c r="J24" s="448"/>
      <c r="K24" s="672"/>
      <c r="L24" s="1131"/>
      <c r="M24" s="1132"/>
      <c r="N24" s="1132"/>
      <c r="O24" s="1133"/>
      <c r="P24" s="3240"/>
      <c r="Q24" s="1793"/>
      <c r="R24" s="769"/>
      <c r="S24" s="770"/>
      <c r="T24" s="769"/>
      <c r="U24" s="770"/>
      <c r="V24" s="769"/>
      <c r="W24" s="770"/>
      <c r="X24" s="771"/>
      <c r="Y24" s="3240"/>
      <c r="Z24" s="55"/>
      <c r="AA24" s="772">
        <v>1</v>
      </c>
      <c r="AB24" s="772">
        <v>1</v>
      </c>
      <c r="AC24" s="772">
        <v>1</v>
      </c>
    </row>
    <row r="25" spans="1:29" s="117" customFormat="1" ht="15">
      <c r="A25" s="649"/>
      <c r="B25" s="633" t="s">
        <v>2643</v>
      </c>
      <c r="C25" s="2602">
        <f>估价对象房地状况!G20</f>
        <v>0</v>
      </c>
      <c r="D25" s="450">
        <v>100</v>
      </c>
      <c r="E25" s="452"/>
      <c r="F25" s="450">
        <f>SUMIF(93:93,E26,94:94)-SUMIF(93:93,C26,94:94)+100</f>
        <v>100</v>
      </c>
      <c r="G25" s="452"/>
      <c r="H25" s="450">
        <f>SUMIF(93:93,G26,94:94)-SUMIF(93:93,C26,94:94)+100</f>
        <v>100</v>
      </c>
      <c r="I25" s="454"/>
      <c r="J25" s="450">
        <f>SUMIF(93:93,I26,94:94)-SUMIF(93:93,C26,94:94)+100</f>
        <v>100</v>
      </c>
      <c r="K25" s="673"/>
      <c r="L25" s="1131"/>
      <c r="M25" s="1132"/>
      <c r="N25" s="1132"/>
      <c r="O25" s="1133"/>
      <c r="P25" s="3240"/>
      <c r="Q25" s="1793" t="str">
        <f t="shared" ref="Q25" si="9">B25</f>
        <v>基础设施水平</v>
      </c>
      <c r="R25" s="769" t="s">
        <v>17</v>
      </c>
      <c r="S25" s="770">
        <f>F25</f>
        <v>100</v>
      </c>
      <c r="T25" s="769" t="s">
        <v>17</v>
      </c>
      <c r="U25" s="770">
        <f>H25</f>
        <v>100</v>
      </c>
      <c r="V25" s="769" t="s">
        <v>17</v>
      </c>
      <c r="W25" s="770">
        <f>J25</f>
        <v>100</v>
      </c>
      <c r="X25" s="771"/>
      <c r="Y25" s="3240"/>
      <c r="Z25" s="55" t="str">
        <f>Q25</f>
        <v>基础设施水平</v>
      </c>
      <c r="AA25" s="1809">
        <f>D25/F25</f>
        <v>1</v>
      </c>
      <c r="AB25" s="1809">
        <f>D25/H25</f>
        <v>1</v>
      </c>
      <c r="AC25" s="1809">
        <f>D25/J25</f>
        <v>1</v>
      </c>
    </row>
    <row r="26" spans="1:29" s="117" customFormat="1" ht="15">
      <c r="A26" s="649"/>
      <c r="B26" s="632"/>
      <c r="C26" s="2695"/>
      <c r="D26" s="448"/>
      <c r="E26" s="2696"/>
      <c r="F26" s="448"/>
      <c r="G26" s="2696"/>
      <c r="H26" s="448"/>
      <c r="I26" s="2696"/>
      <c r="J26" s="448"/>
      <c r="K26" s="672"/>
      <c r="L26" s="1131"/>
      <c r="M26" s="1132"/>
      <c r="N26" s="1132"/>
      <c r="O26" s="1133"/>
      <c r="P26" s="3240"/>
      <c r="Q26" s="1793"/>
      <c r="R26" s="769"/>
      <c r="S26" s="770"/>
      <c r="T26" s="769"/>
      <c r="U26" s="770"/>
      <c r="V26" s="769"/>
      <c r="W26" s="770"/>
      <c r="X26" s="771"/>
      <c r="Y26" s="3240"/>
      <c r="Z26" s="55"/>
      <c r="AA26" s="772">
        <v>1</v>
      </c>
      <c r="AB26" s="772">
        <v>1</v>
      </c>
      <c r="AC26" s="772">
        <v>1</v>
      </c>
    </row>
    <row r="27" spans="1:29" ht="15">
      <c r="A27" s="428"/>
      <c r="B27" s="632" t="s">
        <v>2644</v>
      </c>
      <c r="C27" s="616"/>
      <c r="D27" s="435">
        <v>100</v>
      </c>
      <c r="E27" s="634"/>
      <c r="F27" s="435">
        <f>SUMIF(95:95,E27,96:96)-SUMIF(95:95,C27,96:96)+100</f>
        <v>100</v>
      </c>
      <c r="G27" s="634"/>
      <c r="H27" s="435">
        <f>SUMIF(95:95,G27,96:96)-SUMIF(95:95,C27,96:96)+100</f>
        <v>100</v>
      </c>
      <c r="I27" s="634"/>
      <c r="J27" s="435">
        <f>SUMIF(95:95,I27,96:96)-SUMIF(95:95,C27,96:96)+100</f>
        <v>100</v>
      </c>
      <c r="K27" s="673"/>
      <c r="L27" s="1139"/>
      <c r="M27" s="1130"/>
      <c r="N27" s="1130"/>
      <c r="O27" s="1138"/>
      <c r="P27" s="3240"/>
      <c r="Q27" s="1808" t="str">
        <f t="shared" si="8"/>
        <v>临街状况</v>
      </c>
      <c r="R27" s="773" t="s">
        <v>17</v>
      </c>
      <c r="S27" s="774">
        <f t="shared" ref="S27:S40" si="10">F27</f>
        <v>100</v>
      </c>
      <c r="T27" s="773" t="s">
        <v>17</v>
      </c>
      <c r="U27" s="774">
        <f t="shared" ref="U27:U40" si="11">H27</f>
        <v>100</v>
      </c>
      <c r="V27" s="773" t="s">
        <v>17</v>
      </c>
      <c r="W27" s="774">
        <f t="shared" ref="W27:W40" si="12">J27</f>
        <v>100</v>
      </c>
      <c r="X27" s="1811"/>
      <c r="Y27" s="3240"/>
      <c r="Z27" s="1812" t="str">
        <f t="shared" ref="Z27:Z40" si="13">Q27</f>
        <v>临街状况</v>
      </c>
      <c r="AA27" s="1809">
        <f t="shared" si="3"/>
        <v>1</v>
      </c>
      <c r="AB27" s="1809">
        <f t="shared" si="4"/>
        <v>1</v>
      </c>
      <c r="AC27" s="1809">
        <f t="shared" si="5"/>
        <v>1</v>
      </c>
    </row>
    <row r="28" spans="1:29" ht="27">
      <c r="A28" s="428"/>
      <c r="B28" s="633" t="s">
        <v>2679</v>
      </c>
      <c r="C28" s="270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9"/>
      <c r="M28" s="1130"/>
      <c r="N28" s="1130"/>
      <c r="O28" s="1138"/>
      <c r="P28" s="3240"/>
      <c r="Q28" s="1808" t="str">
        <f t="shared" si="8"/>
        <v>毗邻道路的类型与等级</v>
      </c>
      <c r="R28" s="773" t="s">
        <v>17</v>
      </c>
      <c r="S28" s="774">
        <f t="shared" si="10"/>
        <v>100</v>
      </c>
      <c r="T28" s="773" t="s">
        <v>17</v>
      </c>
      <c r="U28" s="774">
        <f t="shared" si="11"/>
        <v>100</v>
      </c>
      <c r="V28" s="773" t="s">
        <v>17</v>
      </c>
      <c r="W28" s="774">
        <f t="shared" si="12"/>
        <v>100</v>
      </c>
      <c r="X28" s="1811"/>
      <c r="Y28" s="3240"/>
      <c r="Z28" s="1812" t="str">
        <f t="shared" si="13"/>
        <v>毗邻道路的类型与等级</v>
      </c>
      <c r="AA28" s="1809">
        <f t="shared" si="3"/>
        <v>1</v>
      </c>
      <c r="AB28" s="1809">
        <f t="shared" si="4"/>
        <v>1</v>
      </c>
      <c r="AC28" s="1809">
        <f t="shared" si="5"/>
        <v>1</v>
      </c>
    </row>
    <row r="29" spans="1:29" ht="15">
      <c r="A29" s="428"/>
      <c r="B29" s="632"/>
      <c r="C29" s="447"/>
      <c r="D29" s="448"/>
      <c r="E29" s="2606"/>
      <c r="F29" s="448"/>
      <c r="G29" s="2606"/>
      <c r="H29" s="448"/>
      <c r="I29" s="2606"/>
      <c r="J29" s="448"/>
      <c r="K29" s="613"/>
      <c r="L29" s="1139"/>
      <c r="M29" s="1130"/>
      <c r="N29" s="1130"/>
      <c r="O29" s="1138"/>
      <c r="P29" s="3240"/>
      <c r="Q29" s="1808"/>
      <c r="R29" s="773"/>
      <c r="S29" s="774"/>
      <c r="T29" s="773"/>
      <c r="U29" s="774"/>
      <c r="V29" s="773"/>
      <c r="W29" s="774"/>
      <c r="X29" s="1811"/>
      <c r="Y29" s="3240"/>
      <c r="Z29" s="1812"/>
      <c r="AA29" s="1809">
        <v>1</v>
      </c>
      <c r="AB29" s="1809">
        <v>1</v>
      </c>
      <c r="AC29" s="1809">
        <v>1</v>
      </c>
    </row>
    <row r="30" spans="1:29" ht="15">
      <c r="A30" s="428"/>
      <c r="B30" s="654" t="s">
        <v>2738</v>
      </c>
      <c r="C30" s="1388">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9"/>
      <c r="M30" s="1130"/>
      <c r="N30" s="1130"/>
      <c r="O30" s="1138"/>
      <c r="P30" s="3240"/>
      <c r="Q30" s="1808" t="str">
        <f t="shared" si="8"/>
        <v>土地级别</v>
      </c>
      <c r="R30" s="773" t="s">
        <v>17</v>
      </c>
      <c r="S30" s="774">
        <f t="shared" si="10"/>
        <v>100</v>
      </c>
      <c r="T30" s="773" t="s">
        <v>17</v>
      </c>
      <c r="U30" s="774">
        <f t="shared" si="11"/>
        <v>100</v>
      </c>
      <c r="V30" s="773" t="s">
        <v>17</v>
      </c>
      <c r="W30" s="774">
        <f t="shared" si="12"/>
        <v>100</v>
      </c>
      <c r="X30" s="1811"/>
      <c r="Y30" s="3240"/>
      <c r="Z30" s="1812" t="str">
        <f t="shared" si="13"/>
        <v>土地级别</v>
      </c>
      <c r="AA30" s="1809">
        <f t="shared" si="3"/>
        <v>1</v>
      </c>
      <c r="AB30" s="1809">
        <f t="shared" si="4"/>
        <v>1</v>
      </c>
      <c r="AC30" s="1809">
        <f t="shared" si="5"/>
        <v>1</v>
      </c>
    </row>
    <row r="31" spans="1:29" ht="15">
      <c r="A31" s="404"/>
      <c r="B31" s="267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9"/>
      <c r="M31" s="1130"/>
      <c r="N31" s="1130"/>
      <c r="O31" s="1138"/>
      <c r="P31" s="3240"/>
      <c r="Q31" s="1808">
        <f t="shared" si="8"/>
        <v>111</v>
      </c>
      <c r="R31" s="773" t="s">
        <v>17</v>
      </c>
      <c r="S31" s="774">
        <f t="shared" si="10"/>
        <v>100</v>
      </c>
      <c r="T31" s="773" t="s">
        <v>17</v>
      </c>
      <c r="U31" s="774">
        <f t="shared" si="11"/>
        <v>100</v>
      </c>
      <c r="V31" s="773" t="s">
        <v>17</v>
      </c>
      <c r="W31" s="774">
        <f t="shared" si="12"/>
        <v>100</v>
      </c>
      <c r="X31" s="1811"/>
      <c r="Y31" s="3240"/>
      <c r="Z31" s="1812">
        <f t="shared" si="13"/>
        <v>111</v>
      </c>
      <c r="AA31" s="1809">
        <f t="shared" si="3"/>
        <v>1</v>
      </c>
      <c r="AB31" s="1809">
        <f t="shared" si="4"/>
        <v>1</v>
      </c>
      <c r="AC31" s="1809">
        <f t="shared" si="5"/>
        <v>1</v>
      </c>
    </row>
    <row r="32" spans="1:29" ht="15">
      <c r="A32" s="675"/>
      <c r="B32" s="270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9"/>
      <c r="M32" s="1130"/>
      <c r="N32" s="1130"/>
      <c r="O32" s="1138"/>
      <c r="P32" s="3299" t="s">
        <v>2553</v>
      </c>
      <c r="Q32" s="1808">
        <f t="shared" si="8"/>
        <v>111</v>
      </c>
      <c r="R32" s="773" t="s">
        <v>17</v>
      </c>
      <c r="S32" s="774">
        <f t="shared" si="10"/>
        <v>100</v>
      </c>
      <c r="T32" s="773" t="s">
        <v>17</v>
      </c>
      <c r="U32" s="774">
        <f t="shared" si="11"/>
        <v>100</v>
      </c>
      <c r="V32" s="773" t="s">
        <v>17</v>
      </c>
      <c r="W32" s="774">
        <f t="shared" si="12"/>
        <v>100</v>
      </c>
      <c r="X32" s="1811"/>
      <c r="Y32" s="3244" t="s">
        <v>2553</v>
      </c>
      <c r="Z32" s="1812">
        <f t="shared" si="13"/>
        <v>111</v>
      </c>
      <c r="AA32" s="1809">
        <f t="shared" si="3"/>
        <v>1</v>
      </c>
      <c r="AB32" s="1809">
        <f t="shared" si="4"/>
        <v>1</v>
      </c>
      <c r="AC32" s="1809">
        <f t="shared" si="5"/>
        <v>1</v>
      </c>
    </row>
    <row r="33" spans="1:29" s="471" customFormat="1" ht="15.75" thickBot="1">
      <c r="A33" s="676"/>
      <c r="B33" s="271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7"/>
      <c r="M33" s="1140"/>
      <c r="N33" s="1140"/>
      <c r="O33" s="1141"/>
      <c r="P33" s="3244"/>
      <c r="Q33" s="1808">
        <f t="shared" si="8"/>
        <v>111</v>
      </c>
      <c r="R33" s="776" t="s">
        <v>17</v>
      </c>
      <c r="S33" s="777">
        <f t="shared" si="10"/>
        <v>100</v>
      </c>
      <c r="T33" s="776" t="s">
        <v>17</v>
      </c>
      <c r="U33" s="777">
        <f t="shared" si="11"/>
        <v>100</v>
      </c>
      <c r="V33" s="776" t="s">
        <v>17</v>
      </c>
      <c r="W33" s="777">
        <f t="shared" si="12"/>
        <v>100</v>
      </c>
      <c r="X33" s="778"/>
      <c r="Y33" s="3244"/>
      <c r="Z33" s="779">
        <f t="shared" si="13"/>
        <v>111</v>
      </c>
      <c r="AA33" s="1809">
        <f t="shared" si="3"/>
        <v>1</v>
      </c>
      <c r="AB33" s="1809">
        <f t="shared" si="4"/>
        <v>1</v>
      </c>
      <c r="AC33" s="1809">
        <f t="shared" si="5"/>
        <v>1</v>
      </c>
    </row>
    <row r="34" spans="1:29" ht="15">
      <c r="A34" s="440" t="s">
        <v>2551</v>
      </c>
      <c r="B34" s="456" t="s">
        <v>2739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9"/>
      <c r="M34" s="1130"/>
      <c r="N34" s="1130"/>
      <c r="O34" s="1138"/>
      <c r="P34" s="3244"/>
      <c r="Q34" s="1808" t="str">
        <f>B34</f>
        <v>宗地面积</v>
      </c>
      <c r="R34" s="773" t="s">
        <v>17</v>
      </c>
      <c r="S34" s="774" t="e">
        <f t="shared" si="10"/>
        <v>#N/A</v>
      </c>
      <c r="T34" s="773" t="s">
        <v>17</v>
      </c>
      <c r="U34" s="774" t="e">
        <f t="shared" si="11"/>
        <v>#N/A</v>
      </c>
      <c r="V34" s="773" t="s">
        <v>17</v>
      </c>
      <c r="W34" s="774" t="e">
        <f t="shared" si="12"/>
        <v>#N/A</v>
      </c>
      <c r="X34" s="1811"/>
      <c r="Y34" s="3244"/>
      <c r="Z34" s="1812" t="str">
        <f t="shared" si="13"/>
        <v>宗地面积</v>
      </c>
      <c r="AA34" s="1809" t="e">
        <f t="shared" si="3"/>
        <v>#N/A</v>
      </c>
      <c r="AB34" s="1809" t="e">
        <f t="shared" si="4"/>
        <v>#N/A</v>
      </c>
      <c r="AC34" s="1809" t="e">
        <f t="shared" si="5"/>
        <v>#N/A</v>
      </c>
    </row>
    <row r="35" spans="1:29" ht="15">
      <c r="A35" s="472"/>
      <c r="B35" s="422" t="s">
        <v>2740</v>
      </c>
      <c r="C35" s="2608"/>
      <c r="D35" s="435">
        <v>100</v>
      </c>
      <c r="E35" s="2608"/>
      <c r="F35" s="435">
        <f>SUMIF(110:110,E35,111:111)-SUMIF(110:110,C35,111:111)+100</f>
        <v>100</v>
      </c>
      <c r="G35" s="2608"/>
      <c r="H35" s="435">
        <f>SUMIF(110:110,G35,111:111)-SUMIF(110:110,C35,111:111)+100</f>
        <v>100</v>
      </c>
      <c r="I35" s="2608"/>
      <c r="J35" s="435">
        <f>SUMIF(110:110,I35,111:111)-SUMIF(110:110,C35,111:111)+100</f>
        <v>100</v>
      </c>
      <c r="K35" s="612"/>
      <c r="L35" s="1139"/>
      <c r="M35" s="1130"/>
      <c r="N35" s="1130"/>
      <c r="O35" s="1138"/>
      <c r="P35" s="3244"/>
      <c r="Q35" s="1808" t="str">
        <f t="shared" ref="Q35:Q40" si="14">B35</f>
        <v>宗地形状</v>
      </c>
      <c r="R35" s="773" t="s">
        <v>17</v>
      </c>
      <c r="S35" s="774">
        <f t="shared" si="10"/>
        <v>100</v>
      </c>
      <c r="T35" s="773" t="s">
        <v>17</v>
      </c>
      <c r="U35" s="774">
        <f t="shared" si="11"/>
        <v>100</v>
      </c>
      <c r="V35" s="773" t="s">
        <v>17</v>
      </c>
      <c r="W35" s="774">
        <f t="shared" si="12"/>
        <v>100</v>
      </c>
      <c r="X35" s="1811"/>
      <c r="Y35" s="3244"/>
      <c r="Z35" s="1812" t="str">
        <f t="shared" si="13"/>
        <v>宗地形状</v>
      </c>
      <c r="AA35" s="1809">
        <f t="shared" si="3"/>
        <v>1</v>
      </c>
      <c r="AB35" s="1809">
        <f t="shared" si="4"/>
        <v>1</v>
      </c>
      <c r="AC35" s="1809">
        <f t="shared" si="5"/>
        <v>1</v>
      </c>
    </row>
    <row r="36" spans="1:29" s="117" customFormat="1" ht="15">
      <c r="A36" s="473"/>
      <c r="B36" s="422" t="s">
        <v>2742</v>
      </c>
      <c r="C36" s="2697"/>
      <c r="D36" s="136">
        <v>100</v>
      </c>
      <c r="E36" s="2697"/>
      <c r="F36" s="435">
        <f>SUMIF(112:112,E36,113:113)-SUMIF(112:112,C36,113:113)+100</f>
        <v>100</v>
      </c>
      <c r="G36" s="2697"/>
      <c r="H36" s="435">
        <f>SUMIF(112:112,G36,113:113)-SUMIF(112:112,C36,113:113)+100</f>
        <v>100</v>
      </c>
      <c r="I36" s="2697"/>
      <c r="J36" s="435">
        <f>SUMIF(112:112,I36,113:113)-SUMIF(112:112,C36,113:113)+100</f>
        <v>100</v>
      </c>
      <c r="K36" s="612"/>
      <c r="L36" s="1131"/>
      <c r="M36" s="1132"/>
      <c r="N36" s="1132"/>
      <c r="O36" s="1133"/>
      <c r="P36" s="3244"/>
      <c r="Q36" s="1808" t="str">
        <f t="shared" si="14"/>
        <v>宗地开发程度</v>
      </c>
      <c r="R36" s="769" t="s">
        <v>17</v>
      </c>
      <c r="S36" s="770">
        <f t="shared" si="10"/>
        <v>100</v>
      </c>
      <c r="T36" s="769" t="s">
        <v>17</v>
      </c>
      <c r="U36" s="770">
        <f t="shared" si="11"/>
        <v>100</v>
      </c>
      <c r="V36" s="769" t="s">
        <v>17</v>
      </c>
      <c r="W36" s="770">
        <f t="shared" si="12"/>
        <v>100</v>
      </c>
      <c r="X36" s="771"/>
      <c r="Y36" s="3244"/>
      <c r="Z36" s="55" t="str">
        <f t="shared" si="13"/>
        <v>宗地开发程度</v>
      </c>
      <c r="AA36" s="772">
        <f t="shared" si="3"/>
        <v>1</v>
      </c>
      <c r="AB36" s="772">
        <f t="shared" si="4"/>
        <v>1</v>
      </c>
      <c r="AC36" s="772">
        <f t="shared" si="5"/>
        <v>1</v>
      </c>
    </row>
    <row r="37" spans="1:29" ht="15">
      <c r="A37" s="472"/>
      <c r="B37" s="422" t="s">
        <v>2743</v>
      </c>
      <c r="C37" s="2608"/>
      <c r="D37" s="435">
        <v>100</v>
      </c>
      <c r="E37" s="2608"/>
      <c r="F37" s="435">
        <f>SUMIF(114:114,E37,115:115)-SUMIF(114:114,C37,115:115)+100</f>
        <v>100</v>
      </c>
      <c r="G37" s="2608"/>
      <c r="H37" s="435">
        <f>SUMIF(114:114,G37,115:115)-SUMIF(114:114,C37,115:115)+100</f>
        <v>100</v>
      </c>
      <c r="I37" s="2608"/>
      <c r="J37" s="435">
        <f>SUMIF(114:114,I37,115:115)-SUMIF(114:114,C37,115:115)+100</f>
        <v>100</v>
      </c>
      <c r="K37" s="612"/>
      <c r="L37" s="1139"/>
      <c r="M37" s="1130"/>
      <c r="N37" s="1130"/>
      <c r="O37" s="1138"/>
      <c r="P37" s="3244" t="s">
        <v>2553</v>
      </c>
      <c r="Q37" s="1808" t="str">
        <f t="shared" si="14"/>
        <v>工程地质条件</v>
      </c>
      <c r="R37" s="773" t="s">
        <v>17</v>
      </c>
      <c r="S37" s="774">
        <f t="shared" si="10"/>
        <v>100</v>
      </c>
      <c r="T37" s="773" t="s">
        <v>17</v>
      </c>
      <c r="U37" s="774">
        <f t="shared" si="11"/>
        <v>100</v>
      </c>
      <c r="V37" s="773" t="s">
        <v>17</v>
      </c>
      <c r="W37" s="774">
        <f t="shared" si="12"/>
        <v>100</v>
      </c>
      <c r="X37" s="1811"/>
      <c r="Y37" s="3244" t="s">
        <v>2553</v>
      </c>
      <c r="Z37" s="1812" t="str">
        <f t="shared" si="13"/>
        <v>工程地质条件</v>
      </c>
      <c r="AA37" s="1809">
        <f t="shared" si="3"/>
        <v>1</v>
      </c>
      <c r="AB37" s="1809">
        <f t="shared" si="4"/>
        <v>1</v>
      </c>
      <c r="AC37" s="1809">
        <f t="shared" si="5"/>
        <v>1</v>
      </c>
    </row>
    <row r="38" spans="1:29" ht="15">
      <c r="A38" s="472"/>
      <c r="B38" s="1386">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9"/>
      <c r="M38" s="1130"/>
      <c r="N38" s="1130"/>
      <c r="O38" s="1138"/>
      <c r="P38" s="3244"/>
      <c r="Q38" s="1808">
        <f t="shared" si="14"/>
        <v>111</v>
      </c>
      <c r="R38" s="773" t="s">
        <v>17</v>
      </c>
      <c r="S38" s="774">
        <f t="shared" si="10"/>
        <v>100</v>
      </c>
      <c r="T38" s="773" t="s">
        <v>17</v>
      </c>
      <c r="U38" s="774">
        <f t="shared" si="11"/>
        <v>100</v>
      </c>
      <c r="V38" s="773" t="s">
        <v>17</v>
      </c>
      <c r="W38" s="774">
        <f t="shared" si="12"/>
        <v>100</v>
      </c>
      <c r="X38" s="1811"/>
      <c r="Y38" s="3244"/>
      <c r="Z38" s="1812">
        <f t="shared" si="13"/>
        <v>111</v>
      </c>
      <c r="AA38" s="1809">
        <f t="shared" si="3"/>
        <v>1</v>
      </c>
      <c r="AB38" s="1809">
        <f t="shared" si="4"/>
        <v>1</v>
      </c>
      <c r="AC38" s="1809">
        <f t="shared" si="5"/>
        <v>1</v>
      </c>
    </row>
    <row r="39" spans="1:29" ht="15">
      <c r="A39" s="472"/>
      <c r="B39" s="1386">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9"/>
      <c r="M39" s="1130"/>
      <c r="N39" s="1130"/>
      <c r="O39" s="1138"/>
      <c r="P39" s="3244"/>
      <c r="Q39" s="1808">
        <f t="shared" si="14"/>
        <v>111</v>
      </c>
      <c r="R39" s="773" t="s">
        <v>17</v>
      </c>
      <c r="S39" s="774">
        <f t="shared" si="10"/>
        <v>100</v>
      </c>
      <c r="T39" s="773" t="s">
        <v>17</v>
      </c>
      <c r="U39" s="774">
        <f t="shared" si="11"/>
        <v>100</v>
      </c>
      <c r="V39" s="773" t="s">
        <v>17</v>
      </c>
      <c r="W39" s="774">
        <f t="shared" si="12"/>
        <v>100</v>
      </c>
      <c r="X39" s="1811"/>
      <c r="Y39" s="3244"/>
      <c r="Z39" s="1812">
        <f t="shared" si="13"/>
        <v>111</v>
      </c>
      <c r="AA39" s="1809">
        <f t="shared" si="3"/>
        <v>1</v>
      </c>
      <c r="AB39" s="1809">
        <f t="shared" si="4"/>
        <v>1</v>
      </c>
      <c r="AC39" s="1809">
        <f t="shared" si="5"/>
        <v>1</v>
      </c>
    </row>
    <row r="40" spans="1:29" s="471" customFormat="1" ht="15.75" thickBot="1">
      <c r="A40" s="468"/>
      <c r="B40" s="1386">
        <v>111</v>
      </c>
      <c r="C40" s="2698"/>
      <c r="D40" s="137">
        <v>100</v>
      </c>
      <c r="E40" s="674"/>
      <c r="F40" s="438">
        <f>SUMIF(120:120,E40,121:121)-SUMIF(120:120,C40,121:121)+100</f>
        <v>100</v>
      </c>
      <c r="G40" s="674"/>
      <c r="H40" s="438">
        <f>SUMIF(120:120,G40,121:121)-SUMIF(120:120,C40,121:121)+100</f>
        <v>100</v>
      </c>
      <c r="I40" s="549"/>
      <c r="J40" s="438">
        <f>SUMIF(120:120,I40,121:121)-SUMIF(120:120,C40,121:121)+100</f>
        <v>100</v>
      </c>
      <c r="K40" s="681"/>
      <c r="L40" s="1137"/>
      <c r="M40" s="1140"/>
      <c r="N40" s="1140"/>
      <c r="O40" s="1141"/>
      <c r="P40" s="3244"/>
      <c r="Q40" s="1808">
        <f t="shared" si="14"/>
        <v>111</v>
      </c>
      <c r="R40" s="776" t="s">
        <v>17</v>
      </c>
      <c r="S40" s="777">
        <f t="shared" si="10"/>
        <v>100</v>
      </c>
      <c r="T40" s="776" t="s">
        <v>17</v>
      </c>
      <c r="U40" s="777">
        <f t="shared" si="11"/>
        <v>100</v>
      </c>
      <c r="V40" s="776" t="s">
        <v>17</v>
      </c>
      <c r="W40" s="777">
        <f t="shared" si="12"/>
        <v>100</v>
      </c>
      <c r="X40" s="778"/>
      <c r="Y40" s="3244"/>
      <c r="Z40" s="779">
        <f t="shared" si="13"/>
        <v>111</v>
      </c>
      <c r="AA40" s="1809">
        <f t="shared" si="3"/>
        <v>1</v>
      </c>
      <c r="AB40" s="1809">
        <f t="shared" si="4"/>
        <v>1</v>
      </c>
      <c r="AC40" s="1809">
        <f t="shared" si="5"/>
        <v>1</v>
      </c>
    </row>
    <row r="41" spans="1:29" ht="15">
      <c r="A41" s="479" t="s">
        <v>2708</v>
      </c>
      <c r="B41" s="2699" t="s">
        <v>2788</v>
      </c>
      <c r="C41" s="682" t="s">
        <v>1</v>
      </c>
      <c r="D41" s="481"/>
      <c r="E41" s="482"/>
      <c r="F41" s="483"/>
      <c r="G41" s="484"/>
      <c r="H41" s="485"/>
      <c r="I41" s="482"/>
      <c r="J41" s="485"/>
      <c r="K41" s="782"/>
      <c r="L41" s="1142"/>
      <c r="M41" s="1130"/>
      <c r="N41" s="1130"/>
      <c r="O41" s="1143"/>
      <c r="P41" s="3246" t="str">
        <f>A41</f>
        <v>成交单价</v>
      </c>
      <c r="Q41" s="3246"/>
      <c r="R41" s="3208">
        <f>E41</f>
        <v>0</v>
      </c>
      <c r="S41" s="3208"/>
      <c r="T41" s="3208">
        <f>G41</f>
        <v>0</v>
      </c>
      <c r="U41" s="3208"/>
      <c r="V41" s="3208">
        <f>I41</f>
        <v>0</v>
      </c>
      <c r="W41" s="3208"/>
      <c r="X41" s="758"/>
      <c r="Y41" s="780"/>
      <c r="Z41" s="758"/>
      <c r="AA41" s="758"/>
      <c r="AB41" s="758"/>
      <c r="AC41" s="758"/>
    </row>
    <row r="42" spans="1:29" ht="15.75" thickBot="1">
      <c r="A42" s="486" t="s">
        <v>2657</v>
      </c>
      <c r="B42" s="683"/>
      <c r="C42" s="490" t="e">
        <f>R43</f>
        <v>#DIV/0!</v>
      </c>
      <c r="D42" s="489"/>
      <c r="E42" s="490" t="e">
        <f>R42</f>
        <v>#DIV/0!</v>
      </c>
      <c r="F42" s="491"/>
      <c r="G42" s="488" t="e">
        <f>T42</f>
        <v>#DIV/0!</v>
      </c>
      <c r="H42" s="489"/>
      <c r="I42" s="490" t="e">
        <f>V42</f>
        <v>#DIV/0!</v>
      </c>
      <c r="J42" s="489"/>
      <c r="K42" s="783"/>
      <c r="L42" s="1142"/>
      <c r="M42" s="1130"/>
      <c r="N42" s="1130"/>
      <c r="O42" s="1143"/>
      <c r="P42" s="3246" t="str">
        <f>A42</f>
        <v>比较价值（元/平方米）</v>
      </c>
      <c r="Q42" s="3246"/>
      <c r="R42" s="3300" t="e">
        <f>ROUND(PRODUCT(R41,AA7:AA40),0)</f>
        <v>#DIV/0!</v>
      </c>
      <c r="S42" s="3300"/>
      <c r="T42" s="3300" t="e">
        <f>ROUND(PRODUCT(T41,AB7:AB40),0)</f>
        <v>#DIV/0!</v>
      </c>
      <c r="U42" s="3300"/>
      <c r="V42" s="3300" t="e">
        <f>ROUND(PRODUCT(V41,AC7:AC40),0)</f>
        <v>#DIV/0!</v>
      </c>
      <c r="W42" s="3300"/>
      <c r="X42" s="758"/>
      <c r="Y42" s="758"/>
      <c r="Z42" s="758"/>
      <c r="AA42" s="758"/>
      <c r="AB42" s="758"/>
      <c r="AC42" s="758"/>
    </row>
    <row r="43" spans="1:29" ht="15.75" thickBot="1">
      <c r="A43" s="492" t="s">
        <v>2658</v>
      </c>
      <c r="B43" s="493"/>
      <c r="C43" s="494" t="e">
        <f>R43</f>
        <v>#DIV/0!</v>
      </c>
      <c r="D43" s="494"/>
      <c r="E43" s="494"/>
      <c r="F43" s="494"/>
      <c r="G43" s="494"/>
      <c r="H43" s="494"/>
      <c r="I43" s="494"/>
      <c r="J43" s="494"/>
      <c r="K43" s="784"/>
      <c r="L43" s="1142"/>
      <c r="M43" s="1130"/>
      <c r="N43" s="1130"/>
      <c r="O43" s="1143"/>
      <c r="P43" s="3248" t="str">
        <f>A43</f>
        <v>估价对象XX用房的比较价值（楼面单价，元/平方米）</v>
      </c>
      <c r="Q43" s="3249"/>
      <c r="R43" s="3301" t="e">
        <f>ROUND(AVERAGE(R42:V42),0)</f>
        <v>#DIV/0!</v>
      </c>
      <c r="S43" s="3301"/>
      <c r="T43" s="3301"/>
      <c r="U43" s="3301"/>
      <c r="V43" s="3301"/>
      <c r="W43" s="3301"/>
      <c r="X43" s="758"/>
      <c r="Y43" s="758"/>
      <c r="Z43" s="758"/>
      <c r="AA43" s="758"/>
      <c r="AB43" s="758"/>
      <c r="AC43" s="758"/>
    </row>
    <row r="44" spans="1:29">
      <c r="A44" s="1143"/>
      <c r="B44" s="1143"/>
      <c r="C44" s="1143"/>
      <c r="D44" s="1143"/>
      <c r="E44" s="1143"/>
      <c r="F44" s="1143"/>
      <c r="G44" s="1146"/>
      <c r="H44" s="1143"/>
      <c r="I44" s="1143"/>
      <c r="J44" s="1143"/>
      <c r="K44" s="1105"/>
      <c r="L44" s="1106"/>
      <c r="M44" s="1130"/>
      <c r="N44" s="1130"/>
      <c r="O44" s="1143"/>
    </row>
    <row r="45" spans="1:29">
      <c r="A45" s="1143"/>
      <c r="B45" s="1143"/>
      <c r="C45" s="1143"/>
      <c r="D45" s="1143"/>
      <c r="E45" s="1143"/>
      <c r="F45" s="1143"/>
      <c r="G45" s="1143"/>
      <c r="H45" s="1143"/>
      <c r="I45" s="1143"/>
      <c r="J45" s="1143"/>
      <c r="K45" s="1105"/>
      <c r="L45" s="1106"/>
      <c r="M45" s="1130"/>
      <c r="N45" s="1130"/>
      <c r="O45" s="1143"/>
    </row>
    <row r="46" spans="1:29" ht="13.5" customHeight="1">
      <c r="A46" s="1143"/>
      <c r="B46" s="1143"/>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0"/>
      <c r="N46" s="1130"/>
      <c r="O46" s="1143"/>
    </row>
    <row r="47" spans="1:29" ht="13.5" customHeight="1">
      <c r="A47" s="1143"/>
      <c r="B47" s="1143"/>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3"/>
      <c r="N47" s="1143"/>
      <c r="O47" s="1143"/>
    </row>
    <row r="48" spans="1:29" s="502" customFormat="1" ht="13.5" customHeight="1">
      <c r="A48" s="1144"/>
      <c r="B48" s="1144"/>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ht="15" thickBot="1">
      <c r="A49" s="1144"/>
      <c r="B49" s="1145"/>
      <c r="C49" s="761"/>
      <c r="D49" s="759"/>
      <c r="E49" s="759"/>
      <c r="F49" s="759"/>
      <c r="G49" s="759"/>
      <c r="H49" s="759"/>
      <c r="I49" s="759"/>
      <c r="J49" s="759"/>
      <c r="K49" s="1147"/>
      <c r="L49" s="1148"/>
      <c r="M49" s="1144"/>
      <c r="N49" s="1144"/>
      <c r="O49" s="1144"/>
    </row>
    <row r="50" spans="1:17" ht="27">
      <c r="A50" s="684" t="s">
        <v>2746</v>
      </c>
      <c r="B50" s="685" t="s">
        <v>2747</v>
      </c>
      <c r="C50" s="2700" t="s">
        <v>2748</v>
      </c>
      <c r="D50" s="2701" t="s">
        <v>2749</v>
      </c>
      <c r="E50" s="686" t="s">
        <v>2750</v>
      </c>
      <c r="F50" s="687" t="s">
        <v>2751</v>
      </c>
      <c r="G50" s="3224" t="s">
        <v>2752</v>
      </c>
      <c r="H50" s="3302"/>
      <c r="I50" s="1812" t="s">
        <v>2789</v>
      </c>
      <c r="J50" s="1812">
        <f>项目基本情况!F35</f>
        <v>0</v>
      </c>
      <c r="K50" s="2703" t="s">
        <v>2754</v>
      </c>
      <c r="L50" s="1106"/>
      <c r="M50" s="1143"/>
      <c r="N50" s="1143"/>
      <c r="O50" s="1143"/>
    </row>
    <row r="51" spans="1:17" s="692" customFormat="1">
      <c r="A51" s="688" t="s">
        <v>2755</v>
      </c>
      <c r="B51" s="689" t="e">
        <f>C43</f>
        <v>#DIV/0!</v>
      </c>
      <c r="C51" s="690">
        <v>1</v>
      </c>
      <c r="D51" s="1162">
        <v>1</v>
      </c>
      <c r="E51" s="690">
        <f>'数据-汇总表'!E8+'数据-汇总表'!E9</f>
        <v>4163.47</v>
      </c>
      <c r="F51" s="691" t="e">
        <f t="shared" ref="F51:F60" si="15">ROUND(B51*E51/10000,0)</f>
        <v>#DIV/0!</v>
      </c>
      <c r="G51" s="3223"/>
      <c r="H51" s="3246"/>
      <c r="I51" s="944">
        <v>1</v>
      </c>
      <c r="J51" s="944">
        <v>1</v>
      </c>
      <c r="K51" s="1144"/>
      <c r="L51" s="943"/>
      <c r="M51" s="943"/>
      <c r="N51" s="943"/>
      <c r="O51" s="943"/>
    </row>
    <row r="52" spans="1:17" s="692" customFormat="1">
      <c r="A52" s="693" t="s">
        <v>2756</v>
      </c>
      <c r="B52" s="262" t="e">
        <f>ROUND($C$43*C52*D52,0)</f>
        <v>#DIV/0!</v>
      </c>
      <c r="C52" s="200">
        <f t="shared" ref="C52:C60" si="16">IF($C$50="北京市系数",I52,J52)</f>
        <v>0.7</v>
      </c>
      <c r="D52" s="1163">
        <v>0.25</v>
      </c>
      <c r="E52" s="694"/>
      <c r="F52" s="691" t="e">
        <f t="shared" si="15"/>
        <v>#DIV/0!</v>
      </c>
      <c r="G52" s="3303" t="s">
        <v>2757</v>
      </c>
      <c r="H52" s="1104" t="str">
        <f>项目基本情况!B37</f>
        <v>五级</v>
      </c>
      <c r="I52" s="944">
        <f>SUMIF(修正!A45:A56,H52,修正!B45:B56)</f>
        <v>0.7</v>
      </c>
      <c r="J52" s="945"/>
      <c r="K52" s="1143"/>
      <c r="L52" s="943"/>
      <c r="M52" s="943"/>
      <c r="N52" s="943"/>
      <c r="O52" s="943"/>
    </row>
    <row r="53" spans="1:17" s="692" customFormat="1">
      <c r="A53" s="693" t="s">
        <v>2758</v>
      </c>
      <c r="B53" s="262" t="e">
        <f t="shared" ref="B53:B60" si="17">ROUND($C$43*C53*D53,0)</f>
        <v>#DIV/0!</v>
      </c>
      <c r="C53" s="200">
        <f t="shared" si="16"/>
        <v>0.4</v>
      </c>
      <c r="D53" s="1163">
        <v>0.25</v>
      </c>
      <c r="E53" s="694"/>
      <c r="F53" s="691" t="e">
        <f t="shared" si="15"/>
        <v>#DIV/0!</v>
      </c>
      <c r="G53" s="3303"/>
      <c r="H53" s="1104" t="str">
        <f>项目基本情况!B37</f>
        <v>五级</v>
      </c>
      <c r="I53" s="944">
        <f>SUMIF(修正!A45:A56,H53,修正!C45:C56)</f>
        <v>0.4</v>
      </c>
      <c r="J53" s="945"/>
      <c r="K53" s="1144"/>
      <c r="L53" s="943"/>
      <c r="M53" s="943"/>
      <c r="N53" s="943"/>
      <c r="O53" s="943"/>
    </row>
    <row r="54" spans="1:17" s="692" customFormat="1">
      <c r="A54" s="693" t="s">
        <v>2759</v>
      </c>
      <c r="B54" s="262" t="e">
        <f t="shared" si="17"/>
        <v>#DIV/0!</v>
      </c>
      <c r="C54" s="200">
        <f t="shared" si="16"/>
        <v>0.28000000000000003</v>
      </c>
      <c r="D54" s="1163">
        <v>0.25</v>
      </c>
      <c r="E54" s="694"/>
      <c r="F54" s="691" t="e">
        <f t="shared" si="15"/>
        <v>#DIV/0!</v>
      </c>
      <c r="G54" s="3303"/>
      <c r="H54" s="1104" t="str">
        <f>项目基本情况!B37</f>
        <v>五级</v>
      </c>
      <c r="I54" s="944">
        <f>SUMIF(修正!A45:A56,H54,修正!D45:D56)</f>
        <v>0.28000000000000003</v>
      </c>
      <c r="J54" s="945"/>
      <c r="K54" s="1143"/>
      <c r="L54" s="943"/>
      <c r="M54" s="943"/>
      <c r="N54" s="943"/>
      <c r="O54" s="943"/>
    </row>
    <row r="55" spans="1:17" s="692" customFormat="1">
      <c r="A55" s="693" t="s">
        <v>2760</v>
      </c>
      <c r="B55" s="262" t="e">
        <f t="shared" si="17"/>
        <v>#DIV/0!</v>
      </c>
      <c r="C55" s="200">
        <f t="shared" si="16"/>
        <v>0.25</v>
      </c>
      <c r="D55" s="1163">
        <v>0.25</v>
      </c>
      <c r="E55" s="694"/>
      <c r="F55" s="691" t="e">
        <f t="shared" si="15"/>
        <v>#DIV/0!</v>
      </c>
      <c r="G55" s="3303"/>
      <c r="H55" s="1104" t="str">
        <f>项目基本情况!B37</f>
        <v>五级</v>
      </c>
      <c r="I55" s="944">
        <f>SUMIF(修正!A45:A56,H55,修正!E45:E56)</f>
        <v>0.25</v>
      </c>
      <c r="J55" s="945"/>
      <c r="K55" s="1144"/>
      <c r="L55" s="943"/>
      <c r="M55" s="943"/>
      <c r="N55" s="943"/>
      <c r="O55" s="943"/>
    </row>
    <row r="56" spans="1:17" s="692" customFormat="1">
      <c r="A56" s="693" t="s">
        <v>2761</v>
      </c>
      <c r="B56" s="262" t="e">
        <f t="shared" si="17"/>
        <v>#DIV/0!</v>
      </c>
      <c r="C56" s="200">
        <f t="shared" si="16"/>
        <v>0</v>
      </c>
      <c r="D56" s="1163">
        <v>0.25</v>
      </c>
      <c r="E56" s="261">
        <f>'数据-汇总表'!E11</f>
        <v>0</v>
      </c>
      <c r="F56" s="691" t="e">
        <f t="shared" si="15"/>
        <v>#DIV/0!</v>
      </c>
      <c r="G56" s="2704" t="s">
        <v>2762</v>
      </c>
      <c r="H56" s="1104">
        <f>项目基本情况!C37</f>
        <v>0</v>
      </c>
      <c r="I56" s="944">
        <f>SUMIF(修正!A45:A56,H56,修正!F45:F56)</f>
        <v>0</v>
      </c>
      <c r="J56" s="945"/>
      <c r="K56" s="1143"/>
      <c r="L56" s="943"/>
      <c r="M56" s="943"/>
      <c r="N56" s="943"/>
      <c r="O56" s="943"/>
    </row>
    <row r="57" spans="1:17" s="692" customFormat="1">
      <c r="A57" s="693" t="s">
        <v>2763</v>
      </c>
      <c r="B57" s="262" t="e">
        <f t="shared" si="17"/>
        <v>#DIV/0!</v>
      </c>
      <c r="C57" s="200">
        <f t="shared" si="16"/>
        <v>0</v>
      </c>
      <c r="D57" s="1163">
        <v>0.25</v>
      </c>
      <c r="E57" s="261">
        <f>'数据-汇总表'!E12</f>
        <v>0</v>
      </c>
      <c r="F57" s="691" t="e">
        <f t="shared" si="15"/>
        <v>#DIV/0!</v>
      </c>
      <c r="G57" s="1109" t="s">
        <v>2764</v>
      </c>
      <c r="H57" s="1104">
        <f>IF(G57="商业",项目基本情况!B37,IF(G57="办公",项目基本情况!C37,IF(G57="住宅",项目基本情况!D37,项目基本情况!E37)))</f>
        <v>0</v>
      </c>
      <c r="I57" s="944">
        <f>SUMIF(修正!A45:A56,H57,修正!G45:G56)</f>
        <v>0</v>
      </c>
      <c r="J57" s="945"/>
      <c r="K57" s="1144"/>
      <c r="L57" s="943"/>
      <c r="M57" s="943"/>
      <c r="N57" s="943"/>
      <c r="O57" s="943"/>
    </row>
    <row r="58" spans="1:17" s="692" customFormat="1">
      <c r="A58" s="693" t="s">
        <v>2765</v>
      </c>
      <c r="B58" s="262" t="e">
        <f t="shared" si="17"/>
        <v>#DIV/0!</v>
      </c>
      <c r="C58" s="200">
        <f t="shared" si="16"/>
        <v>0</v>
      </c>
      <c r="D58" s="1163">
        <v>0.25</v>
      </c>
      <c r="E58" s="261">
        <f>'数据-汇总表'!E13</f>
        <v>0</v>
      </c>
      <c r="F58" s="691" t="e">
        <f t="shared" si="15"/>
        <v>#DIV/0!</v>
      </c>
      <c r="G58" s="1109" t="s">
        <v>2766</v>
      </c>
      <c r="H58" s="1104">
        <f>IF(G58="商业",项目基本情况!B37,IF(G58="办公",项目基本情况!C37,IF(G58="住宅",项目基本情况!D37,项目基本情况!E37)))</f>
        <v>0</v>
      </c>
      <c r="I58" s="944">
        <f>SUMIF(修正!A45:A56,H58,修正!H45:H56)</f>
        <v>0</v>
      </c>
      <c r="J58" s="945"/>
      <c r="K58" s="1143"/>
      <c r="L58" s="943"/>
      <c r="M58" s="943"/>
      <c r="N58" s="943"/>
      <c r="O58" s="943"/>
    </row>
    <row r="59" spans="1:17" s="692" customFormat="1">
      <c r="A59" s="693" t="s">
        <v>2767</v>
      </c>
      <c r="B59" s="262" t="e">
        <f t="shared" si="17"/>
        <v>#DIV/0!</v>
      </c>
      <c r="C59" s="200">
        <f t="shared" si="16"/>
        <v>0.2</v>
      </c>
      <c r="D59" s="1163">
        <v>0.25</v>
      </c>
      <c r="E59" s="261">
        <f>'数据-汇总表'!E14</f>
        <v>0</v>
      </c>
      <c r="F59" s="691" t="e">
        <f t="shared" si="15"/>
        <v>#DIV/0!</v>
      </c>
      <c r="G59" s="2704" t="s">
        <v>2757</v>
      </c>
      <c r="H59" s="1104" t="str">
        <f>项目基本情况!B37</f>
        <v>五级</v>
      </c>
      <c r="I59" s="944">
        <f>SUMIF(修正!A45:A56,H59,修正!H45:H56)</f>
        <v>0.2</v>
      </c>
      <c r="J59" s="945"/>
      <c r="K59" s="1144"/>
      <c r="L59" s="943"/>
      <c r="M59" s="943"/>
      <c r="N59" s="943"/>
      <c r="O59" s="943"/>
    </row>
    <row r="60" spans="1:17" s="692" customFormat="1" ht="15" thickBot="1">
      <c r="A60" s="693" t="s">
        <v>2768</v>
      </c>
      <c r="B60" s="262" t="e">
        <f t="shared" si="17"/>
        <v>#DIV/0!</v>
      </c>
      <c r="C60" s="200">
        <f t="shared" si="16"/>
        <v>0</v>
      </c>
      <c r="D60" s="1163">
        <v>0.25</v>
      </c>
      <c r="E60" s="261">
        <f>'数据-汇总表'!E15</f>
        <v>0</v>
      </c>
      <c r="F60" s="691" t="e">
        <f t="shared" si="15"/>
        <v>#DIV/0!</v>
      </c>
      <c r="G60" s="2705" t="s">
        <v>2762</v>
      </c>
      <c r="H60" s="1114">
        <f>项目基本情况!C37</f>
        <v>0</v>
      </c>
      <c r="I60" s="944">
        <f>SUMIF(修正!A45:A56,H60,修正!H45:H56)</f>
        <v>0</v>
      </c>
      <c r="J60" s="945"/>
      <c r="K60" s="1143"/>
      <c r="L60" s="943"/>
      <c r="M60" s="943"/>
      <c r="N60" s="943"/>
      <c r="O60" s="943"/>
    </row>
    <row r="61" spans="1:17" s="692" customFormat="1" ht="15" thickBot="1">
      <c r="A61" s="695" t="s">
        <v>2769</v>
      </c>
      <c r="B61" s="696" t="s">
        <v>28</v>
      </c>
      <c r="C61" s="696" t="s">
        <v>29</v>
      </c>
      <c r="D61" s="696" t="s">
        <v>1029</v>
      </c>
      <c r="E61" s="696">
        <f>IF(B41="楼面地价",SUM(E51:E60),'数据-汇总表'!D3)</f>
        <v>1606.66</v>
      </c>
      <c r="F61" s="697" t="e">
        <f>IF(B41="楼面地价",SUM(F51:F60),ROUND(C43*E61/10000,0))</f>
        <v>#DIV/0!</v>
      </c>
      <c r="G61" s="1157"/>
      <c r="H61" s="1157"/>
      <c r="I61" s="1157"/>
      <c r="J61" s="1157"/>
      <c r="K61" s="1105"/>
      <c r="L61" s="943"/>
      <c r="M61" s="943"/>
      <c r="N61" s="943"/>
      <c r="O61" s="943"/>
    </row>
    <row r="62" spans="1:17">
      <c r="A62" s="1143"/>
      <c r="B62" s="1145"/>
      <c r="C62" s="1149"/>
      <c r="D62" s="1143"/>
      <c r="E62" s="1143"/>
      <c r="F62" s="1143"/>
      <c r="G62" s="1143"/>
      <c r="H62" s="1143"/>
      <c r="I62" s="1143"/>
      <c r="J62" s="1143"/>
      <c r="K62" s="1105"/>
      <c r="L62" s="1106"/>
      <c r="M62" s="1143"/>
      <c r="N62" s="1143"/>
      <c r="O62" s="1143"/>
    </row>
    <row r="63" spans="1:17">
      <c r="A63" s="1143"/>
      <c r="B63" s="1145"/>
      <c r="C63" s="760" t="str">
        <f>YEAR(C7)&amp;"-"&amp;MONTH(C7)&amp;"-1"</f>
        <v>2018-2-1</v>
      </c>
      <c r="D63" s="760">
        <f>EDATE(C63,-3)</f>
        <v>43040</v>
      </c>
      <c r="E63" s="760">
        <f>EDATE(D63,-3)</f>
        <v>42948</v>
      </c>
      <c r="F63" s="760">
        <f t="shared" ref="F63:O63" si="18">EDATE(E63,-3)</f>
        <v>42856</v>
      </c>
      <c r="G63" s="760">
        <f t="shared" si="18"/>
        <v>42767</v>
      </c>
      <c r="H63" s="760">
        <f t="shared" si="18"/>
        <v>42675</v>
      </c>
      <c r="I63" s="760">
        <f t="shared" si="18"/>
        <v>42583</v>
      </c>
      <c r="J63" s="760">
        <f t="shared" si="18"/>
        <v>42491</v>
      </c>
      <c r="K63" s="760">
        <f t="shared" si="18"/>
        <v>42401</v>
      </c>
      <c r="L63" s="760">
        <f t="shared" si="18"/>
        <v>42309</v>
      </c>
      <c r="M63" s="760">
        <f t="shared" si="18"/>
        <v>42217</v>
      </c>
      <c r="N63" s="760">
        <f t="shared" si="18"/>
        <v>42125</v>
      </c>
      <c r="O63" s="760">
        <f t="shared" si="18"/>
        <v>42036</v>
      </c>
    </row>
    <row r="64" spans="1:17" ht="21.75" thickBot="1">
      <c r="A64" s="762" t="s">
        <v>2662</v>
      </c>
      <c r="B64" s="758"/>
      <c r="C64" s="763"/>
      <c r="D64" s="763"/>
      <c r="E64" s="763"/>
      <c r="F64" s="764"/>
      <c r="G64" s="764"/>
      <c r="H64" s="763"/>
      <c r="I64" s="763"/>
      <c r="J64" s="763"/>
      <c r="K64" s="765"/>
      <c r="L64" s="766"/>
      <c r="M64" s="763"/>
      <c r="N64" s="763"/>
      <c r="O64" s="1158"/>
      <c r="P64" s="503"/>
      <c r="Q64" s="504"/>
    </row>
    <row r="65" spans="1:17" s="508" customFormat="1" ht="15">
      <c r="A65" s="2706" t="s">
        <v>2770</v>
      </c>
      <c r="B65" s="1358"/>
      <c r="C65" s="1571" t="str">
        <f>YEAR(C63)&amp;"-"&amp;ROUNDUP(MONTH(C63)/3,0)</f>
        <v>2018-1</v>
      </c>
      <c r="D65" s="1571" t="str">
        <f t="shared" ref="D65:O65" si="19">YEAR(D63)&amp;"-"&amp;ROUNDUP(MONTH(D63)/3,0)</f>
        <v>2017-4</v>
      </c>
      <c r="E65" s="1571" t="str">
        <f t="shared" si="19"/>
        <v>2017-3</v>
      </c>
      <c r="F65" s="1571" t="str">
        <f t="shared" si="19"/>
        <v>2017-2</v>
      </c>
      <c r="G65" s="1571" t="str">
        <f t="shared" si="19"/>
        <v>2017-1</v>
      </c>
      <c r="H65" s="1571" t="str">
        <f t="shared" si="19"/>
        <v>2016-4</v>
      </c>
      <c r="I65" s="1571" t="str">
        <f t="shared" si="19"/>
        <v>2016-3</v>
      </c>
      <c r="J65" s="1571" t="str">
        <f t="shared" si="19"/>
        <v>2016-2</v>
      </c>
      <c r="K65" s="1571" t="str">
        <f t="shared" si="19"/>
        <v>2016-1</v>
      </c>
      <c r="L65" s="1571" t="str">
        <f t="shared" si="19"/>
        <v>2015-4</v>
      </c>
      <c r="M65" s="1571" t="str">
        <f t="shared" si="19"/>
        <v>2015-3</v>
      </c>
      <c r="N65" s="1571" t="str">
        <f t="shared" si="19"/>
        <v>2015-2</v>
      </c>
      <c r="O65" s="1571" t="str">
        <f t="shared" si="19"/>
        <v>2015-1</v>
      </c>
      <c r="P65" s="507"/>
    </row>
    <row r="66" spans="1:17" s="117" customFormat="1" ht="30.75" customHeight="1">
      <c r="A66" s="2711" t="s">
        <v>2790</v>
      </c>
      <c r="B66" s="332" t="str">
        <f>"北京市平均增长率"&amp;TEXT(基准地价修正!P24,"0.00%")</f>
        <v>北京市平均增长率1.31%</v>
      </c>
      <c r="C66" s="603">
        <v>100</v>
      </c>
      <c r="D66" s="595"/>
      <c r="E66" s="595"/>
      <c r="F66" s="595"/>
      <c r="G66" s="595"/>
      <c r="H66" s="595"/>
      <c r="I66" s="595"/>
      <c r="J66" s="595"/>
      <c r="K66" s="595"/>
      <c r="L66" s="595"/>
      <c r="M66" s="1566"/>
      <c r="N66" s="1566"/>
      <c r="O66" s="1568"/>
      <c r="P66" s="504"/>
    </row>
    <row r="67" spans="1:17" s="117" customFormat="1" ht="15.75" thickBot="1">
      <c r="A67" s="515" t="s">
        <v>2573</v>
      </c>
      <c r="B67" s="516"/>
      <c r="C67" s="517"/>
      <c r="D67" s="518"/>
      <c r="E67" s="518"/>
      <c r="F67" s="518"/>
      <c r="G67" s="518"/>
      <c r="H67" s="518"/>
      <c r="I67" s="518"/>
      <c r="J67" s="518"/>
      <c r="K67" s="518"/>
      <c r="L67" s="518"/>
      <c r="M67" s="519"/>
      <c r="N67" s="519"/>
      <c r="O67" s="520"/>
      <c r="P67" s="504"/>
      <c r="Q67" s="504"/>
    </row>
    <row r="68" spans="1:17" s="117" customFormat="1" ht="15">
      <c r="A68" s="521" t="s">
        <v>2538</v>
      </c>
      <c r="B68" s="510"/>
      <c r="C68" s="522" t="s">
        <v>2640</v>
      </c>
      <c r="D68" s="523"/>
      <c r="E68" s="523"/>
      <c r="F68" s="523"/>
      <c r="G68" s="523"/>
      <c r="H68" s="523"/>
      <c r="I68" s="523"/>
      <c r="J68" s="523"/>
      <c r="K68" s="523"/>
      <c r="L68" s="524"/>
      <c r="M68" s="525"/>
      <c r="N68" s="1150"/>
      <c r="O68" s="1150"/>
      <c r="P68" s="526"/>
      <c r="Q68" s="504"/>
    </row>
    <row r="69" spans="1:17" s="117" customFormat="1" ht="15.75" thickBot="1">
      <c r="A69" s="521"/>
      <c r="B69" s="510"/>
      <c r="C69" s="639">
        <v>100</v>
      </c>
      <c r="D69" s="512"/>
      <c r="E69" s="512"/>
      <c r="F69" s="512"/>
      <c r="G69" s="512"/>
      <c r="H69" s="512"/>
      <c r="I69" s="512"/>
      <c r="J69" s="512"/>
      <c r="K69" s="512"/>
      <c r="L69" s="512"/>
      <c r="M69" s="514"/>
      <c r="N69" s="1150"/>
      <c r="O69" s="1150"/>
      <c r="P69" s="504"/>
      <c r="Q69" s="504"/>
    </row>
    <row r="70" spans="1:17">
      <c r="A70" s="527" t="s">
        <v>2576</v>
      </c>
      <c r="B70" s="528" t="s">
        <v>2542</v>
      </c>
      <c r="C70" s="530"/>
      <c r="D70" s="530"/>
      <c r="E70" s="530"/>
      <c r="F70" s="530"/>
      <c r="G70" s="530"/>
      <c r="H70" s="530"/>
      <c r="I70" s="530"/>
      <c r="J70" s="530"/>
      <c r="K70" s="531"/>
      <c r="L70" s="532"/>
      <c r="M70" s="533"/>
      <c r="N70" s="1151"/>
      <c r="O70" s="1151"/>
      <c r="P70" s="45"/>
      <c r="Q70" s="504"/>
    </row>
    <row r="71" spans="1:17" ht="15.75" thickBot="1">
      <c r="A71" s="534"/>
      <c r="B71" s="535"/>
      <c r="C71" s="536"/>
      <c r="D71" s="536"/>
      <c r="E71" s="536"/>
      <c r="F71" s="536"/>
      <c r="G71" s="536"/>
      <c r="H71" s="536"/>
      <c r="I71" s="536"/>
      <c r="J71" s="536"/>
      <c r="K71" s="536"/>
      <c r="L71" s="536"/>
      <c r="M71" s="537"/>
      <c r="N71" s="1152"/>
      <c r="O71" s="1152"/>
      <c r="P71" s="45"/>
      <c r="Q71" s="504"/>
    </row>
    <row r="72" spans="1:17" ht="27.75" thickTop="1">
      <c r="A72" s="534"/>
      <c r="B72" s="538" t="s">
        <v>2545</v>
      </c>
      <c r="C72" s="539"/>
      <c r="D72" s="539"/>
      <c r="E72" s="539"/>
      <c r="F72" s="539"/>
      <c r="G72" s="539"/>
      <c r="H72" s="539"/>
      <c r="I72" s="539"/>
      <c r="J72" s="539"/>
      <c r="K72" s="540"/>
      <c r="L72" s="541"/>
      <c r="M72" s="542"/>
      <c r="N72" s="1151"/>
      <c r="O72" s="1151"/>
      <c r="P72" s="45"/>
      <c r="Q72" s="504"/>
    </row>
    <row r="73" spans="1:17" ht="15.75" thickBot="1">
      <c r="A73" s="534"/>
      <c r="B73" s="543"/>
      <c r="C73" s="544"/>
      <c r="D73" s="544"/>
      <c r="E73" s="544"/>
      <c r="F73" s="544"/>
      <c r="G73" s="544"/>
      <c r="H73" s="544"/>
      <c r="I73" s="544"/>
      <c r="J73" s="544"/>
      <c r="K73" s="544"/>
      <c r="L73" s="544"/>
      <c r="M73" s="545"/>
      <c r="N73" s="1152"/>
      <c r="O73" s="1152"/>
      <c r="P73" s="45"/>
      <c r="Q73" s="504"/>
    </row>
    <row r="74" spans="1:17" ht="15.75" thickTop="1">
      <c r="A74" s="534"/>
      <c r="B74" s="546" t="s">
        <v>2546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2"/>
      <c r="O74" s="1152"/>
      <c r="P74" s="45"/>
      <c r="Q74" s="504"/>
    </row>
    <row r="75" spans="1:17" ht="15">
      <c r="A75" s="534"/>
      <c r="B75" s="548"/>
      <c r="C75" s="549"/>
      <c r="D75" s="549"/>
      <c r="E75" s="549"/>
      <c r="F75" s="549"/>
      <c r="G75" s="549"/>
      <c r="H75" s="549"/>
      <c r="I75" s="549"/>
      <c r="J75" s="549"/>
      <c r="K75" s="550"/>
      <c r="L75" s="551"/>
      <c r="M75" s="552"/>
      <c r="N75" s="1151"/>
      <c r="O75" s="1151"/>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2"/>
      <c r="O76" s="1152"/>
      <c r="P76" s="45"/>
      <c r="Q76" s="504"/>
    </row>
    <row r="77" spans="1:17" s="471" customFormat="1" ht="15.75" thickTop="1">
      <c r="A77" s="553"/>
      <c r="B77" s="538">
        <f>B12</f>
        <v>111</v>
      </c>
      <c r="C77" s="554"/>
      <c r="D77" s="554"/>
      <c r="E77" s="554"/>
      <c r="F77" s="554"/>
      <c r="G77" s="554"/>
      <c r="H77" s="555"/>
      <c r="I77" s="555"/>
      <c r="J77" s="555"/>
      <c r="K77" s="555"/>
      <c r="L77" s="556"/>
      <c r="M77" s="557"/>
      <c r="N77" s="1153"/>
      <c r="O77" s="1153"/>
      <c r="P77" s="558"/>
      <c r="Q77" s="559"/>
    </row>
    <row r="78" spans="1:17" s="471" customFormat="1" ht="15.75" thickBot="1">
      <c r="A78" s="553"/>
      <c r="B78" s="543"/>
      <c r="C78" s="560"/>
      <c r="D78" s="536"/>
      <c r="E78" s="536"/>
      <c r="F78" s="536"/>
      <c r="G78" s="536"/>
      <c r="H78" s="536"/>
      <c r="I78" s="536"/>
      <c r="J78" s="536"/>
      <c r="K78" s="536"/>
      <c r="L78" s="536"/>
      <c r="M78" s="537"/>
      <c r="N78" s="1152"/>
      <c r="O78" s="1152"/>
      <c r="P78" s="558"/>
      <c r="Q78" s="559"/>
    </row>
    <row r="79" spans="1:17" s="471" customFormat="1" ht="15.75" thickTop="1">
      <c r="A79" s="553"/>
      <c r="B79" s="538">
        <f>B13</f>
        <v>111</v>
      </c>
      <c r="C79" s="554"/>
      <c r="D79" s="554"/>
      <c r="E79" s="554"/>
      <c r="F79" s="554"/>
      <c r="G79" s="554"/>
      <c r="H79" s="555"/>
      <c r="I79" s="555"/>
      <c r="J79" s="555"/>
      <c r="K79" s="555"/>
      <c r="L79" s="556"/>
      <c r="M79" s="557"/>
      <c r="N79" s="1153"/>
      <c r="O79" s="1153"/>
      <c r="P79" s="470"/>
      <c r="Q79" s="561"/>
    </row>
    <row r="80" spans="1:17" s="471" customFormat="1" ht="15.75" thickBot="1">
      <c r="A80" s="553"/>
      <c r="B80" s="543"/>
      <c r="C80" s="560"/>
      <c r="D80" s="560"/>
      <c r="E80" s="560"/>
      <c r="F80" s="560"/>
      <c r="G80" s="560"/>
      <c r="H80" s="562"/>
      <c r="I80" s="562"/>
      <c r="J80" s="562"/>
      <c r="K80" s="562"/>
      <c r="L80" s="562"/>
      <c r="M80" s="563"/>
      <c r="N80" s="1153"/>
      <c r="O80" s="1153"/>
      <c r="P80" s="558"/>
      <c r="Q80" s="559"/>
    </row>
    <row r="81" spans="1:17" s="471" customFormat="1" ht="15.75" thickTop="1">
      <c r="A81" s="553"/>
      <c r="B81" s="546">
        <f>B14</f>
        <v>111</v>
      </c>
      <c r="C81" s="523"/>
      <c r="D81" s="523"/>
      <c r="E81" s="523"/>
      <c r="F81" s="523"/>
      <c r="G81" s="523"/>
      <c r="H81" s="564"/>
      <c r="I81" s="564"/>
      <c r="J81" s="564"/>
      <c r="K81" s="564"/>
      <c r="L81" s="565"/>
      <c r="M81" s="566"/>
      <c r="N81" s="1153"/>
      <c r="O81" s="1153"/>
      <c r="P81" s="567"/>
      <c r="Q81" s="559"/>
    </row>
    <row r="82" spans="1:17" s="471" customFormat="1" ht="15.75" thickBot="1">
      <c r="A82" s="568"/>
      <c r="B82" s="569"/>
      <c r="C82" s="570"/>
      <c r="D82" s="570"/>
      <c r="E82" s="570"/>
      <c r="F82" s="570"/>
      <c r="G82" s="570"/>
      <c r="H82" s="571"/>
      <c r="I82" s="571"/>
      <c r="J82" s="571"/>
      <c r="K82" s="571"/>
      <c r="L82" s="571"/>
      <c r="M82" s="572"/>
      <c r="N82" s="1153"/>
      <c r="O82" s="1153"/>
      <c r="P82" s="558"/>
      <c r="Q82" s="559"/>
    </row>
    <row r="83" spans="1:17">
      <c r="A83" s="527" t="s">
        <v>2547</v>
      </c>
      <c r="B83" s="528" t="s">
        <v>2693</v>
      </c>
      <c r="C83" s="573" t="s">
        <v>2585</v>
      </c>
      <c r="D83" s="573" t="s">
        <v>2586</v>
      </c>
      <c r="E83" s="573" t="s">
        <v>2587</v>
      </c>
      <c r="F83" s="573" t="s">
        <v>2588</v>
      </c>
      <c r="G83" s="573" t="s">
        <v>2589</v>
      </c>
      <c r="H83" s="529"/>
      <c r="I83" s="529"/>
      <c r="J83" s="529"/>
      <c r="K83" s="574"/>
      <c r="L83" s="575"/>
      <c r="M83" s="576"/>
      <c r="N83" s="1151"/>
      <c r="O83" s="1151"/>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2"/>
      <c r="O84" s="1152"/>
      <c r="P84" s="45"/>
      <c r="Q84" s="504"/>
    </row>
    <row r="85" spans="1:17" ht="15.75" thickTop="1">
      <c r="A85" s="534"/>
      <c r="B85" s="538" t="s">
        <v>2590</v>
      </c>
      <c r="C85" s="578" t="s">
        <v>2585</v>
      </c>
      <c r="D85" s="578" t="s">
        <v>2586</v>
      </c>
      <c r="E85" s="578" t="s">
        <v>2587</v>
      </c>
      <c r="F85" s="578" t="s">
        <v>2588</v>
      </c>
      <c r="G85" s="578" t="s">
        <v>2589</v>
      </c>
      <c r="H85" s="539"/>
      <c r="I85" s="539"/>
      <c r="J85" s="539"/>
      <c r="K85" s="540"/>
      <c r="L85" s="541"/>
      <c r="M85" s="542"/>
      <c r="N85" s="1151"/>
      <c r="O85" s="1151"/>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2"/>
      <c r="O86" s="1152"/>
      <c r="P86" s="45"/>
      <c r="Q86" s="504"/>
    </row>
    <row r="87" spans="1:17" s="117" customFormat="1" ht="15.75" thickTop="1">
      <c r="A87" s="579"/>
      <c r="B87" s="538" t="s">
        <v>2773</v>
      </c>
      <c r="C87" s="573" t="s">
        <v>2585</v>
      </c>
      <c r="D87" s="573" t="s">
        <v>2586</v>
      </c>
      <c r="E87" s="573" t="s">
        <v>2587</v>
      </c>
      <c r="F87" s="573" t="s">
        <v>2588</v>
      </c>
      <c r="G87" s="573" t="s">
        <v>2589</v>
      </c>
      <c r="H87" s="578"/>
      <c r="I87" s="578"/>
      <c r="J87" s="578"/>
      <c r="K87" s="578"/>
      <c r="L87" s="698"/>
      <c r="M87" s="622"/>
      <c r="N87" s="1150"/>
      <c r="O87" s="1150"/>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2"/>
      <c r="O88" s="1152"/>
      <c r="P88" s="45"/>
      <c r="Q88" s="504"/>
    </row>
    <row r="89" spans="1:17" s="117" customFormat="1" ht="27.75" thickTop="1">
      <c r="A89" s="579"/>
      <c r="B89" s="538" t="s">
        <v>2774</v>
      </c>
      <c r="C89" s="573" t="s">
        <v>2585</v>
      </c>
      <c r="D89" s="573" t="s">
        <v>2586</v>
      </c>
      <c r="E89" s="573" t="s">
        <v>2587</v>
      </c>
      <c r="F89" s="573" t="s">
        <v>2588</v>
      </c>
      <c r="G89" s="573" t="s">
        <v>2589</v>
      </c>
      <c r="H89" s="578"/>
      <c r="I89" s="578"/>
      <c r="J89" s="578"/>
      <c r="K89" s="578"/>
      <c r="L89" s="578"/>
      <c r="M89" s="622"/>
      <c r="N89" s="1150"/>
      <c r="O89" s="1150"/>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2"/>
      <c r="O90" s="1152"/>
      <c r="P90" s="45"/>
      <c r="Q90" s="504"/>
    </row>
    <row r="91" spans="1:17" s="471" customFormat="1" ht="15.75" thickTop="1">
      <c r="A91" s="553"/>
      <c r="B91" s="538" t="s">
        <v>2642</v>
      </c>
      <c r="C91" s="573" t="s">
        <v>2585</v>
      </c>
      <c r="D91" s="573" t="s">
        <v>2586</v>
      </c>
      <c r="E91" s="573" t="s">
        <v>2587</v>
      </c>
      <c r="F91" s="573" t="s">
        <v>2588</v>
      </c>
      <c r="G91" s="573" t="s">
        <v>2589</v>
      </c>
      <c r="H91" s="600"/>
      <c r="I91" s="600"/>
      <c r="J91" s="600"/>
      <c r="K91" s="600"/>
      <c r="L91" s="601"/>
      <c r="M91" s="602"/>
      <c r="N91" s="1153"/>
      <c r="O91" s="1153"/>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3"/>
      <c r="O92" s="1153"/>
      <c r="P92" s="558"/>
      <c r="Q92" s="559"/>
    </row>
    <row r="93" spans="1:17" s="471" customFormat="1" ht="15.75" thickTop="1">
      <c r="A93" s="553"/>
      <c r="B93" s="546" t="s">
        <v>2791</v>
      </c>
      <c r="C93" s="660" t="s">
        <v>2663</v>
      </c>
      <c r="D93" s="660" t="s">
        <v>2664</v>
      </c>
      <c r="E93" s="660" t="s">
        <v>2665</v>
      </c>
      <c r="F93" s="660" t="s">
        <v>2666</v>
      </c>
      <c r="G93" s="660" t="s">
        <v>2667</v>
      </c>
      <c r="H93" s="600"/>
      <c r="I93" s="600"/>
      <c r="J93" s="600"/>
      <c r="K93" s="600"/>
      <c r="L93" s="600"/>
      <c r="M93" s="602"/>
      <c r="N93" s="1153"/>
      <c r="O93" s="1153"/>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4"/>
      <c r="N94" s="1153"/>
      <c r="O94" s="1153"/>
      <c r="P94" s="558"/>
      <c r="Q94" s="559"/>
    </row>
    <row r="95" spans="1:17" ht="15.75" thickTop="1">
      <c r="A95" s="534"/>
      <c r="B95" s="538" t="str">
        <f>B27</f>
        <v>临街状况</v>
      </c>
      <c r="C95" s="539" t="s">
        <v>2775</v>
      </c>
      <c r="D95" s="539" t="s">
        <v>2776</v>
      </c>
      <c r="E95" s="539" t="s">
        <v>2777</v>
      </c>
      <c r="F95" s="539" t="s">
        <v>2778</v>
      </c>
      <c r="G95" s="539"/>
      <c r="H95" s="539"/>
      <c r="I95" s="539"/>
      <c r="J95" s="539"/>
      <c r="K95" s="540"/>
      <c r="L95" s="541"/>
      <c r="M95" s="542"/>
      <c r="N95" s="1151"/>
      <c r="O95" s="1151"/>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2"/>
      <c r="O96" s="1152"/>
      <c r="P96" s="45"/>
      <c r="Q96" s="504"/>
    </row>
    <row r="97" spans="1:17" ht="27.75" thickTop="1">
      <c r="A97" s="534"/>
      <c r="B97" s="538" t="s">
        <v>2679</v>
      </c>
      <c r="C97" s="554"/>
      <c r="D97" s="554"/>
      <c r="E97" s="554"/>
      <c r="F97" s="554"/>
      <c r="G97" s="554"/>
      <c r="H97" s="583"/>
      <c r="I97" s="583"/>
      <c r="J97" s="583"/>
      <c r="K97" s="584"/>
      <c r="L97" s="585"/>
      <c r="M97" s="586"/>
      <c r="N97" s="1151"/>
      <c r="O97" s="1151"/>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2"/>
      <c r="O98" s="1152"/>
      <c r="P98" s="45"/>
      <c r="Q98" s="504"/>
    </row>
    <row r="99" spans="1:17" ht="15.75" thickTop="1">
      <c r="A99" s="534"/>
      <c r="B99" s="538" t="s">
        <v>2738</v>
      </c>
      <c r="C99" s="583"/>
      <c r="D99" s="583"/>
      <c r="E99" s="583"/>
      <c r="F99" s="583"/>
      <c r="G99" s="583"/>
      <c r="H99" s="583"/>
      <c r="I99" s="583"/>
      <c r="J99" s="583"/>
      <c r="K99" s="584"/>
      <c r="L99" s="585"/>
      <c r="M99" s="586"/>
      <c r="N99" s="1151"/>
      <c r="O99" s="1151"/>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2"/>
      <c r="O100" s="1152"/>
      <c r="P100" s="45"/>
      <c r="Q100" s="504"/>
    </row>
    <row r="101" spans="1:17" ht="15.75" thickTop="1">
      <c r="A101" s="534"/>
      <c r="B101" s="546">
        <f>B31</f>
        <v>111</v>
      </c>
      <c r="C101" s="554"/>
      <c r="D101" s="554"/>
      <c r="E101" s="554"/>
      <c r="F101" s="554"/>
      <c r="G101" s="587"/>
      <c r="H101" s="587"/>
      <c r="I101" s="587"/>
      <c r="J101" s="587"/>
      <c r="K101" s="588"/>
      <c r="L101" s="589"/>
      <c r="M101" s="590"/>
      <c r="N101" s="1151"/>
      <c r="O101" s="1151"/>
      <c r="P101" s="45"/>
      <c r="Q101" s="504"/>
    </row>
    <row r="102" spans="1:17" ht="15.75" thickBot="1">
      <c r="A102" s="534"/>
      <c r="B102" s="569"/>
      <c r="C102" s="560"/>
      <c r="D102" s="536"/>
      <c r="E102" s="536"/>
      <c r="F102" s="536"/>
      <c r="G102" s="591"/>
      <c r="H102" s="591"/>
      <c r="I102" s="591"/>
      <c r="J102" s="591"/>
      <c r="K102" s="591"/>
      <c r="L102" s="591"/>
      <c r="M102" s="592"/>
      <c r="N102" s="1152"/>
      <c r="O102" s="1152"/>
      <c r="P102" s="45"/>
      <c r="Q102" s="504"/>
    </row>
    <row r="103" spans="1:17" ht="15" thickTop="1">
      <c r="A103" s="675"/>
      <c r="B103" s="538">
        <f>B32</f>
        <v>111</v>
      </c>
      <c r="C103" s="554"/>
      <c r="D103" s="554"/>
      <c r="E103" s="554"/>
      <c r="F103" s="554"/>
      <c r="G103" s="583"/>
      <c r="H103" s="583"/>
      <c r="I103" s="583"/>
      <c r="J103" s="583"/>
      <c r="K103" s="584"/>
      <c r="L103" s="585"/>
      <c r="M103" s="586"/>
      <c r="N103" s="1151"/>
      <c r="O103" s="1151"/>
      <c r="P103" s="45"/>
      <c r="Q103" s="504"/>
    </row>
    <row r="104" spans="1:17" ht="15.75" thickBot="1">
      <c r="A104" s="534"/>
      <c r="B104" s="543"/>
      <c r="C104" s="560"/>
      <c r="D104" s="560"/>
      <c r="E104" s="560"/>
      <c r="F104" s="560"/>
      <c r="G104" s="536"/>
      <c r="H104" s="536"/>
      <c r="I104" s="536"/>
      <c r="J104" s="536"/>
      <c r="K104" s="536"/>
      <c r="L104" s="536"/>
      <c r="M104" s="537"/>
      <c r="N104" s="1152"/>
      <c r="O104" s="1152"/>
      <c r="P104" s="45"/>
      <c r="Q104" s="504"/>
    </row>
    <row r="105" spans="1:17" s="471" customFormat="1" ht="15" thickTop="1">
      <c r="A105" s="593"/>
      <c r="B105" s="594">
        <f>B33</f>
        <v>111</v>
      </c>
      <c r="C105" s="523"/>
      <c r="D105" s="523"/>
      <c r="E105" s="523"/>
      <c r="F105" s="523"/>
      <c r="G105" s="595"/>
      <c r="H105" s="595"/>
      <c r="I105" s="595"/>
      <c r="J105" s="596"/>
      <c r="K105" s="596"/>
      <c r="L105" s="597"/>
      <c r="M105" s="598"/>
      <c r="N105" s="1153"/>
      <c r="O105" s="1153"/>
      <c r="P105" s="558"/>
      <c r="Q105" s="559"/>
    </row>
    <row r="106" spans="1:17" s="471" customFormat="1" ht="15.75" thickBot="1">
      <c r="A106" s="553"/>
      <c r="B106" s="546"/>
      <c r="C106" s="570"/>
      <c r="D106" s="570"/>
      <c r="E106" s="570"/>
      <c r="F106" s="570"/>
      <c r="G106" s="677"/>
      <c r="H106" s="677"/>
      <c r="I106" s="677"/>
      <c r="J106" s="677"/>
      <c r="K106" s="677"/>
      <c r="L106" s="677"/>
      <c r="M106" s="699"/>
      <c r="N106" s="1152"/>
      <c r="O106" s="1152"/>
      <c r="P106" s="558"/>
      <c r="Q106" s="559"/>
    </row>
    <row r="107" spans="1:17">
      <c r="A107" s="527" t="s">
        <v>2551</v>
      </c>
      <c r="B107" s="528" t="s">
        <v>2779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5" t="str">
        <f t="shared" si="25"/>
        <v>(含)-</v>
      </c>
      <c r="L107" s="1765" t="str">
        <f t="shared" si="25"/>
        <v>(含)-</v>
      </c>
      <c r="M107" s="1766" t="str">
        <f>M108&amp;"(含)"&amp;"-"&amp;P108</f>
        <v>(含)-</v>
      </c>
      <c r="N107" s="1151"/>
      <c r="O107" s="1151"/>
      <c r="P107" s="45"/>
      <c r="Q107" s="504"/>
    </row>
    <row r="108" spans="1:17" ht="15">
      <c r="A108" s="534"/>
      <c r="B108" s="546"/>
      <c r="C108" s="595"/>
      <c r="D108" s="595"/>
      <c r="E108" s="595"/>
      <c r="F108" s="595"/>
      <c r="G108" s="595"/>
      <c r="H108" s="595"/>
      <c r="I108" s="595"/>
      <c r="J108" s="596"/>
      <c r="K108" s="596"/>
      <c r="L108" s="597"/>
      <c r="M108" s="598"/>
      <c r="N108" s="1151"/>
      <c r="O108" s="1151"/>
      <c r="P108" s="45"/>
      <c r="Q108" s="504"/>
    </row>
    <row r="109" spans="1:17" ht="15.75" thickBot="1">
      <c r="A109" s="534"/>
      <c r="B109" s="543"/>
      <c r="C109" s="570"/>
      <c r="D109" s="591"/>
      <c r="E109" s="591"/>
      <c r="F109" s="591"/>
      <c r="G109" s="591"/>
      <c r="H109" s="591"/>
      <c r="I109" s="591"/>
      <c r="J109" s="591"/>
      <c r="K109" s="591"/>
      <c r="L109" s="591"/>
      <c r="M109" s="592"/>
      <c r="N109" s="1152"/>
      <c r="O109" s="1152"/>
      <c r="P109" s="45"/>
      <c r="Q109" s="504"/>
    </row>
    <row r="110" spans="1:17" ht="15" thickTop="1">
      <c r="A110" s="599"/>
      <c r="B110" s="538" t="s">
        <v>2780</v>
      </c>
      <c r="C110" s="583"/>
      <c r="D110" s="583"/>
      <c r="E110" s="583"/>
      <c r="F110" s="583"/>
      <c r="G110" s="583"/>
      <c r="H110" s="583"/>
      <c r="I110" s="583"/>
      <c r="J110" s="583"/>
      <c r="K110" s="584"/>
      <c r="L110" s="585"/>
      <c r="M110" s="586"/>
      <c r="N110" s="1151"/>
      <c r="O110" s="1151"/>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2"/>
      <c r="O111" s="1152"/>
      <c r="P111" s="45"/>
      <c r="Q111" s="504"/>
    </row>
    <row r="112" spans="1:17" s="471" customFormat="1" ht="15" thickTop="1">
      <c r="A112" s="593"/>
      <c r="B112" s="538" t="s">
        <v>2782</v>
      </c>
      <c r="C112" s="554"/>
      <c r="D112" s="554"/>
      <c r="E112" s="554"/>
      <c r="F112" s="554"/>
      <c r="G112" s="554"/>
      <c r="H112" s="583"/>
      <c r="I112" s="583"/>
      <c r="J112" s="583"/>
      <c r="K112" s="584"/>
      <c r="L112" s="585"/>
      <c r="M112" s="586"/>
      <c r="N112" s="1153"/>
      <c r="O112" s="1153"/>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3"/>
      <c r="O113" s="1153"/>
      <c r="P113" s="558"/>
      <c r="Q113" s="559"/>
    </row>
    <row r="114" spans="1:17" ht="15" thickTop="1">
      <c r="A114" s="599"/>
      <c r="B114" s="538" t="s">
        <v>2783</v>
      </c>
      <c r="C114" s="554"/>
      <c r="D114" s="554"/>
      <c r="E114" s="583"/>
      <c r="F114" s="583"/>
      <c r="G114" s="583"/>
      <c r="H114" s="583"/>
      <c r="I114" s="583"/>
      <c r="J114" s="583"/>
      <c r="K114" s="584"/>
      <c r="L114" s="585"/>
      <c r="M114" s="586"/>
      <c r="N114" s="1151"/>
      <c r="O114" s="1151"/>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45"/>
      <c r="Q115" s="504"/>
    </row>
    <row r="116" spans="1:17" ht="15" thickTop="1">
      <c r="A116" s="599"/>
      <c r="B116" s="538">
        <f>B38</f>
        <v>111</v>
      </c>
      <c r="C116" s="554"/>
      <c r="D116" s="554"/>
      <c r="E116" s="554"/>
      <c r="F116" s="554"/>
      <c r="G116" s="554"/>
      <c r="H116" s="583"/>
      <c r="I116" s="583"/>
      <c r="J116" s="583"/>
      <c r="K116" s="584"/>
      <c r="L116" s="585"/>
      <c r="M116" s="586"/>
      <c r="N116" s="1151"/>
      <c r="O116" s="1151"/>
      <c r="P116" s="45"/>
      <c r="Q116" s="504"/>
    </row>
    <row r="117" spans="1:17" ht="15.75" thickBot="1">
      <c r="A117" s="534"/>
      <c r="B117" s="543"/>
      <c r="C117" s="560"/>
      <c r="D117" s="536"/>
      <c r="E117" s="536"/>
      <c r="F117" s="536"/>
      <c r="G117" s="536"/>
      <c r="H117" s="536"/>
      <c r="I117" s="536"/>
      <c r="J117" s="536"/>
      <c r="K117" s="536"/>
      <c r="L117" s="536"/>
      <c r="M117" s="537"/>
      <c r="N117" s="1152"/>
      <c r="O117" s="1152"/>
      <c r="P117" s="45"/>
      <c r="Q117" s="504"/>
    </row>
    <row r="118" spans="1:17" ht="15" thickTop="1">
      <c r="A118" s="599"/>
      <c r="B118" s="538">
        <f>B39</f>
        <v>111</v>
      </c>
      <c r="C118" s="554"/>
      <c r="D118" s="554"/>
      <c r="E118" s="554"/>
      <c r="F118" s="554"/>
      <c r="G118" s="583"/>
      <c r="H118" s="583"/>
      <c r="I118" s="583"/>
      <c r="J118" s="583"/>
      <c r="K118" s="584"/>
      <c r="L118" s="585"/>
      <c r="M118" s="586"/>
      <c r="N118" s="1151"/>
      <c r="O118" s="1151"/>
      <c r="P118" s="45"/>
      <c r="Q118" s="504"/>
    </row>
    <row r="119" spans="1:17" ht="15.75" thickBot="1">
      <c r="A119" s="534"/>
      <c r="B119" s="543"/>
      <c r="C119" s="560"/>
      <c r="D119" s="560"/>
      <c r="E119" s="560"/>
      <c r="F119" s="560"/>
      <c r="G119" s="536"/>
      <c r="H119" s="536"/>
      <c r="I119" s="536"/>
      <c r="J119" s="536"/>
      <c r="K119" s="536"/>
      <c r="L119" s="536"/>
      <c r="M119" s="537"/>
      <c r="N119" s="1152"/>
      <c r="O119" s="1152"/>
      <c r="P119" s="45"/>
      <c r="Q119" s="504"/>
    </row>
    <row r="120" spans="1:17" s="471" customFormat="1" ht="15" thickTop="1">
      <c r="A120" s="593"/>
      <c r="B120" s="538">
        <f>B40</f>
        <v>111</v>
      </c>
      <c r="C120" s="523"/>
      <c r="D120" s="523"/>
      <c r="E120" s="523"/>
      <c r="F120" s="523"/>
      <c r="G120" s="555"/>
      <c r="H120" s="555"/>
      <c r="I120" s="555"/>
      <c r="J120" s="555"/>
      <c r="K120" s="555"/>
      <c r="L120" s="556"/>
      <c r="M120" s="557"/>
      <c r="N120" s="1153"/>
      <c r="O120" s="1153"/>
      <c r="P120" s="558"/>
      <c r="Q120" s="559"/>
    </row>
    <row r="121" spans="1:17" s="471" customFormat="1" ht="15.75" thickBot="1">
      <c r="A121" s="568"/>
      <c r="B121" s="700"/>
      <c r="C121" s="570"/>
      <c r="D121" s="570"/>
      <c r="E121" s="570"/>
      <c r="F121" s="570"/>
      <c r="G121" s="591"/>
      <c r="H121" s="591"/>
      <c r="I121" s="591"/>
      <c r="J121" s="591"/>
      <c r="K121" s="591"/>
      <c r="L121" s="591"/>
      <c r="M121" s="592"/>
      <c r="N121" s="1153"/>
      <c r="O121" s="1153"/>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44" priority="14" stopIfTrue="1" operator="containsText" text="超过">
      <formula>NOT(ISERROR(SEARCH("超过",F46)))</formula>
    </cfRule>
  </conditionalFormatting>
  <conditionalFormatting sqref="J48">
    <cfRule type="containsText" dxfId="43" priority="13" stopIfTrue="1" operator="containsText" text="超过">
      <formula>NOT(ISERROR(SEARCH("超过",J48)))</formula>
    </cfRule>
  </conditionalFormatting>
  <conditionalFormatting sqref="H48">
    <cfRule type="containsText" dxfId="42" priority="12" stopIfTrue="1" operator="containsText" text="超过">
      <formula>NOT(ISERROR(SEARCH("超过",H48)))</formula>
    </cfRule>
  </conditionalFormatting>
  <conditionalFormatting sqref="F48">
    <cfRule type="containsText" dxfId="41" priority="11" stopIfTrue="1" operator="containsText" text="超过">
      <formula>NOT(ISERROR(SEARCH("超过",F48)))</formula>
    </cfRule>
  </conditionalFormatting>
  <conditionalFormatting sqref="F47 H47 J47">
    <cfRule type="containsText" dxfId="40" priority="10" stopIfTrue="1" operator="containsText" text="超过">
      <formula>NOT(ISERROR(SEARCH("超过",F47)))</formula>
    </cfRule>
  </conditionalFormatting>
  <conditionalFormatting sqref="E46">
    <cfRule type="expression" dxfId="39" priority="9" stopIfTrue="1">
      <formula>$F$46="超过30%"</formula>
    </cfRule>
  </conditionalFormatting>
  <conditionalFormatting sqref="G48">
    <cfRule type="expression" dxfId="38" priority="8" stopIfTrue="1">
      <formula>$H$48="超过30%"</formula>
    </cfRule>
  </conditionalFormatting>
  <conditionalFormatting sqref="E48">
    <cfRule type="expression" dxfId="37" priority="6" stopIfTrue="1">
      <formula>$F$48="超过30%"</formula>
    </cfRule>
  </conditionalFormatting>
  <conditionalFormatting sqref="G46">
    <cfRule type="expression" dxfId="36" priority="5" stopIfTrue="1">
      <formula>$H$46="超过30%"</formula>
    </cfRule>
  </conditionalFormatting>
  <conditionalFormatting sqref="G47">
    <cfRule type="expression" dxfId="35" priority="4" stopIfTrue="1">
      <formula>$H$47="超过20%"</formula>
    </cfRule>
  </conditionalFormatting>
  <conditionalFormatting sqref="I46">
    <cfRule type="expression" dxfId="34" priority="3" stopIfTrue="1">
      <formula>$J$46="超过30%"</formula>
    </cfRule>
  </conditionalFormatting>
  <conditionalFormatting sqref="I47">
    <cfRule type="expression" dxfId="33" priority="2" stopIfTrue="1">
      <formula>$J$47="超过20%"</formula>
    </cfRule>
  </conditionalFormatting>
  <conditionalFormatting sqref="I48">
    <cfRule type="expression" dxfId="32" priority="1" stopIfTrue="1">
      <formula>$J$48="超过30%"</formula>
    </cfRule>
  </conditionalFormatting>
  <conditionalFormatting sqref="E47">
    <cfRule type="expression" dxfId="31"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75"/>
  <cols>
    <col min="1" max="1" width="9.75" style="2791" customWidth="1"/>
    <col min="2" max="2" width="19.25" style="2897" customWidth="1"/>
    <col min="3" max="4" width="12" style="2715"/>
    <col min="5" max="5" width="14.625" style="2715" customWidth="1"/>
    <col min="6" max="8" width="12" style="2715"/>
    <col min="9" max="9" width="12.25" style="2715" bestFit="1" customWidth="1"/>
    <col min="10" max="10" width="12" style="2715"/>
    <col min="11" max="11" width="8.125" style="2783" customWidth="1"/>
    <col min="12" max="12" width="12" style="2715"/>
    <col min="13" max="13" width="8.5" style="2715" customWidth="1"/>
    <col min="14" max="14" width="9.75" style="2715" customWidth="1"/>
    <col min="15" max="25" width="12" style="2715"/>
    <col min="26" max="26" width="9.375" style="2791" customWidth="1"/>
    <col min="27" max="32" width="9.375" style="1371" customWidth="1"/>
    <col min="33" max="36" width="9.375" style="2791" customWidth="1"/>
    <col min="37" max="38" width="9.375" style="2715" customWidth="1"/>
    <col min="39" max="16384" width="12" style="2715"/>
  </cols>
  <sheetData>
    <row r="1" spans="1:36" ht="28.5">
      <c r="A1" s="240" t="s">
        <v>2792</v>
      </c>
      <c r="B1" s="241"/>
      <c r="C1" s="245" t="s">
        <v>2793</v>
      </c>
      <c r="D1" s="388">
        <f>SUM(D29:D30,D33:D39)</f>
        <v>0</v>
      </c>
      <c r="E1" s="2712"/>
      <c r="F1" s="2712"/>
      <c r="G1" s="2712"/>
      <c r="H1" s="2712"/>
      <c r="I1" s="2712"/>
      <c r="J1" s="2712"/>
      <c r="K1" s="1369"/>
      <c r="L1" s="2713" t="s">
        <v>2794</v>
      </c>
      <c r="M1" s="1080">
        <f>SUMPRODUCT((区片价!B5:B9=I2)*(区片价!C3:F3=E2)*(区片价!C5:F9))</f>
        <v>0</v>
      </c>
      <c r="N1" s="1083">
        <f>SUMPRODUCT((因素修正幅度!B5:B9=I2)*(因素修正幅度!C3:F3=E2)*(因素修正幅度!C5:F9))</f>
        <v>0</v>
      </c>
      <c r="O1" s="2714"/>
      <c r="P1" s="2714"/>
      <c r="Q1" s="1369"/>
      <c r="R1" s="1601" t="s">
        <v>2795</v>
      </c>
      <c r="S1" s="1601" t="s">
        <v>2796</v>
      </c>
      <c r="T1" s="1601" t="s">
        <v>2797</v>
      </c>
      <c r="U1" s="1601" t="s">
        <v>2798</v>
      </c>
      <c r="V1" s="1601" t="s">
        <v>2799</v>
      </c>
      <c r="W1" s="1605"/>
      <c r="X1" s="1605"/>
      <c r="Y1" s="1605"/>
      <c r="Z1" s="1605"/>
      <c r="AA1" s="1605"/>
      <c r="AB1" s="1605"/>
      <c r="AC1" s="1606"/>
      <c r="AD1" s="1607"/>
      <c r="AE1" s="1607"/>
      <c r="AF1" s="1607"/>
      <c r="AG1" s="1607"/>
      <c r="AH1" s="1607"/>
      <c r="AI1" s="1607"/>
      <c r="AJ1" s="1608"/>
    </row>
    <row r="2" spans="1:36" ht="15.75">
      <c r="A2" s="245" t="s">
        <v>2800</v>
      </c>
      <c r="B2" s="248" t="e">
        <f>C26</f>
        <v>#DIV/0!</v>
      </c>
      <c r="C2" s="2716" t="s">
        <v>2801</v>
      </c>
      <c r="D2" s="2717" t="s">
        <v>2802</v>
      </c>
      <c r="E2" s="2718"/>
      <c r="F2" s="2717" t="s">
        <v>2803</v>
      </c>
      <c r="G2" s="2719">
        <f>IF(E2="商业",项目基本情况!B37,IF(E2="办公",项目基本情况!C37,IF(E2="住宅",项目基本情况!D37,项目基本情况!E37)))</f>
        <v>0</v>
      </c>
      <c r="H2" s="2717" t="s">
        <v>2804</v>
      </c>
      <c r="I2" s="2719">
        <f>IF(E2="商业",项目基本情况!B38,IF(E2="办公",项目基本情况!C38,IF(E2="住宅",项目基本情况!D38,项目基本情况!E38)))</f>
        <v>0</v>
      </c>
      <c r="J2" s="2720"/>
      <c r="K2" s="1369"/>
      <c r="L2" s="2721" t="s">
        <v>2805</v>
      </c>
      <c r="M2" s="1081">
        <f>SUMPRODUCT((区片价!B10:B28=I2)*(区片价!C3:F3=E2)*(区片价!C10:F28))</f>
        <v>0</v>
      </c>
      <c r="N2" s="1083">
        <f>SUMPRODUCT((因素修正幅度!B10:B28=I2)*(因素修正幅度!C3:F3=E2)*(因素修正幅度!C10:F28))</f>
        <v>0</v>
      </c>
      <c r="O2" s="1369"/>
      <c r="P2" s="1369"/>
      <c r="Q2" s="1369"/>
      <c r="R2" s="1601">
        <v>1</v>
      </c>
      <c r="S2" s="1601">
        <f>ROUND(IF(G3&gt;1,IF(R2&lt;7,SUMPRODUCT((B93:B98=R2)*(C92:N92=G2)*(C93:N98)),SUMIF(C92:N92,G2,C100:N100)),IF(R2&lt;7,SUMPRODUCT((B102:B107=R2)*(C92:N92=G2)*(C102:N107)),SUMIF(C92:N92,G2,C109:N109))),4)</f>
        <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7" t="s">
        <v>2806</v>
      </c>
      <c r="B3" s="248" t="e">
        <f>ROUND(B2*10000/D1,0)</f>
        <v>#DIV/0!</v>
      </c>
      <c r="C3" s="2716" t="s">
        <v>2807</v>
      </c>
      <c r="D3" s="2717" t="s">
        <v>2808</v>
      </c>
      <c r="E3" s="2722"/>
      <c r="F3" s="2723" t="s">
        <v>2809</v>
      </c>
      <c r="G3" s="915">
        <f>IF(F3="宗地容积率",'数据-汇总表'!I4,IF(F3="估价对象容积率",'数据-汇总表'!I6,'数据-汇总表'!I7))</f>
        <v>2.59</v>
      </c>
      <c r="H3" s="198" t="s">
        <v>2810</v>
      </c>
      <c r="I3" s="946"/>
      <c r="J3" s="2720" t="s">
        <v>2811</v>
      </c>
      <c r="K3" s="1369"/>
      <c r="L3" s="2721" t="s">
        <v>2812</v>
      </c>
      <c r="M3" s="1081">
        <f>SUMPRODUCT((区片价!B29:B48=I2)*(区片价!C3:F3=E2)*(区片价!C29:F48))</f>
        <v>0</v>
      </c>
      <c r="N3" s="1083">
        <f>SUMPRODUCT((因素修正幅度!B29:B48=I2)*(因素修正幅度!C3:F3=E2)*(因素修正幅度!C29:F48))</f>
        <v>0</v>
      </c>
      <c r="O3" s="1369"/>
      <c r="P3" s="1369"/>
      <c r="Q3" s="1369"/>
      <c r="R3" s="1601">
        <v>2</v>
      </c>
      <c r="S3" s="1601">
        <f>ROUND(IF(G3&gt;1,IF(R3&lt;7,SUMPRODUCT((B93:B98=R3)*(C92:N92=G2)*(C93:N98)),SUMIF(C92:N92,G2,C100:N100)),IF(R3&lt;7,SUMPRODUCT((B102:B107=R3)*(C92:N92=G2)*(C102:N107)),SUMIF(C92:N92,G2,C109:N109))),4)</f>
        <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322"/>
      <c r="B4" s="3323"/>
      <c r="C4" s="3323"/>
      <c r="D4" s="3324"/>
      <c r="E4" s="3324"/>
      <c r="F4" s="3324"/>
      <c r="G4" s="3324"/>
      <c r="H4" s="3324"/>
      <c r="I4" s="3324"/>
      <c r="J4" s="3325"/>
      <c r="K4" s="1369"/>
      <c r="L4" s="2721" t="s">
        <v>2813</v>
      </c>
      <c r="M4" s="1081">
        <f>SUMPRODUCT((区片价!B49:B75=I2)*(区片价!C3:F3=E2)*(区片价!C49:F75))</f>
        <v>0</v>
      </c>
      <c r="N4" s="1083">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3" customFormat="1" ht="15.75" thickBot="1">
      <c r="A5" s="2724" t="s">
        <v>807</v>
      </c>
      <c r="B5" s="2725" t="s">
        <v>2814</v>
      </c>
      <c r="C5" s="916" t="e">
        <f>ROUND(IF(E2="商业",IF(F16="增加",C6*C7+C16,C6*C7-C16),IF(E2="住宅",IF(F16="增加",C6*C12+C16,C6*C12-C16),IF(F16="增加",C6+C16,C6-C16))),0)</f>
        <v>#DIV/0!</v>
      </c>
      <c r="D5" s="1785">
        <f>ROUND(IF(E2="商业",IF(F16="增加",C6+C16,C6-C16)),0)</f>
        <v>0</v>
      </c>
      <c r="E5" s="2726"/>
      <c r="F5" s="2726"/>
      <c r="G5" s="2727"/>
      <c r="H5" s="2727"/>
      <c r="I5" s="2727"/>
      <c r="J5" s="2728"/>
      <c r="K5" s="2729"/>
      <c r="L5" s="2721" t="s">
        <v>2815</v>
      </c>
      <c r="M5" s="1081">
        <f>SUMPRODUCT((区片价!B76:B109=I2)*(区片价!C3:F3=E2)*(区片价!C76:F109))</f>
        <v>0</v>
      </c>
      <c r="N5" s="1083">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0</v>
      </c>
      <c r="T5" s="1601" t="e">
        <f t="shared" si="0"/>
        <v>#DIV/0!</v>
      </c>
      <c r="U5" s="1602"/>
      <c r="V5" s="1601" t="e">
        <f t="shared" si="1"/>
        <v>#DIV/0!</v>
      </c>
      <c r="W5" s="1605"/>
      <c r="X5" s="1605"/>
      <c r="Y5" s="1605"/>
      <c r="Z5" s="1605"/>
      <c r="AA5" s="1605"/>
      <c r="AB5" s="1605"/>
      <c r="AC5" s="2730"/>
      <c r="AD5" s="2731"/>
      <c r="AE5" s="2731"/>
      <c r="AF5" s="2731"/>
      <c r="AG5" s="2731"/>
      <c r="AH5" s="2731"/>
      <c r="AI5" s="2731"/>
      <c r="AJ5" s="2732"/>
    </row>
    <row r="6" spans="1:36" ht="15.75" thickBot="1">
      <c r="A6" s="2734" t="s">
        <v>2816</v>
      </c>
      <c r="B6" s="2735" t="s">
        <v>2817</v>
      </c>
      <c r="C6" s="917">
        <f>SUMIF(L1:L12,G2,M1:M12)</f>
        <v>0</v>
      </c>
      <c r="D6" s="2736" t="s">
        <v>2818</v>
      </c>
      <c r="E6" s="2737"/>
      <c r="F6" s="2737"/>
      <c r="G6" s="2738"/>
      <c r="H6" s="2738"/>
      <c r="I6" s="2738"/>
      <c r="J6" s="2739"/>
      <c r="K6" s="1840"/>
      <c r="L6" s="2721" t="s">
        <v>2819</v>
      </c>
      <c r="M6" s="1081">
        <f>SUMPRODUCT((区片价!B110:B157=I2)*(区片价!C3:F3=E2)*(区片价!C110:F157))</f>
        <v>0</v>
      </c>
      <c r="N6" s="1083">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0</v>
      </c>
      <c r="T6" s="1601" t="e">
        <f t="shared" si="0"/>
        <v>#DIV/0!</v>
      </c>
      <c r="U6" s="1602"/>
      <c r="V6" s="1601" t="e">
        <f t="shared" si="1"/>
        <v>#DIV/0!</v>
      </c>
      <c r="W6" s="1605"/>
      <c r="X6" s="1605"/>
      <c r="Y6" s="1605"/>
      <c r="Z6" s="1605"/>
      <c r="AA6" s="1605"/>
      <c r="AB6" s="1605"/>
      <c r="AC6" s="2730"/>
      <c r="AD6" s="2731"/>
      <c r="AE6" s="2731"/>
      <c r="AF6" s="2731"/>
      <c r="AG6" s="2731"/>
      <c r="AH6" s="2731"/>
      <c r="AI6" s="2731"/>
      <c r="AJ6" s="2732"/>
    </row>
    <row r="7" spans="1:36" ht="24">
      <c r="A7" s="3308" t="str">
        <f>IF(E2="商业",IF(C8="不临58条商业街","",2),"")</f>
        <v/>
      </c>
      <c r="B7" s="2740" t="s">
        <v>2820</v>
      </c>
      <c r="C7" s="918" t="e">
        <f>IF(C8="不临58条商业街",1,ROUND(1+(1.6*E8+1.2*E9+0.8*E10+0.4*E11)*C9,4))</f>
        <v>#DIV/0!</v>
      </c>
      <c r="D7" s="2741" t="s">
        <v>2821</v>
      </c>
      <c r="E7" s="947"/>
      <c r="F7" s="2742"/>
      <c r="G7" s="2743"/>
      <c r="H7" s="2743"/>
      <c r="I7" s="2743"/>
      <c r="J7" s="2744"/>
      <c r="K7" s="1840"/>
      <c r="L7" s="2721" t="s">
        <v>2822</v>
      </c>
      <c r="M7" s="1081">
        <f>SUMPRODUCT((区片价!B158:B205=I2)*(区片价!C3:F3=E2)*(区片价!C158:F205))</f>
        <v>0</v>
      </c>
      <c r="N7" s="1083">
        <f>SUMPRODUCT((因素修正幅度!B158:B205=I2)*(因素修正幅度!C3:F3=E2)*(因素修正幅度!C158:F205))</f>
        <v>0</v>
      </c>
      <c r="O7" s="1369"/>
      <c r="P7" s="1369"/>
      <c r="Q7" s="1369"/>
      <c r="R7" s="1601">
        <v>6</v>
      </c>
      <c r="S7" s="1601">
        <f>ROUND(IF(G3&gt;1,IF(R7&lt;7,SUMPRODUCT((B93:B98=R7)*(C92:N92=G2)*(C93:N98)),SUMIF(C92:N92,G2,C100:N100)),IF(R7&lt;7,SUMPRODUCT((B102:B107=R7)*(C92:N92=G2)*(C102:N107)),SUMIF(C92:N92,G2,C109:N109))),4)</f>
        <v>0</v>
      </c>
      <c r="T7" s="1601" t="e">
        <f t="shared" si="0"/>
        <v>#DIV/0!</v>
      </c>
      <c r="U7" s="1602"/>
      <c r="V7" s="1601" t="e">
        <f t="shared" si="1"/>
        <v>#DIV/0!</v>
      </c>
      <c r="W7" s="1814" t="s">
        <v>2823</v>
      </c>
      <c r="X7" s="1603">
        <f>G2</f>
        <v>0</v>
      </c>
      <c r="Y7" s="1603" t="s">
        <v>2824</v>
      </c>
      <c r="Z7" s="1604">
        <f>G3</f>
        <v>2.59</v>
      </c>
      <c r="AA7" s="1605"/>
      <c r="AB7" s="1605"/>
      <c r="AC7" s="1606"/>
      <c r="AD7" s="1607"/>
      <c r="AE7" s="1607"/>
      <c r="AF7" s="1607"/>
      <c r="AG7" s="1607"/>
      <c r="AH7" s="1607"/>
      <c r="AI7" s="1607"/>
      <c r="AJ7" s="1608"/>
    </row>
    <row r="8" spans="1:36" ht="15">
      <c r="A8" s="3309"/>
      <c r="B8" s="198" t="s">
        <v>2825</v>
      </c>
      <c r="C8" s="2745"/>
      <c r="D8" s="919" t="s">
        <v>139</v>
      </c>
      <c r="E8" s="920" t="e">
        <f>ROUND(C11/E7,4)</f>
        <v>#DIV/0!</v>
      </c>
      <c r="F8" s="2746" t="s">
        <v>2826</v>
      </c>
      <c r="G8" s="2747"/>
      <c r="H8" s="2747"/>
      <c r="I8" s="2747"/>
      <c r="J8" s="2748"/>
      <c r="K8" s="1369"/>
      <c r="L8" s="2721" t="s">
        <v>2827</v>
      </c>
      <c r="M8" s="1081">
        <f>SUMPRODUCT((区片价!B206:B244=I2)*(区片价!C3:F3=E2)*(区片价!C206:F244))</f>
        <v>0</v>
      </c>
      <c r="N8" s="1083">
        <f>SUMPRODUCT((因素修正幅度!B206:B244=I2)*(因素修正幅度!C3:F3=E2)*(因素修正幅度!C206:F244))</f>
        <v>0</v>
      </c>
      <c r="O8" s="1369"/>
      <c r="P8" s="1369"/>
      <c r="Q8" s="1369"/>
      <c r="R8" s="1601">
        <v>7</v>
      </c>
      <c r="S8" s="1602"/>
      <c r="T8" s="1601" t="e">
        <f t="shared" si="0"/>
        <v>#DIV/0!</v>
      </c>
      <c r="U8" s="1602"/>
      <c r="V8" s="1601" t="e">
        <f t="shared" si="1"/>
        <v>#DIV/0!</v>
      </c>
      <c r="W8" s="3319" t="s">
        <v>2828</v>
      </c>
      <c r="X8" s="3320"/>
      <c r="Y8" s="1609" t="s">
        <v>2829</v>
      </c>
      <c r="Z8" s="1609" t="s">
        <v>2830</v>
      </c>
      <c r="AA8" s="1609" t="s">
        <v>2831</v>
      </c>
      <c r="AB8" s="1609" t="s">
        <v>2832</v>
      </c>
      <c r="AC8" s="1609" t="s">
        <v>2833</v>
      </c>
      <c r="AD8" s="1609" t="s">
        <v>2834</v>
      </c>
      <c r="AE8" s="1609" t="s">
        <v>2835</v>
      </c>
      <c r="AF8" s="1609" t="s">
        <v>2836</v>
      </c>
      <c r="AG8" s="1609" t="s">
        <v>2837</v>
      </c>
      <c r="AH8" s="1609" t="s">
        <v>2838</v>
      </c>
      <c r="AI8" s="1609" t="s">
        <v>2839</v>
      </c>
      <c r="AJ8" s="1609" t="s">
        <v>2840</v>
      </c>
    </row>
    <row r="9" spans="1:36" ht="15">
      <c r="A9" s="3309"/>
      <c r="B9" s="198" t="s">
        <v>2841</v>
      </c>
      <c r="C9" s="921">
        <f>SUMIF(修正!C59:C119,C8,修正!E59:E119)</f>
        <v>0</v>
      </c>
      <c r="D9" s="200" t="s">
        <v>140</v>
      </c>
      <c r="E9" s="200" t="e">
        <f>ROUND(C11/E7,4)</f>
        <v>#DIV/0!</v>
      </c>
      <c r="F9" s="2746" t="s">
        <v>2842</v>
      </c>
      <c r="G9" s="2747"/>
      <c r="H9" s="2747"/>
      <c r="I9" s="2747"/>
      <c r="J9" s="2748"/>
      <c r="K9" s="1369"/>
      <c r="L9" s="2721" t="s">
        <v>2843</v>
      </c>
      <c r="M9" s="1081">
        <f>SUMPRODUCT((区片价!B245:B289=I2)*(区片价!C3:F3=E2)*(区片价!C245:F289))</f>
        <v>0</v>
      </c>
      <c r="N9" s="1083">
        <f>SUMPRODUCT((因素修正幅度!B245:B289=I2)*(因素修正幅度!C3:F3=E2)*(因素修正幅度!C245:F289))</f>
        <v>0</v>
      </c>
      <c r="O9" s="1369"/>
      <c r="P9" s="1369"/>
      <c r="Q9" s="1369"/>
      <c r="R9" s="1601">
        <v>8</v>
      </c>
      <c r="S9" s="1602"/>
      <c r="T9" s="1601" t="e">
        <f t="shared" si="0"/>
        <v>#DIV/0!</v>
      </c>
      <c r="U9" s="1602"/>
      <c r="V9" s="1601" t="e">
        <f t="shared" si="1"/>
        <v>#DIV/0!</v>
      </c>
      <c r="W9" s="3321" t="s">
        <v>2844</v>
      </c>
      <c r="X9" s="1610" t="s">
        <v>2845</v>
      </c>
      <c r="Y9" s="1770"/>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309"/>
      <c r="B10" s="198" t="s">
        <v>2846</v>
      </c>
      <c r="C10" s="200">
        <f>SUMIF(修正!C59:C119,C8,修正!F59:F119)</f>
        <v>0</v>
      </c>
      <c r="D10" s="200" t="s">
        <v>141</v>
      </c>
      <c r="E10" s="200" t="e">
        <f>ROUND(C11/E7,4)</f>
        <v>#DIV/0!</v>
      </c>
      <c r="F10" s="2746" t="s">
        <v>2847</v>
      </c>
      <c r="G10" s="2747"/>
      <c r="H10" s="2747"/>
      <c r="I10" s="2747"/>
      <c r="J10" s="2748"/>
      <c r="K10" s="1369"/>
      <c r="L10" s="2721" t="s">
        <v>2848</v>
      </c>
      <c r="M10" s="1081">
        <f>SUMPRODUCT((区片价!B290:B316=I2)*(区片价!C3:F3=E2)*(区片价!C290:F316))</f>
        <v>0</v>
      </c>
      <c r="N10" s="1083">
        <f>SUMPRODUCT((因素修正幅度!B290:B316=I2)*(因素修正幅度!C3:F3=E2)*(因素修正幅度!C290:F316))</f>
        <v>0</v>
      </c>
      <c r="O10" s="1369"/>
      <c r="P10" s="1369"/>
      <c r="Q10" s="1369"/>
      <c r="R10" s="1601">
        <v>9</v>
      </c>
      <c r="S10" s="1602"/>
      <c r="T10" s="1601" t="e">
        <f t="shared" si="0"/>
        <v>#DIV/0!</v>
      </c>
      <c r="U10" s="1602"/>
      <c r="V10" s="1601" t="e">
        <f t="shared" si="1"/>
        <v>#DIV/0!</v>
      </c>
      <c r="W10" s="3321"/>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309"/>
      <c r="B11" s="2749" t="s">
        <v>2849</v>
      </c>
      <c r="C11" s="922">
        <f>C10/4</f>
        <v>0</v>
      </c>
      <c r="D11" s="922" t="s">
        <v>142</v>
      </c>
      <c r="E11" s="922" t="e">
        <f>ROUND(C11/E7,4)</f>
        <v>#DIV/0!</v>
      </c>
      <c r="F11" s="2750" t="s">
        <v>2850</v>
      </c>
      <c r="G11" s="2751"/>
      <c r="H11" s="2751"/>
      <c r="I11" s="2751"/>
      <c r="J11" s="2752"/>
      <c r="K11" s="1369"/>
      <c r="L11" s="2721" t="s">
        <v>2851</v>
      </c>
      <c r="M11" s="1081">
        <f>SUMPRODUCT((区片价!B317:B337=I2)*(区片价!C3:F3=E2)*(区片价!C317:F337))</f>
        <v>0</v>
      </c>
      <c r="N11" s="1083">
        <f>SUMPRODUCT((因素修正幅度!B317:B337=I2)*(因素修正幅度!C3:F3=E2)*(因素修正幅度!C317:F337))</f>
        <v>0</v>
      </c>
      <c r="O11" s="1369"/>
      <c r="P11" s="1369"/>
      <c r="Q11" s="1369"/>
      <c r="R11" s="1601">
        <v>10</v>
      </c>
      <c r="S11" s="1602"/>
      <c r="T11" s="1601" t="e">
        <f t="shared" si="0"/>
        <v>#DIV/0!</v>
      </c>
      <c r="U11" s="1602"/>
      <c r="V11" s="1601" t="e">
        <f t="shared" si="1"/>
        <v>#DIV/0!</v>
      </c>
      <c r="W11" s="3321" t="s">
        <v>2852</v>
      </c>
      <c r="X11" s="1613" t="s">
        <v>2853</v>
      </c>
      <c r="Y11" s="1614">
        <f>$G$3</f>
        <v>2.59</v>
      </c>
      <c r="Z11" s="1614">
        <f t="shared" ref="Z11:AJ11" si="3">$G$3</f>
        <v>2.59</v>
      </c>
      <c r="AA11" s="1614">
        <f t="shared" si="3"/>
        <v>2.59</v>
      </c>
      <c r="AB11" s="1614">
        <f t="shared" si="3"/>
        <v>2.59</v>
      </c>
      <c r="AC11" s="1614">
        <f t="shared" si="3"/>
        <v>2.59</v>
      </c>
      <c r="AD11" s="1614">
        <f t="shared" si="3"/>
        <v>2.59</v>
      </c>
      <c r="AE11" s="1614">
        <f t="shared" si="3"/>
        <v>2.59</v>
      </c>
      <c r="AF11" s="1614">
        <f t="shared" si="3"/>
        <v>2.59</v>
      </c>
      <c r="AG11" s="1614">
        <f t="shared" si="3"/>
        <v>2.59</v>
      </c>
      <c r="AH11" s="1614">
        <f t="shared" si="3"/>
        <v>2.59</v>
      </c>
      <c r="AI11" s="1614">
        <f t="shared" si="3"/>
        <v>2.59</v>
      </c>
      <c r="AJ11" s="1614">
        <f t="shared" si="3"/>
        <v>2.59</v>
      </c>
    </row>
    <row r="12" spans="1:36" ht="25.5" thickBot="1">
      <c r="A12" s="3308" t="s">
        <v>2854</v>
      </c>
      <c r="B12" s="2753" t="s">
        <v>2855</v>
      </c>
      <c r="C12" s="918">
        <f>ROUND(C15*D15*E15*F15*G15*H15*I15*J15,4)</f>
        <v>1</v>
      </c>
      <c r="D12" s="2754" t="s">
        <v>2856</v>
      </c>
      <c r="E12" s="2755"/>
      <c r="F12" s="2755"/>
      <c r="G12" s="2756"/>
      <c r="H12" s="2756"/>
      <c r="I12" s="2756"/>
      <c r="J12" s="2757"/>
      <c r="K12" s="1369"/>
      <c r="L12" s="2758" t="s">
        <v>2857</v>
      </c>
      <c r="M12" s="1082">
        <f>SUMPRODUCT((区片价!B338:B344=I2)*(区片价!C3:F3=E2)*(区片价!C338:F344))</f>
        <v>0</v>
      </c>
      <c r="N12" s="1083">
        <f>SUMPRODUCT((因素修正幅度!B338:B344=I2)*(因素修正幅度!C3:F3=E2)*(因素修正幅度!C338:F344))</f>
        <v>0</v>
      </c>
      <c r="O12" s="1369"/>
      <c r="P12" s="1369"/>
      <c r="Q12" s="1369"/>
      <c r="R12" s="1601">
        <v>11</v>
      </c>
      <c r="S12" s="1602"/>
      <c r="T12" s="1601" t="e">
        <f t="shared" si="0"/>
        <v>#DIV/0!</v>
      </c>
      <c r="U12" s="1602"/>
      <c r="V12" s="1601" t="e">
        <f t="shared" si="1"/>
        <v>#DIV/0!</v>
      </c>
      <c r="W12" s="3321"/>
      <c r="X12" s="1615" t="s">
        <v>2858</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326"/>
      <c r="B13" s="2759" t="s">
        <v>2859</v>
      </c>
      <c r="C13" s="2760" t="s">
        <v>2860</v>
      </c>
      <c r="D13" s="1806" t="s">
        <v>2861</v>
      </c>
      <c r="E13" s="1806" t="s">
        <v>2862</v>
      </c>
      <c r="F13" s="30" t="s">
        <v>2863</v>
      </c>
      <c r="G13" s="2761" t="s">
        <v>2864</v>
      </c>
      <c r="H13" s="2761" t="s">
        <v>2864</v>
      </c>
      <c r="I13" s="2761" t="s">
        <v>2864</v>
      </c>
      <c r="J13" s="2762" t="s">
        <v>2864</v>
      </c>
      <c r="K13" s="1369"/>
      <c r="L13" s="1369"/>
      <c r="M13" s="1369"/>
      <c r="N13" s="1369"/>
      <c r="O13" s="1369"/>
      <c r="P13" s="1369"/>
      <c r="Q13" s="1369"/>
      <c r="R13" s="1601">
        <v>12</v>
      </c>
      <c r="S13" s="1602"/>
      <c r="T13" s="1601" t="e">
        <f t="shared" si="0"/>
        <v>#DIV/0!</v>
      </c>
      <c r="U13" s="1602"/>
      <c r="V13" s="1601" t="e">
        <f t="shared" si="1"/>
        <v>#DIV/0!</v>
      </c>
      <c r="W13" s="3321"/>
      <c r="X13" s="1615"/>
      <c r="Y13" s="1612">
        <f>(-0.163*(Y12^2)-0.59*Y12+7617)*(10^(-4))/Y11</f>
        <v>0.2940926640926641</v>
      </c>
      <c r="Z13" s="1612">
        <f t="shared" ref="Z13:AJ13" si="5">(-0.163*(Z12^2)-0.59*Z12+7617)*(10^(-4))/Z11</f>
        <v>0.2940926640926641</v>
      </c>
      <c r="AA13" s="1612">
        <f t="shared" si="5"/>
        <v>0.2940926640926641</v>
      </c>
      <c r="AB13" s="1612">
        <f t="shared" si="5"/>
        <v>0.2940926640926641</v>
      </c>
      <c r="AC13" s="1612">
        <f t="shared" si="5"/>
        <v>0.2940926640926641</v>
      </c>
      <c r="AD13" s="1612">
        <f t="shared" si="5"/>
        <v>0.2940926640926641</v>
      </c>
      <c r="AE13" s="1612">
        <f t="shared" si="5"/>
        <v>0.2940926640926641</v>
      </c>
      <c r="AF13" s="1612">
        <f t="shared" si="5"/>
        <v>0.2940926640926641</v>
      </c>
      <c r="AG13" s="1612">
        <f t="shared" si="5"/>
        <v>0.2940926640926641</v>
      </c>
      <c r="AH13" s="1612">
        <f t="shared" si="5"/>
        <v>0.2940926640926641</v>
      </c>
      <c r="AI13" s="1612">
        <f t="shared" si="5"/>
        <v>0.2940926640926641</v>
      </c>
      <c r="AJ13" s="1612">
        <f t="shared" si="5"/>
        <v>0.2940926640926641</v>
      </c>
    </row>
    <row r="14" spans="1:36" ht="15">
      <c r="A14" s="3326"/>
      <c r="B14" s="2763"/>
      <c r="C14" s="2764"/>
      <c r="D14" s="2765"/>
      <c r="E14" s="2765"/>
      <c r="F14" s="2766"/>
      <c r="G14" s="2767" t="s">
        <v>2865</v>
      </c>
      <c r="H14" s="2768"/>
      <c r="I14" s="2769"/>
      <c r="J14" s="2770"/>
      <c r="K14" s="1369"/>
      <c r="L14" s="1369"/>
      <c r="M14" s="1369"/>
      <c r="N14" s="1369"/>
      <c r="O14" s="1369"/>
      <c r="P14" s="1369"/>
      <c r="Q14" s="1369"/>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327"/>
      <c r="B15" s="2771" t="s">
        <v>2866</v>
      </c>
      <c r="C15" s="229">
        <f>IF(C14="有",1.1,1)</f>
        <v>1</v>
      </c>
      <c r="D15" s="229">
        <f>IF(D14="有",1.1,1)</f>
        <v>1</v>
      </c>
      <c r="E15" s="229">
        <f>IF(E14="有",1.1,1)</f>
        <v>1</v>
      </c>
      <c r="F15" s="229">
        <f>IF(F14="500米范围内",1.2,IF(F14="500-1000米",1.1,1))</f>
        <v>1</v>
      </c>
      <c r="G15" s="948">
        <v>1</v>
      </c>
      <c r="H15" s="948">
        <v>1</v>
      </c>
      <c r="I15" s="948">
        <v>1</v>
      </c>
      <c r="J15" s="949">
        <v>1</v>
      </c>
      <c r="K15" s="1369"/>
      <c r="L15" s="2772" t="s">
        <v>2802</v>
      </c>
      <c r="M15" s="919" t="s">
        <v>2867</v>
      </c>
      <c r="N15" s="919" t="s">
        <v>2868</v>
      </c>
      <c r="O15" s="919" t="s">
        <v>2869</v>
      </c>
      <c r="P15" s="2773" t="s">
        <v>2870</v>
      </c>
      <c r="Q15" s="1369"/>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
      <c r="A16" s="3308" t="s">
        <v>2871</v>
      </c>
      <c r="B16" s="2740" t="s">
        <v>2872</v>
      </c>
      <c r="C16" s="1799" t="e">
        <f>ROUND(SUM(G17:J17)/C17,0)</f>
        <v>#DIV/0!</v>
      </c>
      <c r="D16" s="2774" t="s">
        <v>2873</v>
      </c>
      <c r="E16" s="2775"/>
      <c r="F16" s="2776"/>
      <c r="G16" s="2777"/>
      <c r="H16" s="2777"/>
      <c r="I16" s="2777"/>
      <c r="J16" s="2778"/>
      <c r="K16" s="1369"/>
      <c r="L16" s="2779" t="s">
        <v>2874</v>
      </c>
      <c r="M16" s="921">
        <v>0.25</v>
      </c>
      <c r="N16" s="921">
        <v>0.2</v>
      </c>
      <c r="O16" s="921">
        <v>0.15</v>
      </c>
      <c r="P16" s="1368">
        <v>0.1</v>
      </c>
      <c r="Q16" s="1369"/>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309"/>
      <c r="B17" s="2780" t="s">
        <v>2875</v>
      </c>
      <c r="C17" s="923">
        <f>SUMPRODUCT((修正!A2:A5=E2)*(修正!B1:M1=G2)*(修正!B2:M5))</f>
        <v>0</v>
      </c>
      <c r="D17" s="2781" t="s">
        <v>2876</v>
      </c>
      <c r="E17" s="922" t="str">
        <f>IF(OR(G2="八级",G2="九级",G2="十级",G2="十一级",G2="十二级"),"五通一平","七通一平")</f>
        <v>七通一平</v>
      </c>
      <c r="F17" s="923" t="s">
        <v>2877</v>
      </c>
      <c r="G17" s="923">
        <f>SUMPRODUCT((七通一平=G16)*(修正!B1:M1=G2)*(修正!B6:M14))</f>
        <v>0</v>
      </c>
      <c r="H17" s="923">
        <f>SUMPRODUCT((七通一平=H16)*(修正!B1:M1=G2)*(修正!B6:M14))</f>
        <v>0</v>
      </c>
      <c r="I17" s="923">
        <f>SUMPRODUCT((七通一平=I16)*(修正!B1:M1=G2)*(修正!B6:M14))</f>
        <v>0</v>
      </c>
      <c r="J17" s="924">
        <f>SUMPRODUCT((七通一平=J16)*(修正!B1:M1=G2)*(修正!B6:M14))</f>
        <v>0</v>
      </c>
      <c r="K17" s="1369"/>
      <c r="L17" s="2782" t="s">
        <v>2878</v>
      </c>
      <c r="M17" s="211">
        <f ca="1">ROUND($E$20*(1+M16),3)</f>
        <v>5.3999999999999999E-2</v>
      </c>
      <c r="N17" s="211">
        <f ca="1">ROUND($E$20*(1+N16),3)</f>
        <v>5.1999999999999998E-2</v>
      </c>
      <c r="O17" s="211">
        <f ca="1">ROUND($E$20*(1+O16),3)</f>
        <v>0.05</v>
      </c>
      <c r="P17" s="1372">
        <f ca="1">ROUND($E$20*(1+P16),3)</f>
        <v>4.8000000000000001E-2</v>
      </c>
      <c r="Q17" s="1369"/>
      <c r="R17" s="1369"/>
      <c r="S17" s="1369"/>
      <c r="T17" s="1369"/>
      <c r="U17" s="1369"/>
      <c r="V17" s="1369"/>
      <c r="W17" s="1369"/>
      <c r="X17" s="1369"/>
      <c r="Y17" s="1369"/>
      <c r="Z17" s="1370"/>
      <c r="AE17" s="2783"/>
      <c r="AF17" s="2783"/>
      <c r="AG17" s="2715"/>
      <c r="AH17" s="2715"/>
      <c r="AI17" s="2715"/>
      <c r="AJ17" s="2715"/>
    </row>
    <row r="18" spans="1:37" s="2733" customFormat="1" ht="15.75" thickBot="1">
      <c r="A18" s="2784" t="s">
        <v>808</v>
      </c>
      <c r="B18" s="2785" t="s">
        <v>2879</v>
      </c>
      <c r="C18" s="925">
        <f>SUMIF(修正!C18:C39,E3,修正!E18:E39)</f>
        <v>0</v>
      </c>
      <c r="D18" s="2786"/>
      <c r="E18" s="2787"/>
      <c r="F18" s="2788"/>
      <c r="G18" s="2789"/>
      <c r="H18" s="2789"/>
      <c r="I18" s="2789"/>
      <c r="J18" s="2790"/>
      <c r="K18" s="1376"/>
      <c r="O18" s="1374"/>
      <c r="P18" s="1374"/>
      <c r="Q18" s="1375"/>
      <c r="R18" s="1375"/>
      <c r="S18" s="1375"/>
      <c r="T18" s="1370"/>
      <c r="U18" s="1370"/>
      <c r="V18" s="1370"/>
      <c r="W18" s="1369"/>
      <c r="X18" s="1369"/>
      <c r="Y18" s="1369"/>
      <c r="Z18" s="1376"/>
      <c r="AA18" s="1377"/>
      <c r="AB18" s="1377"/>
      <c r="AC18" s="1377"/>
      <c r="AD18" s="1377"/>
      <c r="AE18" s="1371"/>
      <c r="AF18" s="1371"/>
      <c r="AG18" s="2791"/>
      <c r="AH18" s="2791"/>
      <c r="AI18" s="2791"/>
    </row>
    <row r="19" spans="1:37" s="2733" customFormat="1" ht="27.75" thickBot="1">
      <c r="A19" s="2784" t="s">
        <v>809</v>
      </c>
      <c r="B19" s="2785" t="s">
        <v>2880</v>
      </c>
      <c r="C19" s="926" t="e">
        <f>ROUND(IF(H19="按公示增长率计算",SUMPRODUCT((地价!A3:A21=YEAR(G19)&amp;"-"&amp;ROUNDUP(MONTH(G19)/3,0))*(地价!X2:AB2=E2)*(地价!X3:AB21)),IF(H19="地价指数",M20/M19,(1+I19)^O19)),4)</f>
        <v>#DIV/0!</v>
      </c>
      <c r="D19" s="2792" t="s">
        <v>2881</v>
      </c>
      <c r="E19" s="927">
        <v>41640</v>
      </c>
      <c r="F19" s="2792" t="s">
        <v>2882</v>
      </c>
      <c r="G19" s="928">
        <f>'数据-取费表'!B2</f>
        <v>43132</v>
      </c>
      <c r="H19" s="2793" t="s">
        <v>2883</v>
      </c>
      <c r="I19" s="929" t="str">
        <f>IF(H19="季度增幅（自定义）",SUMIF(N21:N24,E2,O21:O24),"")</f>
        <v/>
      </c>
      <c r="J19" s="2790"/>
      <c r="K19" s="1376"/>
      <c r="L19" s="2794" t="s">
        <v>2884</v>
      </c>
      <c r="M19" s="1733">
        <f>ROUND(SUMIF(地价!B2:F2,E2,地价!B21:F21),0)</f>
        <v>0</v>
      </c>
      <c r="N19" s="2795" t="s">
        <v>2885</v>
      </c>
      <c r="O19" s="930">
        <f>ROUNDDOWN(DATEDIF(E19,G19,"M")/3,0)</f>
        <v>16</v>
      </c>
      <c r="P19" s="1373"/>
      <c r="Q19" s="1375"/>
      <c r="R19" s="1375"/>
      <c r="S19" s="1375"/>
      <c r="T19" s="1370"/>
      <c r="U19" s="1370"/>
      <c r="V19" s="1370"/>
      <c r="W19" s="1369"/>
      <c r="X19" s="1369"/>
      <c r="Y19" s="1369"/>
      <c r="Z19" s="1376"/>
      <c r="AA19" s="1377"/>
      <c r="AB19" s="1377"/>
      <c r="AC19" s="1377"/>
      <c r="AD19" s="1377"/>
      <c r="AE19" s="1377"/>
      <c r="AF19" s="2796"/>
      <c r="AG19" s="2797"/>
      <c r="AH19" s="2791"/>
      <c r="AI19" s="2798"/>
      <c r="AJ19" s="2798"/>
      <c r="AK19" s="2798"/>
    </row>
    <row r="20" spans="1:37" s="2733" customFormat="1" ht="27.75" thickBot="1">
      <c r="A20" s="2799" t="s">
        <v>810</v>
      </c>
      <c r="B20" s="2800" t="s">
        <v>2886</v>
      </c>
      <c r="C20" s="931" t="e">
        <f>ROUND(POWER(1+G20,J20-I20)*(POWER(1+G20,I20)-1)/(POWER(1+G20,J20)-1),4)</f>
        <v>#DIV/0!</v>
      </c>
      <c r="D20" s="2801" t="s">
        <v>2887</v>
      </c>
      <c r="E20" s="1767">
        <f ca="1">存贷款利率!D4/100</f>
        <v>4.3499999999999997E-2</v>
      </c>
      <c r="F20" s="2801" t="s">
        <v>2878</v>
      </c>
      <c r="G20" s="936">
        <f>SUMIF(M15:P15,E2,M17:P17)</f>
        <v>0</v>
      </c>
      <c r="H20" s="2801" t="s">
        <v>2888</v>
      </c>
      <c r="I20" s="937" t="e">
        <f>SUMIF('数据-取费表'!C6:C15,E2,'数据-取费表'!F6:F15)/COUNTIF('数据-取费表'!C6:C15,E2)</f>
        <v>#DIV/0!</v>
      </c>
      <c r="J20" s="938">
        <f>IF(E2="住宅",70,IF(E2="商业",40,50))</f>
        <v>50</v>
      </c>
      <c r="K20" s="1376"/>
      <c r="L20" s="2802" t="s">
        <v>2889</v>
      </c>
      <c r="M20" s="1734">
        <f>ROUND(SUMPRODUCT((地价!A4:A21=YEAR(G19)&amp;"-"&amp;ROUNDUP(MONTH(G19)/3,0))*(地价!B2:F2=E2)*(地价!B4:F21)),0)</f>
        <v>0</v>
      </c>
      <c r="N20" s="2803" t="s">
        <v>2890</v>
      </c>
      <c r="O20" s="2804" t="s">
        <v>2891</v>
      </c>
      <c r="P20" s="2805" t="s">
        <v>2892</v>
      </c>
      <c r="R20" s="1375"/>
      <c r="S20" s="1375"/>
      <c r="T20" s="1370"/>
      <c r="U20" s="1370"/>
      <c r="V20" s="1370"/>
      <c r="W20" s="1369"/>
      <c r="X20" s="1369"/>
      <c r="Y20" s="1369"/>
      <c r="Z20" s="1376"/>
      <c r="AA20" s="1377"/>
      <c r="AB20" s="1377"/>
      <c r="AC20" s="1377"/>
      <c r="AD20" s="1377"/>
      <c r="AE20" s="1377"/>
      <c r="AF20" s="1377"/>
    </row>
    <row r="21" spans="1:37" s="2733" customFormat="1" ht="15">
      <c r="A21" s="2806" t="s">
        <v>811</v>
      </c>
      <c r="B21" s="2807" t="s">
        <v>2893</v>
      </c>
      <c r="C21" s="939">
        <f>IF(B21="容积率修正",IF(G3&lt;=10,D22,J22),C23)</f>
        <v>0</v>
      </c>
      <c r="D21" s="2808"/>
      <c r="E21" s="2808"/>
      <c r="F21" s="2808"/>
      <c r="G21" s="2808"/>
      <c r="H21" s="2808"/>
      <c r="I21" s="2808"/>
      <c r="J21" s="2809"/>
      <c r="K21" s="1376"/>
      <c r="N21" s="2810" t="s">
        <v>2894</v>
      </c>
      <c r="O21" s="1560"/>
      <c r="P21" s="1561">
        <f>SUMPRODUCT((地价!A3:A21=YEAR(G19)&amp;"-"&amp;ROUNDUP(MONTH(G19)/3,0))*(地价!AD2:AH2=N21)*(地价!AD3:AH21))</f>
        <v>1.55E-2</v>
      </c>
      <c r="R21" s="1375"/>
      <c r="S21" s="1375"/>
      <c r="T21" s="1370"/>
      <c r="U21" s="1370"/>
      <c r="V21" s="1370"/>
      <c r="W21" s="1369"/>
      <c r="X21" s="1369"/>
      <c r="Y21" s="1369"/>
      <c r="Z21" s="1376"/>
      <c r="AA21" s="1377"/>
      <c r="AB21" s="1377"/>
      <c r="AC21" s="1377"/>
      <c r="AD21" s="1377"/>
      <c r="AE21" s="1377"/>
      <c r="AF21" s="1377"/>
    </row>
    <row r="22" spans="1:37" s="2733" customFormat="1" ht="14.25">
      <c r="A22" s="2659" t="s">
        <v>2895</v>
      </c>
      <c r="B22" s="2811" t="s">
        <v>2896</v>
      </c>
      <c r="C22" s="1808" t="s">
        <v>2897</v>
      </c>
      <c r="D22" s="1808">
        <f>IF(E22=G22,F22,IF(G3&lt;=10,ROUND(F22+(H22-F22)*(G3-E22)/(G22-E22),4),"——"))</f>
        <v>0</v>
      </c>
      <c r="E22" s="915">
        <f>ROUNDDOWN(G3,1)</f>
        <v>2.5</v>
      </c>
      <c r="F22" s="18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5">
        <f>ROUNDUP(G3,1)</f>
        <v>2.6</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8" t="s">
        <v>155</v>
      </c>
      <c r="J22" s="940" t="str">
        <f>IF(G3&gt;10,D113,"——")</f>
        <v>——</v>
      </c>
      <c r="K22" s="1376"/>
      <c r="N22" s="2810" t="s">
        <v>2898</v>
      </c>
      <c r="O22" s="1560"/>
      <c r="P22" s="1561">
        <f>SUMPRODUCT((地价!A3:A21=YEAR(G19)&amp;"-"&amp;ROUNDUP(MONTH(G19)/3,0))*(地价!AD2:AH2=N22)*(地价!AD3:AH21))</f>
        <v>1.55E-2</v>
      </c>
      <c r="R22" s="1375"/>
      <c r="S22" s="1375"/>
      <c r="T22" s="1370"/>
      <c r="U22" s="1370"/>
      <c r="V22" s="1370"/>
      <c r="W22" s="1369"/>
      <c r="X22" s="1369"/>
      <c r="Y22" s="1369"/>
      <c r="Z22" s="1376"/>
      <c r="AA22" s="1377"/>
      <c r="AB22" s="1377"/>
      <c r="AC22" s="1377"/>
      <c r="AD22" s="1377"/>
      <c r="AE22" s="1377"/>
      <c r="AF22" s="1377"/>
    </row>
    <row r="23" spans="1:37" ht="27.75" thickBot="1">
      <c r="A23" s="2659" t="s">
        <v>2899</v>
      </c>
      <c r="B23" s="2812" t="s">
        <v>2900</v>
      </c>
      <c r="C23" s="1015">
        <f>ROUND(IF(G3&gt;1,IF(I3&lt;7,SUMPRODUCT((B93:B98=I3)*(C92:N92=G2)*(C93:N98)),SUMIF(C92:N92,G2,C100:N100)),IF(I3&lt;7,SUMPRODUCT((B102:B107=I3)*(C92:N92=G2)*(C102:N107)),SUMIF(C92:N92,G2,C109:N109))),4)</f>
        <v>0</v>
      </c>
      <c r="D23" s="2768"/>
      <c r="E23" s="2768"/>
      <c r="F23" s="2813"/>
      <c r="G23" s="2814"/>
      <c r="H23" s="2815"/>
      <c r="I23" s="2816"/>
      <c r="J23" s="2817"/>
      <c r="K23" s="1369"/>
      <c r="N23" s="2810" t="s">
        <v>2901</v>
      </c>
      <c r="O23" s="1560"/>
      <c r="P23" s="1561">
        <f>SUMPRODUCT((地价!A3:A21=YEAR(G19)&amp;"-"&amp;ROUNDUP(MONTH(G19)/3,0))*(地价!AD2:AH2=N23)*(地价!AD3:AH21))</f>
        <v>2.5499999999999998E-2</v>
      </c>
      <c r="R23" s="1375"/>
      <c r="S23" s="1375"/>
      <c r="T23" s="1370"/>
      <c r="U23" s="1370"/>
      <c r="V23" s="1370"/>
      <c r="W23" s="1369"/>
      <c r="X23" s="1369"/>
      <c r="Y23" s="1369"/>
      <c r="Z23" s="1376"/>
      <c r="AA23" s="1377"/>
      <c r="AB23" s="1377"/>
      <c r="AC23" s="1377"/>
      <c r="AD23" s="1377"/>
      <c r="AK23" s="2791"/>
    </row>
    <row r="24" spans="1:37" s="2733" customFormat="1" ht="15.75" thickBot="1">
      <c r="A24" s="2799" t="s">
        <v>812</v>
      </c>
      <c r="B24" s="2785" t="s">
        <v>2902</v>
      </c>
      <c r="C24" s="926">
        <f>SUMIF(A45:A88,E2,B45:B88)</f>
        <v>0</v>
      </c>
      <c r="D24" s="2788"/>
      <c r="E24" s="2818"/>
      <c r="F24" s="2818"/>
      <c r="G24" s="2818"/>
      <c r="H24" s="2818"/>
      <c r="I24" s="2818"/>
      <c r="J24" s="2819"/>
      <c r="K24" s="1376"/>
      <c r="N24" s="2820" t="s">
        <v>2903</v>
      </c>
      <c r="O24" s="1562"/>
      <c r="P24" s="1563">
        <f>SUMPRODUCT((地价!A3:A21=YEAR(G19)&amp;"-"&amp;ROUNDUP(MONTH(G19)/3,0))*(地价!AD2:AH2=N24)*(地价!AD3:AH21))</f>
        <v>1.3100000000000001E-2</v>
      </c>
      <c r="R24" s="1375"/>
      <c r="S24" s="1375"/>
      <c r="T24" s="1370"/>
      <c r="U24" s="1370"/>
      <c r="V24" s="1370"/>
      <c r="W24" s="1369"/>
      <c r="X24" s="1369"/>
      <c r="Y24" s="1369"/>
      <c r="Z24" s="1376"/>
      <c r="AA24" s="1377"/>
      <c r="AB24" s="1377"/>
      <c r="AC24" s="1377"/>
      <c r="AD24" s="1377"/>
      <c r="AE24" s="1377"/>
      <c r="AF24" s="1377"/>
    </row>
    <row r="25" spans="1:37" ht="15.75" thickBot="1">
      <c r="A25" s="2799" t="s">
        <v>813</v>
      </c>
      <c r="B25" s="2821" t="s">
        <v>2904</v>
      </c>
      <c r="C25" s="932"/>
      <c r="D25" s="2743"/>
      <c r="E25" s="2743"/>
      <c r="F25" s="2822"/>
      <c r="G25" s="2743"/>
      <c r="H25" s="2743"/>
      <c r="I25" s="2743"/>
      <c r="J25" s="2744"/>
      <c r="K25" s="1369"/>
      <c r="N25" s="2823" t="s">
        <v>2905</v>
      </c>
      <c r="O25" s="1564"/>
      <c r="P25" s="1563">
        <f>SUMPRODUCT((地价!A3:A21=YEAR(G19)&amp;"-"&amp;ROUNDUP(MONTH(G19)/3,0))*(地价!AD2:AH2=N25)*(地价!AD3:AH21))</f>
        <v>2.3E-2</v>
      </c>
      <c r="R25" s="1375"/>
      <c r="S25" s="1375"/>
      <c r="T25" s="1370"/>
      <c r="U25" s="1370"/>
      <c r="V25" s="1370"/>
      <c r="W25" s="1369"/>
      <c r="X25" s="1369"/>
      <c r="Y25" s="1369"/>
      <c r="Z25" s="1376"/>
      <c r="AA25" s="1377"/>
      <c r="AB25" s="1377"/>
      <c r="AC25" s="1377"/>
      <c r="AD25" s="1377"/>
    </row>
    <row r="26" spans="1:37" ht="15">
      <c r="A26" s="2824"/>
      <c r="B26" s="2811" t="s">
        <v>2906</v>
      </c>
      <c r="C26" s="206" t="e">
        <f>E29+SUM(E33:E39)</f>
        <v>#DIV/0!</v>
      </c>
      <c r="D26" s="2825"/>
      <c r="E26" s="2768"/>
      <c r="F26" s="2826"/>
      <c r="G26" s="2768"/>
      <c r="H26" s="2768"/>
      <c r="I26" s="2768"/>
      <c r="J26" s="2827"/>
      <c r="K26" s="1369"/>
      <c r="R26" s="1375"/>
      <c r="S26" s="1375"/>
      <c r="T26" s="1370"/>
      <c r="U26" s="1370"/>
      <c r="V26" s="1370"/>
      <c r="W26" s="1369"/>
      <c r="X26" s="1369"/>
      <c r="Y26" s="1369"/>
      <c r="Z26" s="1376"/>
      <c r="AA26" s="1377"/>
      <c r="AB26" s="1377"/>
      <c r="AC26" s="1377"/>
      <c r="AD26" s="1377"/>
    </row>
    <row r="27" spans="1:37" ht="15.75" thickBot="1">
      <c r="A27" s="2824"/>
      <c r="B27" s="2828" t="s">
        <v>2907</v>
      </c>
      <c r="C27" s="933" t="e">
        <f>E30+SUM(I33:I39)</f>
        <v>#DIV/0!</v>
      </c>
      <c r="D27" s="2829"/>
      <c r="E27" s="2830"/>
      <c r="F27" s="2831"/>
      <c r="G27" s="2830"/>
      <c r="H27" s="2830"/>
      <c r="I27" s="2830"/>
      <c r="J27" s="2832"/>
      <c r="K27" s="1369"/>
      <c r="L27" s="1369"/>
      <c r="M27" s="1369"/>
      <c r="N27" s="1369"/>
      <c r="O27" s="1374"/>
      <c r="P27" s="1374"/>
      <c r="Q27" s="1375"/>
      <c r="R27" s="1375"/>
      <c r="S27" s="1375"/>
      <c r="T27" s="1370"/>
      <c r="U27" s="1370"/>
      <c r="V27" s="1370"/>
      <c r="W27" s="1369"/>
      <c r="X27" s="1369"/>
      <c r="Y27" s="1369"/>
      <c r="Z27" s="1376"/>
      <c r="AA27" s="1377"/>
      <c r="AB27" s="1377"/>
      <c r="AC27" s="1377"/>
      <c r="AD27" s="1377"/>
    </row>
    <row r="28" spans="1:37" ht="15">
      <c r="A28" s="2833"/>
      <c r="B28" s="2834" t="s">
        <v>2908</v>
      </c>
      <c r="C28" s="2835" t="s">
        <v>2909</v>
      </c>
      <c r="D28" s="2835" t="s">
        <v>2910</v>
      </c>
      <c r="E28" s="2836" t="s">
        <v>2911</v>
      </c>
      <c r="F28" s="2837"/>
      <c r="G28" s="2756"/>
      <c r="H28" s="2756"/>
      <c r="I28" s="2756"/>
      <c r="J28" s="2757"/>
      <c r="K28" s="1369"/>
      <c r="L28" s="1369"/>
      <c r="M28" s="1369"/>
      <c r="N28" s="1369"/>
      <c r="O28" s="1374"/>
      <c r="P28" s="1374"/>
      <c r="Q28" s="1375"/>
      <c r="R28" s="1375"/>
      <c r="S28" s="1375"/>
      <c r="T28" s="1370"/>
      <c r="U28" s="1370"/>
      <c r="V28" s="1370"/>
      <c r="W28" s="1369"/>
      <c r="X28" s="1369"/>
      <c r="Y28" s="1369"/>
      <c r="Z28" s="1376"/>
      <c r="AA28" s="1377"/>
      <c r="AB28" s="1377"/>
      <c r="AC28" s="1377"/>
      <c r="AD28" s="1377"/>
    </row>
    <row r="29" spans="1:37" ht="22.5" customHeight="1">
      <c r="A29" s="2838"/>
      <c r="B29" s="2839" t="s">
        <v>2912</v>
      </c>
      <c r="C29" s="206" t="e">
        <f>ROUND(C5*C18*C19*C20*C21*C24,0)</f>
        <v>#DIV/0!</v>
      </c>
      <c r="D29" s="2840"/>
      <c r="E29" s="944" t="e">
        <f>ROUND(C29*D29/10000,0)</f>
        <v>#DIV/0!</v>
      </c>
      <c r="F29" s="2841" t="s">
        <v>2913</v>
      </c>
      <c r="G29" s="2842"/>
      <c r="H29" s="2842"/>
      <c r="I29" s="2842"/>
      <c r="J29" s="2843"/>
      <c r="K29" s="1369"/>
      <c r="L29" s="1369"/>
      <c r="M29" s="1369"/>
      <c r="N29" s="1369"/>
      <c r="O29" s="1374"/>
      <c r="P29" s="1374"/>
      <c r="Q29" s="1375"/>
      <c r="R29" s="1375"/>
      <c r="S29" s="1375"/>
      <c r="T29" s="1370"/>
      <c r="U29" s="1370"/>
      <c r="V29" s="1370"/>
      <c r="W29" s="1369"/>
      <c r="X29" s="1369"/>
      <c r="Y29" s="1369"/>
      <c r="Z29" s="1376"/>
      <c r="AA29" s="1377"/>
      <c r="AB29" s="1377"/>
      <c r="AC29" s="1377"/>
      <c r="AD29" s="1377"/>
      <c r="AE29" s="2783"/>
      <c r="AF29" s="2783"/>
      <c r="AG29" s="2715"/>
      <c r="AH29" s="2715"/>
      <c r="AI29" s="2715"/>
      <c r="AJ29" s="2715"/>
    </row>
    <row r="30" spans="1:37" ht="25.5" thickBot="1">
      <c r="A30" s="2844"/>
      <c r="B30" s="2845" t="s">
        <v>2914</v>
      </c>
      <c r="C30" s="229" t="e">
        <f>ROUND(IF(E2="工业",C29*M39,C29*M38),0)</f>
        <v>#DIV/0!</v>
      </c>
      <c r="D30" s="2846"/>
      <c r="E30" s="944" t="e">
        <f>ROUND(C30*D30/10000,0)</f>
        <v>#DIV/0!</v>
      </c>
      <c r="F30" s="2847" t="s">
        <v>2915</v>
      </c>
      <c r="G30" s="2848"/>
      <c r="H30" s="2848"/>
      <c r="I30" s="2848"/>
      <c r="J30" s="2849"/>
      <c r="K30" s="1369"/>
      <c r="L30" s="1369"/>
      <c r="M30" s="1369"/>
      <c r="N30" s="1369"/>
      <c r="O30" s="1374"/>
      <c r="P30" s="1374"/>
      <c r="Q30" s="1375"/>
      <c r="R30" s="1375"/>
      <c r="S30" s="1375"/>
      <c r="T30" s="1370"/>
      <c r="U30" s="1370"/>
      <c r="V30" s="1370"/>
      <c r="W30" s="1369"/>
      <c r="X30" s="1369"/>
      <c r="Y30" s="1369"/>
      <c r="Z30" s="1376"/>
      <c r="AA30" s="1377"/>
      <c r="AB30" s="1377"/>
      <c r="AC30" s="1377"/>
      <c r="AD30" s="1377"/>
      <c r="AE30" s="2783"/>
      <c r="AF30" s="2783"/>
      <c r="AG30" s="2715"/>
      <c r="AH30" s="2715"/>
      <c r="AI30" s="2715"/>
      <c r="AJ30" s="2715"/>
    </row>
    <row r="31" spans="1:37" ht="14.25">
      <c r="A31" s="2850"/>
      <c r="B31" s="2851" t="s">
        <v>2916</v>
      </c>
      <c r="C31" s="2852" t="s">
        <v>2917</v>
      </c>
      <c r="D31" s="2756"/>
      <c r="E31" s="2852"/>
      <c r="F31" s="2852"/>
      <c r="G31" s="2754" t="s">
        <v>2918</v>
      </c>
      <c r="H31" s="2756"/>
      <c r="I31" s="2853"/>
      <c r="J31" s="2757"/>
      <c r="K31" s="1369"/>
      <c r="L31" s="1369"/>
      <c r="M31" s="1369"/>
      <c r="N31" s="1369"/>
      <c r="O31" s="1374"/>
      <c r="P31" s="1374"/>
      <c r="Q31" s="1375"/>
      <c r="R31" s="1375"/>
      <c r="S31" s="1375"/>
      <c r="T31" s="1370"/>
      <c r="U31" s="1370"/>
      <c r="V31" s="1370"/>
      <c r="W31" s="1369"/>
      <c r="X31" s="1369"/>
      <c r="Y31" s="1369"/>
      <c r="Z31" s="1376"/>
      <c r="AA31" s="1377"/>
      <c r="AB31" s="1377"/>
      <c r="AC31" s="1377"/>
      <c r="AD31" s="1377"/>
      <c r="AE31" s="2783"/>
      <c r="AF31" s="2783"/>
      <c r="AG31" s="2715"/>
      <c r="AH31" s="2715"/>
      <c r="AI31" s="2715"/>
      <c r="AJ31" s="2715"/>
    </row>
    <row r="32" spans="1:37" ht="24">
      <c r="A32" s="2838"/>
      <c r="B32" s="2854"/>
      <c r="C32" s="501" t="s">
        <v>2909</v>
      </c>
      <c r="D32" s="498" t="s">
        <v>2910</v>
      </c>
      <c r="E32" s="498" t="s">
        <v>2911</v>
      </c>
      <c r="F32" s="388" t="s">
        <v>2919</v>
      </c>
      <c r="G32" s="2855" t="s">
        <v>2909</v>
      </c>
      <c r="H32" s="2855" t="s">
        <v>2910</v>
      </c>
      <c r="I32" s="2855" t="s">
        <v>2911</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83"/>
      <c r="AF32" s="2783"/>
      <c r="AG32" s="2715"/>
      <c r="AH32" s="2715"/>
      <c r="AI32" s="2715"/>
      <c r="AJ32" s="2715"/>
    </row>
    <row r="33" spans="1:37" ht="36" customHeight="1">
      <c r="A33" s="3316" t="s">
        <v>2920</v>
      </c>
      <c r="B33" s="2856" t="s">
        <v>2921</v>
      </c>
      <c r="C33" s="206" t="e">
        <f>ROUND(D5*C19*C20*C24*F33,0)</f>
        <v>#DIV/0!</v>
      </c>
      <c r="D33" s="2840"/>
      <c r="E33" s="200" t="e">
        <f>ROUND(C33*D33/10000,0)</f>
        <v>#DIV/0!</v>
      </c>
      <c r="F33" s="200">
        <f>SUMIF(修正!A45:A56,G2,修正!B45:B56)</f>
        <v>0</v>
      </c>
      <c r="G33" s="200" t="e">
        <f t="shared" ref="G33:G39" si="6">ROUND(IF(E2="工业",C33*$M$39,C33*$M$38),0)</f>
        <v>#DIV/0!</v>
      </c>
      <c r="H33" s="200">
        <f>D33</f>
        <v>0</v>
      </c>
      <c r="I33" s="200" t="e">
        <f>ROUND(G33*H33/10000,0)</f>
        <v>#DIV/0!</v>
      </c>
      <c r="J33" s="2857"/>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317"/>
      <c r="B34" s="2760" t="s">
        <v>2922</v>
      </c>
      <c r="C34" s="206" t="e">
        <f>ROUND(D5*C19*C20*C24*F34,0)</f>
        <v>#DIV/0!</v>
      </c>
      <c r="D34" s="2840"/>
      <c r="E34" s="200" t="e">
        <f t="shared" ref="E34:E39" si="7">ROUND(C34*D34/10000,0)</f>
        <v>#DIV/0!</v>
      </c>
      <c r="F34" s="200">
        <f>SUMIF(修正!A45:A56,G2,修正!C45:C56)</f>
        <v>0</v>
      </c>
      <c r="G34" s="200" t="e">
        <f t="shared" si="6"/>
        <v>#DIV/0!</v>
      </c>
      <c r="H34" s="200">
        <f t="shared" ref="H34:H39" si="8">D34</f>
        <v>0</v>
      </c>
      <c r="I34" s="200" t="e">
        <f t="shared" ref="I34:I39" si="9">ROUND(G34*H34/10000,0)</f>
        <v>#DIV/0!</v>
      </c>
      <c r="J34" s="2857"/>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317"/>
      <c r="B35" s="2760" t="s">
        <v>2923</v>
      </c>
      <c r="C35" s="206" t="e">
        <f>ROUND(D5*C19*C20*C24*F35,0)</f>
        <v>#DIV/0!</v>
      </c>
      <c r="D35" s="2840"/>
      <c r="E35" s="200" t="e">
        <f t="shared" si="7"/>
        <v>#DIV/0!</v>
      </c>
      <c r="F35" s="200">
        <f>SUMIF(修正!A45:A56,G2,修正!D45:D56)</f>
        <v>0</v>
      </c>
      <c r="G35" s="200" t="e">
        <f t="shared" si="6"/>
        <v>#DIV/0!</v>
      </c>
      <c r="H35" s="200">
        <f t="shared" si="8"/>
        <v>0</v>
      </c>
      <c r="I35" s="200" t="e">
        <f t="shared" si="9"/>
        <v>#DIV/0!</v>
      </c>
      <c r="J35" s="2857"/>
      <c r="K35" s="1369"/>
      <c r="L35" s="1369"/>
      <c r="M35" s="1369"/>
      <c r="N35" s="1369"/>
      <c r="O35" s="1369"/>
      <c r="P35" s="1369"/>
      <c r="Q35" s="1369"/>
      <c r="R35" s="1369"/>
      <c r="S35" s="1369"/>
      <c r="T35" s="1369"/>
      <c r="U35" s="1369"/>
      <c r="V35" s="1369"/>
      <c r="W35" s="1369"/>
      <c r="X35" s="1369"/>
      <c r="Y35" s="1369"/>
      <c r="Z35" s="1370"/>
    </row>
    <row r="36" spans="1:37" ht="13.5" thickBot="1">
      <c r="A36" s="3318"/>
      <c r="B36" s="2760" t="s">
        <v>2924</v>
      </c>
      <c r="C36" s="206" t="e">
        <f>ROUND(D5*C19*C20*C24*F36,0)</f>
        <v>#DIV/0!</v>
      </c>
      <c r="D36" s="2840"/>
      <c r="E36" s="200" t="e">
        <f t="shared" si="7"/>
        <v>#DIV/0!</v>
      </c>
      <c r="F36" s="200">
        <f>SUMIF(修正!A45:A56,G2,修正!E45:E56)</f>
        <v>0</v>
      </c>
      <c r="G36" s="200" t="e">
        <f t="shared" si="6"/>
        <v>#DIV/0!</v>
      </c>
      <c r="H36" s="200">
        <f t="shared" si="8"/>
        <v>0</v>
      </c>
      <c r="I36" s="200" t="e">
        <f t="shared" si="9"/>
        <v>#DIV/0!</v>
      </c>
      <c r="J36" s="2857"/>
      <c r="K36" s="1369"/>
      <c r="L36" s="2714"/>
      <c r="M36" s="2714"/>
      <c r="N36" s="1369"/>
      <c r="O36" s="1369"/>
      <c r="P36" s="1369"/>
      <c r="Q36" s="1369"/>
      <c r="R36" s="1369"/>
      <c r="S36" s="1369"/>
      <c r="T36" s="1369"/>
      <c r="U36" s="1369"/>
      <c r="V36" s="1369"/>
      <c r="W36" s="1369"/>
      <c r="X36" s="1369"/>
      <c r="Y36" s="1369"/>
      <c r="Z36" s="1370"/>
    </row>
    <row r="37" spans="1:37">
      <c r="A37" s="2858"/>
      <c r="B37" s="2760" t="s">
        <v>2925</v>
      </c>
      <c r="C37" s="200" t="e">
        <f>ROUND(C5*C19*C20*C24*F37,0)</f>
        <v>#DIV/0!</v>
      </c>
      <c r="D37" s="2840"/>
      <c r="E37" s="200" t="e">
        <f t="shared" si="7"/>
        <v>#DIV/0!</v>
      </c>
      <c r="F37" s="206">
        <f>SUMIF(修正!A45:A56,G2,修正!F45:F56)</f>
        <v>0</v>
      </c>
      <c r="G37" s="200" t="e">
        <f t="shared" si="6"/>
        <v>#DIV/0!</v>
      </c>
      <c r="H37" s="200">
        <f t="shared" si="8"/>
        <v>0</v>
      </c>
      <c r="I37" s="200" t="e">
        <f t="shared" si="9"/>
        <v>#DIV/0!</v>
      </c>
      <c r="J37" s="2857"/>
      <c r="K37" s="1369"/>
      <c r="L37" s="2859" t="s">
        <v>2926</v>
      </c>
      <c r="M37" s="2860"/>
      <c r="N37" s="1369"/>
      <c r="O37" s="1369"/>
      <c r="P37" s="1369"/>
      <c r="Q37" s="1369"/>
      <c r="R37" s="1369"/>
      <c r="S37" s="1369"/>
      <c r="T37" s="1369"/>
      <c r="U37" s="1369"/>
      <c r="V37" s="1369"/>
      <c r="W37" s="1369"/>
      <c r="X37" s="1369"/>
      <c r="Y37" s="1369"/>
      <c r="Z37" s="1370"/>
    </row>
    <row r="38" spans="1:37">
      <c r="A38" s="2858"/>
      <c r="B38" s="2760" t="s">
        <v>2927</v>
      </c>
      <c r="C38" s="200" t="e">
        <f>ROUND(C5*C19*C20*C24*F38,0)</f>
        <v>#DIV/0!</v>
      </c>
      <c r="D38" s="2840"/>
      <c r="E38" s="200" t="e">
        <f t="shared" si="7"/>
        <v>#DIV/0!</v>
      </c>
      <c r="F38" s="206">
        <f>SUMIF(修正!A45:A56,G2,修正!G45:G56)</f>
        <v>0</v>
      </c>
      <c r="G38" s="200" t="e">
        <f t="shared" si="6"/>
        <v>#DIV/0!</v>
      </c>
      <c r="H38" s="200">
        <f t="shared" si="8"/>
        <v>0</v>
      </c>
      <c r="I38" s="200" t="e">
        <f t="shared" si="9"/>
        <v>#DIV/0!</v>
      </c>
      <c r="J38" s="2857"/>
      <c r="K38" s="1369"/>
      <c r="L38" s="1885" t="s">
        <v>2928</v>
      </c>
      <c r="M38" s="2861">
        <v>0.25</v>
      </c>
      <c r="N38" s="1369"/>
      <c r="O38" s="1369"/>
      <c r="P38" s="1369"/>
      <c r="Q38" s="1369"/>
      <c r="R38" s="1369"/>
      <c r="S38" s="1369"/>
      <c r="T38" s="1369"/>
      <c r="U38" s="1369"/>
      <c r="V38" s="1369"/>
      <c r="W38" s="1369"/>
      <c r="X38" s="1369"/>
      <c r="Y38" s="1369"/>
      <c r="Z38" s="1370"/>
    </row>
    <row r="39" spans="1:37" ht="13.5" thickBot="1">
      <c r="A39" s="2844"/>
      <c r="B39" s="2862" t="s">
        <v>2929</v>
      </c>
      <c r="C39" s="229" t="e">
        <f>ROUND(C5*C19*C20*C24*F39,0)</f>
        <v>#DIV/0!</v>
      </c>
      <c r="D39" s="2846"/>
      <c r="E39" s="229" t="e">
        <f t="shared" si="7"/>
        <v>#DIV/0!</v>
      </c>
      <c r="F39" s="934">
        <f>SUMIF(修正!A45:A56,G2,修正!H45:H56)</f>
        <v>0</v>
      </c>
      <c r="G39" s="229" t="e">
        <f t="shared" si="6"/>
        <v>#DIV/0!</v>
      </c>
      <c r="H39" s="229">
        <f t="shared" si="8"/>
        <v>0</v>
      </c>
      <c r="I39" s="229" t="e">
        <f t="shared" si="9"/>
        <v>#DIV/0!</v>
      </c>
      <c r="J39" s="2863"/>
      <c r="K39" s="1369"/>
      <c r="L39" s="2864" t="s">
        <v>2870</v>
      </c>
      <c r="M39" s="2865">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866"/>
      <c r="Z41" s="1370"/>
      <c r="AA41" s="1370"/>
      <c r="AB41" s="1370"/>
      <c r="AC41" s="1370"/>
      <c r="AD41" s="1370"/>
      <c r="AE41" s="1370"/>
      <c r="AF41" s="1370"/>
      <c r="AG41" s="1370"/>
      <c r="AH41" s="1370"/>
      <c r="AI41" s="1370"/>
      <c r="AJ41" s="1370"/>
    </row>
    <row r="42" spans="1:37" s="1369" customFormat="1">
      <c r="A42" s="1370"/>
      <c r="B42" s="2866"/>
      <c r="Z42" s="1370"/>
      <c r="AA42" s="1370"/>
      <c r="AB42" s="1370"/>
      <c r="AC42" s="1370"/>
      <c r="AD42" s="1370"/>
      <c r="AE42" s="1370"/>
      <c r="AF42" s="1370"/>
      <c r="AG42" s="1370"/>
      <c r="AH42" s="1370"/>
      <c r="AI42" s="1370"/>
      <c r="AJ42" s="1370"/>
    </row>
    <row r="43" spans="1:37" s="1369" customFormat="1">
      <c r="A43" s="1370"/>
      <c r="B43" s="2866"/>
      <c r="Z43" s="1370"/>
      <c r="AA43" s="1370"/>
      <c r="AB43" s="1370"/>
      <c r="AC43" s="1370"/>
      <c r="AD43" s="1370"/>
      <c r="AE43" s="1370"/>
      <c r="AF43" s="1370"/>
      <c r="AG43" s="1370"/>
      <c r="AH43" s="1370"/>
      <c r="AI43" s="1370"/>
      <c r="AJ43" s="1370"/>
    </row>
    <row r="44" spans="1:37" s="1369" customFormat="1">
      <c r="A44" s="1370"/>
      <c r="B44" s="2866"/>
      <c r="Z44" s="1370"/>
      <c r="AA44" s="1370"/>
      <c r="AB44" s="1370"/>
      <c r="AC44" s="1370"/>
      <c r="AD44" s="1370"/>
      <c r="AE44" s="1370"/>
      <c r="AF44" s="1370"/>
      <c r="AG44" s="1370"/>
      <c r="AH44" s="1370"/>
      <c r="AI44" s="1370"/>
      <c r="AJ44" s="1370"/>
    </row>
    <row r="45" spans="1:37" s="1369" customFormat="1" ht="15.75" thickBot="1">
      <c r="A45" s="2867" t="s">
        <v>2930</v>
      </c>
      <c r="B45" s="2868"/>
      <c r="C45" s="7"/>
      <c r="D45" s="7"/>
      <c r="E45" s="7"/>
      <c r="F45" s="6"/>
      <c r="G45" s="6"/>
      <c r="H45" s="6"/>
      <c r="I45" s="7"/>
      <c r="J45" s="7"/>
      <c r="K45" s="7"/>
      <c r="L45" s="7"/>
      <c r="M45" s="7"/>
      <c r="N45" s="2783"/>
      <c r="Z45" s="1370"/>
      <c r="AA45" s="1370"/>
      <c r="AB45" s="1370"/>
      <c r="AC45" s="1370"/>
      <c r="AD45" s="1370"/>
      <c r="AE45" s="1370"/>
      <c r="AF45" s="1370"/>
      <c r="AG45" s="1370"/>
      <c r="AH45" s="1370"/>
      <c r="AI45" s="1370"/>
      <c r="AJ45" s="1370"/>
    </row>
    <row r="46" spans="1:37" s="1369" customFormat="1" ht="15">
      <c r="A46" s="2869" t="s">
        <v>2931</v>
      </c>
      <c r="B46" s="2870">
        <f>1+E48</f>
        <v>1</v>
      </c>
      <c r="C46" s="2871"/>
      <c r="D46" s="813"/>
      <c r="E46" s="814"/>
      <c r="F46" s="2872"/>
      <c r="G46" s="6"/>
      <c r="H46" s="7"/>
      <c r="I46" s="7"/>
      <c r="J46" s="7"/>
      <c r="K46" s="7"/>
      <c r="L46" s="7"/>
      <c r="M46" s="7"/>
      <c r="N46" s="2783"/>
      <c r="Z46" s="1370"/>
      <c r="AA46" s="1370"/>
      <c r="AB46" s="1370"/>
      <c r="AC46" s="1370"/>
      <c r="AD46" s="1370"/>
      <c r="AE46" s="1370"/>
      <c r="AF46" s="1370"/>
      <c r="AG46" s="1370"/>
      <c r="AH46" s="1370"/>
      <c r="AI46" s="1370"/>
      <c r="AJ46" s="1370"/>
    </row>
    <row r="47" spans="1:37" s="1369" customFormat="1" ht="24.75">
      <c r="A47" s="2873" t="s">
        <v>2932</v>
      </c>
      <c r="B47" s="1807" t="s">
        <v>2933</v>
      </c>
      <c r="C47" s="1807" t="s">
        <v>2934</v>
      </c>
      <c r="D47" s="1807" t="s">
        <v>2935</v>
      </c>
      <c r="E47" s="818" t="s">
        <v>2936</v>
      </c>
      <c r="F47" s="2874" t="s">
        <v>2937</v>
      </c>
      <c r="G47" s="1807" t="s">
        <v>754</v>
      </c>
      <c r="H47" s="2875" t="s">
        <v>2938</v>
      </c>
      <c r="I47" s="1807" t="s">
        <v>2939</v>
      </c>
      <c r="J47" s="603" t="s">
        <v>2585</v>
      </c>
      <c r="K47" s="603" t="s">
        <v>2586</v>
      </c>
      <c r="L47" s="603" t="s">
        <v>2587</v>
      </c>
      <c r="M47" s="603" t="s">
        <v>2588</v>
      </c>
      <c r="N47" s="603" t="s">
        <v>2589</v>
      </c>
      <c r="AA47" s="1370"/>
      <c r="AB47" s="1370"/>
      <c r="AC47" s="1370"/>
      <c r="AD47" s="1370"/>
      <c r="AE47" s="1370"/>
      <c r="AF47" s="1370"/>
      <c r="AG47" s="1370"/>
      <c r="AH47" s="1370"/>
      <c r="AI47" s="1370"/>
      <c r="AJ47" s="1370"/>
      <c r="AK47" s="1370"/>
    </row>
    <row r="48" spans="1:37" s="1369" customFormat="1" ht="38.25">
      <c r="A48" s="2873" t="s">
        <v>2940</v>
      </c>
      <c r="B48" s="2876" t="str">
        <f>估价对象房地状况!C4</f>
        <v>周边商业有集美家居、银泰百货，人流量一般，商业繁华度一般</v>
      </c>
      <c r="C48" s="2765"/>
      <c r="D48" s="1285">
        <f t="shared" ref="D48:D56" si="10">SUMIF($J$47:$N$47,C48,J48:N48)</f>
        <v>0</v>
      </c>
      <c r="E48" s="820">
        <f>ROUND(SUM(D48:D56),4)</f>
        <v>0</v>
      </c>
      <c r="F48" s="2496" t="str">
        <f>IF(E2="商业",SUMIF(L1:L12,G2,N1:N12),"——")</f>
        <v>——</v>
      </c>
      <c r="G48" s="1283"/>
      <c r="H48" s="1287" t="str">
        <f t="shared" ref="H48:H56" si="11">IFERROR(ROUNDDOWN($F$48*I48/2,4),"——")</f>
        <v>——</v>
      </c>
      <c r="I48" s="819">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76.5">
      <c r="A49" s="2873" t="s">
        <v>2941</v>
      </c>
      <c r="B49" s="2877" t="str">
        <f>估价对象房地状况!C18</f>
        <v>估价对象周边有485、501、602、736、957路及地铁十号线等、公共交通通达情况较好、停车便捷程度较好，综合评价交通便捷度较好</v>
      </c>
      <c r="C49" s="2765"/>
      <c r="D49" s="1285">
        <f t="shared" si="10"/>
        <v>0</v>
      </c>
      <c r="E49" s="821"/>
      <c r="F49" s="2496"/>
      <c r="G49" s="1283"/>
      <c r="H49" s="1287" t="str">
        <f t="shared" si="11"/>
        <v>——</v>
      </c>
      <c r="I49" s="819">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73" t="s">
        <v>2942</v>
      </c>
      <c r="B50" s="2877">
        <f>估价对象房地状况!C19</f>
        <v>0</v>
      </c>
      <c r="C50" s="2765"/>
      <c r="D50" s="1285">
        <f t="shared" si="10"/>
        <v>0</v>
      </c>
      <c r="E50" s="821"/>
      <c r="F50" s="2496"/>
      <c r="G50" s="1283"/>
      <c r="H50" s="1287" t="str">
        <f t="shared" si="11"/>
        <v>——</v>
      </c>
      <c r="I50" s="819">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36.75">
      <c r="A51" s="2873" t="s">
        <v>2943</v>
      </c>
      <c r="B51" s="2878" t="s">
        <v>2944</v>
      </c>
      <c r="C51" s="2765"/>
      <c r="D51" s="1285">
        <f t="shared" si="10"/>
        <v>0</v>
      </c>
      <c r="E51" s="821"/>
      <c r="F51" s="2496"/>
      <c r="G51" s="1283"/>
      <c r="H51" s="1287" t="str">
        <f t="shared" si="11"/>
        <v>——</v>
      </c>
      <c r="I51" s="819">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c r="A52" s="2873" t="s">
        <v>2945</v>
      </c>
      <c r="B52" s="2877" t="str">
        <f>估价对象房地状况!C24</f>
        <v>支路</v>
      </c>
      <c r="C52" s="2765"/>
      <c r="D52" s="1285">
        <f t="shared" si="10"/>
        <v>0</v>
      </c>
      <c r="E52" s="821"/>
      <c r="F52" s="2496"/>
      <c r="G52" s="1283"/>
      <c r="H52" s="1287" t="str">
        <f t="shared" si="11"/>
        <v>——</v>
      </c>
      <c r="I52" s="819">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24">
      <c r="A53" s="2873" t="s">
        <v>2946</v>
      </c>
      <c r="B53" s="2879" t="s">
        <v>2947</v>
      </c>
      <c r="C53" s="2765"/>
      <c r="D53" s="1285">
        <f t="shared" si="10"/>
        <v>0</v>
      </c>
      <c r="E53" s="821"/>
      <c r="F53" s="2496"/>
      <c r="G53" s="1283"/>
      <c r="H53" s="1287" t="str">
        <f t="shared" si="11"/>
        <v>——</v>
      </c>
      <c r="I53" s="819">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63.75">
      <c r="A54" s="2880" t="s">
        <v>2948</v>
      </c>
      <c r="B54" s="1724" t="str">
        <f>估价对象房地状况!C21</f>
        <v>周边有中国建设银行、广东发展银行、集美家居、物美超市、西马金润小学、丰台第一小学远洋分校等，公共配套设施较齐备</v>
      </c>
      <c r="C54" s="2765"/>
      <c r="D54" s="1285">
        <f t="shared" si="10"/>
        <v>0</v>
      </c>
      <c r="E54" s="821"/>
      <c r="F54" s="2496"/>
      <c r="G54" s="1283"/>
      <c r="H54" s="1287" t="str">
        <f t="shared" si="11"/>
        <v>——</v>
      </c>
      <c r="I54" s="819">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4">
      <c r="A55" s="2880" t="s">
        <v>2949</v>
      </c>
      <c r="B55" s="2877" t="str">
        <f>估价对象房地状况!C22</f>
        <v>七通</v>
      </c>
      <c r="C55" s="2765"/>
      <c r="D55" s="1285">
        <f t="shared" si="10"/>
        <v>0</v>
      </c>
      <c r="E55" s="821"/>
      <c r="F55" s="2496"/>
      <c r="G55" s="1283"/>
      <c r="H55" s="1287" t="str">
        <f t="shared" si="11"/>
        <v>——</v>
      </c>
      <c r="I55" s="819">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26.25" thickBot="1">
      <c r="A56" s="2881" t="s">
        <v>2950</v>
      </c>
      <c r="B56" s="2882" t="str">
        <f>估价对象房地状况!C20</f>
        <v>周边有桃苑公园自然及人文环境一般</v>
      </c>
      <c r="C56" s="2765"/>
      <c r="D56" s="1285">
        <f t="shared" si="10"/>
        <v>0</v>
      </c>
      <c r="E56" s="824"/>
      <c r="F56" s="2496"/>
      <c r="G56" s="1283"/>
      <c r="H56" s="1287" t="str">
        <f t="shared" si="11"/>
        <v>——</v>
      </c>
      <c r="I56" s="823">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5">
      <c r="A57" s="2869" t="s">
        <v>2951</v>
      </c>
      <c r="B57" s="2870">
        <f>1+E59</f>
        <v>1</v>
      </c>
      <c r="C57" s="813"/>
      <c r="D57" s="813"/>
      <c r="E57" s="814"/>
      <c r="F57" s="2872"/>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73" t="s">
        <v>2932</v>
      </c>
      <c r="B58" s="1807"/>
      <c r="C58" s="1807" t="s">
        <v>2934</v>
      </c>
      <c r="D58" s="1807" t="s">
        <v>2935</v>
      </c>
      <c r="E58" s="818" t="s">
        <v>2936</v>
      </c>
      <c r="F58" s="2874" t="s">
        <v>2952</v>
      </c>
      <c r="G58" s="1807" t="s">
        <v>754</v>
      </c>
      <c r="H58" s="2875" t="s">
        <v>2938</v>
      </c>
      <c r="I58" s="1807" t="s">
        <v>2939</v>
      </c>
      <c r="J58" s="603" t="s">
        <v>2585</v>
      </c>
      <c r="K58" s="603" t="s">
        <v>2586</v>
      </c>
      <c r="L58" s="603" t="s">
        <v>2587</v>
      </c>
      <c r="M58" s="603" t="s">
        <v>2588</v>
      </c>
      <c r="N58" s="603" t="s">
        <v>2589</v>
      </c>
      <c r="AA58" s="1370"/>
      <c r="AB58" s="1370"/>
      <c r="AC58" s="1370"/>
      <c r="AD58" s="1370"/>
      <c r="AE58" s="1370"/>
      <c r="AF58" s="1370"/>
      <c r="AG58" s="1370"/>
      <c r="AH58" s="1370"/>
      <c r="AI58" s="1370"/>
      <c r="AJ58" s="1370"/>
      <c r="AK58" s="1370"/>
    </row>
    <row r="59" spans="1:37" s="1369" customFormat="1" ht="24">
      <c r="A59" s="2873" t="s">
        <v>2953</v>
      </c>
      <c r="B59" s="2876">
        <f>估价对象房地状况!C17</f>
        <v>0</v>
      </c>
      <c r="C59" s="2765"/>
      <c r="D59" s="1285">
        <f t="shared" ref="D59:D67" si="15">SUMIF($J$58:$N$58,C59,J59:N59)</f>
        <v>0</v>
      </c>
      <c r="E59" s="820">
        <f>ROUND(SUM(D59:D67),4)</f>
        <v>0</v>
      </c>
      <c r="F59" s="2496" t="str">
        <f>IF(E2="办公",SUMIF(L1:L12,G2,N1:N12),"——")</f>
        <v>——</v>
      </c>
      <c r="G59" s="1283"/>
      <c r="H59" s="1287" t="str">
        <f t="shared" ref="H59:H67" si="16">IFERROR(ROUNDDOWN($F$59*I59/2,4),"——")</f>
        <v>——</v>
      </c>
      <c r="I59" s="819">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76.5">
      <c r="A60" s="2873" t="s">
        <v>2941</v>
      </c>
      <c r="B60" s="2877" t="str">
        <f>估价对象房地状况!C18</f>
        <v>估价对象周边有485、501、602、736、957路及地铁十号线等、公共交通通达情况较好、停车便捷程度较好，综合评价交通便捷度较好</v>
      </c>
      <c r="C60" s="2765"/>
      <c r="D60" s="1285">
        <f t="shared" si="15"/>
        <v>0</v>
      </c>
      <c r="E60" s="821"/>
      <c r="F60" s="2496"/>
      <c r="G60" s="1283"/>
      <c r="H60" s="1287" t="str">
        <f t="shared" si="16"/>
        <v>——</v>
      </c>
      <c r="I60" s="819">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c r="A61" s="2873" t="s">
        <v>2942</v>
      </c>
      <c r="B61" s="2877">
        <f>估价对象房地状况!C19</f>
        <v>0</v>
      </c>
      <c r="C61" s="2765"/>
      <c r="D61" s="1285">
        <f t="shared" si="15"/>
        <v>0</v>
      </c>
      <c r="E61" s="821"/>
      <c r="F61" s="2496"/>
      <c r="G61" s="1283"/>
      <c r="H61" s="1287" t="str">
        <f t="shared" si="16"/>
        <v>——</v>
      </c>
      <c r="I61" s="819">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36.75">
      <c r="A62" s="2873" t="s">
        <v>2943</v>
      </c>
      <c r="B62" s="2878" t="s">
        <v>2944</v>
      </c>
      <c r="C62" s="2765"/>
      <c r="D62" s="1285">
        <f t="shared" si="15"/>
        <v>0</v>
      </c>
      <c r="E62" s="821"/>
      <c r="F62" s="2496"/>
      <c r="G62" s="1283"/>
      <c r="H62" s="1287" t="str">
        <f t="shared" si="16"/>
        <v>——</v>
      </c>
      <c r="I62" s="819">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4">
      <c r="A63" s="2873" t="s">
        <v>2945</v>
      </c>
      <c r="B63" s="2877" t="str">
        <f>估价对象房地状况!C24</f>
        <v>支路</v>
      </c>
      <c r="C63" s="2765"/>
      <c r="D63" s="1285">
        <f t="shared" si="15"/>
        <v>0</v>
      </c>
      <c r="E63" s="821"/>
      <c r="F63" s="2496"/>
      <c r="G63" s="1283"/>
      <c r="H63" s="1287" t="str">
        <f t="shared" si="16"/>
        <v>——</v>
      </c>
      <c r="I63" s="819">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24">
      <c r="A64" s="2873" t="s">
        <v>2946</v>
      </c>
      <c r="B64" s="2879" t="s">
        <v>2947</v>
      </c>
      <c r="C64" s="2765"/>
      <c r="D64" s="1285">
        <f t="shared" si="15"/>
        <v>0</v>
      </c>
      <c r="E64" s="821"/>
      <c r="F64" s="2496"/>
      <c r="G64" s="1283"/>
      <c r="H64" s="1287" t="str">
        <f t="shared" si="16"/>
        <v>——</v>
      </c>
      <c r="I64" s="819">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63.75">
      <c r="A65" s="2873" t="s">
        <v>2948</v>
      </c>
      <c r="B65" s="1724" t="str">
        <f>估价对象房地状况!C21</f>
        <v>周边有中国建设银行、广东发展银行、集美家居、物美超市、西马金润小学、丰台第一小学远洋分校等，公共配套设施较齐备</v>
      </c>
      <c r="C65" s="2765"/>
      <c r="D65" s="1285">
        <f t="shared" si="15"/>
        <v>0</v>
      </c>
      <c r="E65" s="821"/>
      <c r="F65" s="2496"/>
      <c r="G65" s="1283"/>
      <c r="H65" s="1287" t="str">
        <f t="shared" si="16"/>
        <v>——</v>
      </c>
      <c r="I65" s="819">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4">
      <c r="A66" s="2873" t="s">
        <v>2949</v>
      </c>
      <c r="B66" s="1724" t="str">
        <f>估价对象房地状况!C22</f>
        <v>七通</v>
      </c>
      <c r="C66" s="2765"/>
      <c r="D66" s="1285">
        <f t="shared" si="15"/>
        <v>0</v>
      </c>
      <c r="E66" s="821"/>
      <c r="F66" s="2496"/>
      <c r="G66" s="1283"/>
      <c r="H66" s="1287" t="str">
        <f t="shared" si="16"/>
        <v>——</v>
      </c>
      <c r="I66" s="819">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26.25" thickBot="1">
      <c r="A67" s="2881" t="s">
        <v>2950</v>
      </c>
      <c r="B67" s="2883" t="str">
        <f>估价对象房地状况!C20</f>
        <v>周边有桃苑公园自然及人文环境一般</v>
      </c>
      <c r="C67" s="2765"/>
      <c r="D67" s="1285">
        <f t="shared" si="15"/>
        <v>0</v>
      </c>
      <c r="E67" s="824"/>
      <c r="F67" s="2496"/>
      <c r="G67" s="1283"/>
      <c r="H67" s="1287" t="str">
        <f t="shared" si="16"/>
        <v>——</v>
      </c>
      <c r="I67" s="823">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5">
      <c r="A68" s="2869" t="s">
        <v>2954</v>
      </c>
      <c r="B68" s="2870">
        <f>1+E70</f>
        <v>1</v>
      </c>
      <c r="C68" s="813"/>
      <c r="D68" s="813"/>
      <c r="E68" s="814"/>
      <c r="F68" s="2872"/>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73" t="s">
        <v>2932</v>
      </c>
      <c r="B69" s="1807"/>
      <c r="C69" s="1807" t="s">
        <v>2934</v>
      </c>
      <c r="D69" s="1807" t="s">
        <v>2935</v>
      </c>
      <c r="E69" s="818" t="s">
        <v>2936</v>
      </c>
      <c r="F69" s="2874" t="s">
        <v>2952</v>
      </c>
      <c r="G69" s="1807" t="s">
        <v>754</v>
      </c>
      <c r="H69" s="2875" t="s">
        <v>2938</v>
      </c>
      <c r="I69" s="1807" t="s">
        <v>2939</v>
      </c>
      <c r="J69" s="603" t="s">
        <v>2585</v>
      </c>
      <c r="K69" s="603" t="s">
        <v>2586</v>
      </c>
      <c r="L69" s="603" t="s">
        <v>2587</v>
      </c>
      <c r="M69" s="603" t="s">
        <v>2588</v>
      </c>
      <c r="N69" s="603" t="s">
        <v>2589</v>
      </c>
      <c r="AA69" s="1370"/>
      <c r="AB69" s="1370"/>
      <c r="AC69" s="1370"/>
      <c r="AD69" s="1370"/>
      <c r="AE69" s="1370"/>
      <c r="AF69" s="1370"/>
      <c r="AG69" s="1370"/>
      <c r="AH69" s="1370"/>
      <c r="AI69" s="1370"/>
      <c r="AJ69" s="1370"/>
      <c r="AK69" s="1370"/>
    </row>
    <row r="70" spans="1:37" s="1369" customFormat="1" ht="24">
      <c r="A70" s="2873" t="s">
        <v>2955</v>
      </c>
      <c r="B70" s="2876">
        <f>估价对象房地状况!C15</f>
        <v>0</v>
      </c>
      <c r="C70" s="2765"/>
      <c r="D70" s="1285">
        <f t="shared" ref="D70:D78" si="20">SUMIF($J$69:$N$69,C70,J70:N70)</f>
        <v>0</v>
      </c>
      <c r="E70" s="820">
        <f>ROUND(SUM(D70:D78),4)</f>
        <v>0</v>
      </c>
      <c r="F70" s="2496" t="str">
        <f>IF(E2="住宅",SUMIF(L1:L12,G2,N1:N12),"——")</f>
        <v>——</v>
      </c>
      <c r="G70" s="1283"/>
      <c r="H70" s="1287" t="str">
        <f t="shared" ref="H70:H78" si="21">IFERROR(ROUNDDOWN($F$70*I70/2,4),"——")</f>
        <v>——</v>
      </c>
      <c r="I70" s="819">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76.5">
      <c r="A71" s="2873" t="s">
        <v>2941</v>
      </c>
      <c r="B71" s="2877" t="str">
        <f>估价对象房地状况!C18</f>
        <v>估价对象周边有485、501、602、736、957路及地铁十号线等、公共交通通达情况较好、停车便捷程度较好，综合评价交通便捷度较好</v>
      </c>
      <c r="C71" s="2765"/>
      <c r="D71" s="1285">
        <f t="shared" si="20"/>
        <v>0</v>
      </c>
      <c r="E71" s="825"/>
      <c r="F71" s="2496"/>
      <c r="G71" s="1283"/>
      <c r="H71" s="1287" t="str">
        <f t="shared" si="21"/>
        <v>——</v>
      </c>
      <c r="I71" s="819">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73" t="s">
        <v>2942</v>
      </c>
      <c r="B72" s="2877">
        <f>估价对象房地状况!C19</f>
        <v>0</v>
      </c>
      <c r="C72" s="2765"/>
      <c r="D72" s="1285">
        <f t="shared" si="20"/>
        <v>0</v>
      </c>
      <c r="E72" s="825"/>
      <c r="F72" s="2496"/>
      <c r="G72" s="1283"/>
      <c r="H72" s="1287" t="str">
        <f t="shared" si="21"/>
        <v>——</v>
      </c>
      <c r="I72" s="819">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4.25">
      <c r="A73" s="2873" t="s">
        <v>2956</v>
      </c>
      <c r="B73" s="2877" t="str">
        <f>估价对象房地状况!C24</f>
        <v>支路</v>
      </c>
      <c r="C73" s="2765"/>
      <c r="D73" s="1285">
        <f t="shared" si="20"/>
        <v>0</v>
      </c>
      <c r="E73" s="825"/>
      <c r="F73" s="2496"/>
      <c r="G73" s="1283"/>
      <c r="H73" s="1287" t="str">
        <f t="shared" si="21"/>
        <v>——</v>
      </c>
      <c r="I73" s="819">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63.75">
      <c r="A74" s="2873" t="s">
        <v>2948</v>
      </c>
      <c r="B74" s="1724" t="str">
        <f>估价对象房地状况!C21</f>
        <v>周边有中国建设银行、广东发展银行、集美家居、物美超市、西马金润小学、丰台第一小学远洋分校等，公共配套设施较齐备</v>
      </c>
      <c r="C74" s="2765"/>
      <c r="D74" s="1285">
        <f t="shared" si="20"/>
        <v>0</v>
      </c>
      <c r="E74" s="825"/>
      <c r="F74" s="2496"/>
      <c r="G74" s="1283"/>
      <c r="H74" s="1287" t="str">
        <f t="shared" si="21"/>
        <v>——</v>
      </c>
      <c r="I74" s="819">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4">
      <c r="A75" s="2873" t="s">
        <v>2949</v>
      </c>
      <c r="B75" s="1724" t="str">
        <f>估价对象房地状况!C22</f>
        <v>七通</v>
      </c>
      <c r="C75" s="2765"/>
      <c r="D75" s="1285">
        <f t="shared" si="20"/>
        <v>0</v>
      </c>
      <c r="E75" s="825"/>
      <c r="F75" s="2496"/>
      <c r="G75" s="1283"/>
      <c r="H75" s="1287" t="str">
        <f t="shared" si="21"/>
        <v>——</v>
      </c>
      <c r="I75" s="819">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14" customFormat="1" ht="24">
      <c r="A76" s="2873" t="s">
        <v>2946</v>
      </c>
      <c r="B76" s="2879" t="s">
        <v>2947</v>
      </c>
      <c r="C76" s="2765"/>
      <c r="D76" s="1285">
        <f t="shared" si="20"/>
        <v>0</v>
      </c>
      <c r="E76" s="825"/>
      <c r="F76" s="2496"/>
      <c r="G76" s="1283"/>
      <c r="H76" s="1287" t="str">
        <f t="shared" si="21"/>
        <v>——</v>
      </c>
      <c r="I76" s="819">
        <v>0.05</v>
      </c>
      <c r="J76" s="1284">
        <f t="shared" si="22"/>
        <v>0</v>
      </c>
      <c r="K76" s="1284">
        <f t="shared" si="23"/>
        <v>0</v>
      </c>
      <c r="L76" s="1284">
        <v>0</v>
      </c>
      <c r="M76" s="1284">
        <f t="shared" si="24"/>
        <v>0</v>
      </c>
      <c r="N76" s="1284">
        <f t="shared" si="24"/>
        <v>0</v>
      </c>
      <c r="AA76" s="2884"/>
      <c r="AB76" s="1370"/>
      <c r="AC76" s="1370"/>
      <c r="AD76" s="1370"/>
      <c r="AE76" s="1370"/>
      <c r="AF76" s="1370"/>
      <c r="AG76" s="1370"/>
      <c r="AH76" s="2884"/>
      <c r="AI76" s="2884"/>
      <c r="AJ76" s="2884"/>
      <c r="AK76" s="2884"/>
    </row>
    <row r="77" spans="1:37" ht="25.5">
      <c r="A77" s="2873" t="s">
        <v>2950</v>
      </c>
      <c r="B77" s="2876" t="str">
        <f>估价对象房地状况!C20</f>
        <v>周边有桃苑公园自然及人文环境一般</v>
      </c>
      <c r="C77" s="2765"/>
      <c r="D77" s="1285">
        <f t="shared" si="20"/>
        <v>0</v>
      </c>
      <c r="E77" s="825"/>
      <c r="F77" s="2496"/>
      <c r="G77" s="1283"/>
      <c r="H77" s="1287" t="str">
        <f t="shared" si="21"/>
        <v>——</v>
      </c>
      <c r="I77" s="819">
        <v>0.15</v>
      </c>
      <c r="J77" s="1284">
        <f t="shared" si="22"/>
        <v>0</v>
      </c>
      <c r="K77" s="1284">
        <f t="shared" si="23"/>
        <v>0</v>
      </c>
      <c r="L77" s="1284">
        <v>0</v>
      </c>
      <c r="M77" s="1284">
        <f t="shared" si="24"/>
        <v>0</v>
      </c>
      <c r="N77" s="1284">
        <f t="shared" si="24"/>
        <v>0</v>
      </c>
      <c r="Z77" s="2715"/>
      <c r="AA77" s="2791"/>
      <c r="AG77" s="1371"/>
      <c r="AK77" s="2791"/>
    </row>
    <row r="78" spans="1:37" ht="24.75" thickBot="1">
      <c r="A78" s="2881" t="s">
        <v>2957</v>
      </c>
      <c r="B78" s="2885"/>
      <c r="C78" s="2765"/>
      <c r="D78" s="1285">
        <f t="shared" si="20"/>
        <v>0</v>
      </c>
      <c r="E78" s="826"/>
      <c r="F78" s="2496"/>
      <c r="G78" s="1283"/>
      <c r="H78" s="1287" t="str">
        <f t="shared" si="21"/>
        <v>——</v>
      </c>
      <c r="I78" s="823">
        <v>0.04</v>
      </c>
      <c r="J78" s="1284">
        <f t="shared" si="22"/>
        <v>0</v>
      </c>
      <c r="K78" s="1284">
        <f t="shared" si="23"/>
        <v>0</v>
      </c>
      <c r="L78" s="1284">
        <v>0</v>
      </c>
      <c r="M78" s="1284">
        <f t="shared" si="24"/>
        <v>0</v>
      </c>
      <c r="N78" s="1284">
        <f t="shared" si="24"/>
        <v>0</v>
      </c>
      <c r="Z78" s="2715"/>
      <c r="AA78" s="2791"/>
      <c r="AG78" s="1371"/>
      <c r="AK78" s="2791"/>
    </row>
    <row r="79" spans="1:37" ht="15">
      <c r="A79" s="2869" t="s">
        <v>2958</v>
      </c>
      <c r="B79" s="2870">
        <f>1+E81</f>
        <v>1</v>
      </c>
      <c r="C79" s="813"/>
      <c r="D79" s="813"/>
      <c r="E79" s="814"/>
      <c r="F79" s="2872"/>
      <c r="G79" s="6"/>
      <c r="H79" s="6"/>
      <c r="I79" s="6"/>
      <c r="J79" s="7"/>
      <c r="K79" s="7"/>
      <c r="L79" s="7"/>
      <c r="M79" s="7"/>
      <c r="N79" s="7"/>
      <c r="Z79" s="2715"/>
      <c r="AA79" s="2791"/>
      <c r="AG79" s="1371"/>
      <c r="AK79" s="2791"/>
    </row>
    <row r="80" spans="1:37" ht="24.75">
      <c r="A80" s="2873" t="s">
        <v>2932</v>
      </c>
      <c r="B80" s="1807"/>
      <c r="C80" s="1807" t="s">
        <v>2934</v>
      </c>
      <c r="D80" s="1807" t="s">
        <v>2935</v>
      </c>
      <c r="E80" s="818" t="s">
        <v>2936</v>
      </c>
      <c r="F80" s="2874" t="s">
        <v>2952</v>
      </c>
      <c r="G80" s="1807" t="s">
        <v>754</v>
      </c>
      <c r="H80" s="2875" t="s">
        <v>2938</v>
      </c>
      <c r="I80" s="1807" t="s">
        <v>2939</v>
      </c>
      <c r="J80" s="603" t="s">
        <v>2585</v>
      </c>
      <c r="K80" s="603" t="s">
        <v>2586</v>
      </c>
      <c r="L80" s="603" t="s">
        <v>2587</v>
      </c>
      <c r="M80" s="603" t="s">
        <v>2588</v>
      </c>
      <c r="N80" s="603" t="s">
        <v>2589</v>
      </c>
      <c r="Z80" s="2715"/>
      <c r="AA80" s="2791"/>
      <c r="AG80" s="1371"/>
      <c r="AK80" s="2791"/>
    </row>
    <row r="81" spans="1:37" ht="24">
      <c r="A81" s="2873" t="s">
        <v>2959</v>
      </c>
      <c r="B81" s="2877">
        <f>估价对象房地状况!G15</f>
        <v>0</v>
      </c>
      <c r="C81" s="2765"/>
      <c r="D81" s="1285">
        <f t="shared" ref="D81:D88" si="25">SUMIF($J$80:$N$80,C81,J81:N81)</f>
        <v>0</v>
      </c>
      <c r="E81" s="820">
        <f>ROUND(SUM(D81:D88),4)</f>
        <v>0</v>
      </c>
      <c r="F81" s="2496" t="str">
        <f>IF(E2="工业",SUMIF(L1:L12,G2,N1:N12),"——")</f>
        <v>——</v>
      </c>
      <c r="G81" s="1283"/>
      <c r="H81" s="1287" t="str">
        <f t="shared" ref="H81:H88" si="26">IFERROR(ROUNDDOWN($F$81*I81/2,4),"——")</f>
        <v>——</v>
      </c>
      <c r="I81" s="819">
        <v>0.26</v>
      </c>
      <c r="J81" s="1284">
        <f t="shared" ref="J81:J88" si="27">K81+$G81</f>
        <v>0</v>
      </c>
      <c r="K81" s="1284">
        <f t="shared" ref="K81:K88" si="28">$L81+$G81</f>
        <v>0</v>
      </c>
      <c r="L81" s="1284">
        <v>0</v>
      </c>
      <c r="M81" s="1284">
        <f t="shared" ref="M81:N88" si="29">L81-$G81</f>
        <v>0</v>
      </c>
      <c r="N81" s="1284">
        <f t="shared" si="29"/>
        <v>0</v>
      </c>
      <c r="Z81" s="2715"/>
      <c r="AA81" s="2791"/>
      <c r="AG81" s="1371"/>
      <c r="AK81" s="2791"/>
    </row>
    <row r="82" spans="1:37" ht="14.25">
      <c r="A82" s="2873" t="s">
        <v>2941</v>
      </c>
      <c r="B82" s="2877">
        <f>估价对象房地状况!G16</f>
        <v>0</v>
      </c>
      <c r="C82" s="2765"/>
      <c r="D82" s="1285">
        <f t="shared" si="25"/>
        <v>0</v>
      </c>
      <c r="E82" s="825"/>
      <c r="F82" s="2496"/>
      <c r="G82" s="1283"/>
      <c r="H82" s="1287" t="str">
        <f t="shared" si="26"/>
        <v>——</v>
      </c>
      <c r="I82" s="819">
        <v>0.33</v>
      </c>
      <c r="J82" s="1284">
        <f t="shared" si="27"/>
        <v>0</v>
      </c>
      <c r="K82" s="1284">
        <f t="shared" si="28"/>
        <v>0</v>
      </c>
      <c r="L82" s="1284">
        <v>0</v>
      </c>
      <c r="M82" s="1284">
        <f t="shared" si="29"/>
        <v>0</v>
      </c>
      <c r="N82" s="1284">
        <f t="shared" si="29"/>
        <v>0</v>
      </c>
      <c r="Z82" s="2715"/>
      <c r="AA82" s="2791"/>
      <c r="AG82" s="1371"/>
      <c r="AK82" s="2791"/>
    </row>
    <row r="83" spans="1:37" ht="24">
      <c r="A83" s="2873" t="s">
        <v>2942</v>
      </c>
      <c r="B83" s="2877">
        <f>估价对象房地状况!G17</f>
        <v>0</v>
      </c>
      <c r="C83" s="2765"/>
      <c r="D83" s="1285">
        <f t="shared" si="25"/>
        <v>0</v>
      </c>
      <c r="E83" s="825"/>
      <c r="F83" s="2496"/>
      <c r="G83" s="1283"/>
      <c r="H83" s="1287" t="str">
        <f t="shared" si="26"/>
        <v>——</v>
      </c>
      <c r="I83" s="819">
        <v>0.05</v>
      </c>
      <c r="J83" s="1284">
        <f t="shared" si="27"/>
        <v>0</v>
      </c>
      <c r="K83" s="1284">
        <f t="shared" si="28"/>
        <v>0</v>
      </c>
      <c r="L83" s="1284">
        <v>0</v>
      </c>
      <c r="M83" s="1284">
        <f t="shared" si="29"/>
        <v>0</v>
      </c>
      <c r="N83" s="1284">
        <f t="shared" si="29"/>
        <v>0</v>
      </c>
      <c r="Z83" s="2715"/>
      <c r="AA83" s="2791"/>
      <c r="AG83" s="1371"/>
      <c r="AK83" s="2791"/>
    </row>
    <row r="84" spans="1:37" ht="14.25">
      <c r="A84" s="2873" t="s">
        <v>2956</v>
      </c>
      <c r="B84" s="2877">
        <f>估价对象房地状况!G22</f>
        <v>0</v>
      </c>
      <c r="C84" s="2765"/>
      <c r="D84" s="1285">
        <f t="shared" si="25"/>
        <v>0</v>
      </c>
      <c r="E84" s="825"/>
      <c r="F84" s="2496"/>
      <c r="G84" s="1283"/>
      <c r="H84" s="1287" t="str">
        <f t="shared" si="26"/>
        <v>——</v>
      </c>
      <c r="I84" s="819">
        <v>0.04</v>
      </c>
      <c r="J84" s="1284">
        <f t="shared" si="27"/>
        <v>0</v>
      </c>
      <c r="K84" s="1284">
        <f t="shared" si="28"/>
        <v>0</v>
      </c>
      <c r="L84" s="1284">
        <v>0</v>
      </c>
      <c r="M84" s="1284">
        <f t="shared" si="29"/>
        <v>0</v>
      </c>
      <c r="N84" s="1284">
        <f t="shared" si="29"/>
        <v>0</v>
      </c>
      <c r="Z84" s="2715"/>
      <c r="AA84" s="2791"/>
      <c r="AG84" s="1371"/>
      <c r="AK84" s="2791"/>
    </row>
    <row r="85" spans="1:37" ht="24">
      <c r="A85" s="2873" t="s">
        <v>2948</v>
      </c>
      <c r="B85" s="1724">
        <f>估价对象房地状况!G19</f>
        <v>0</v>
      </c>
      <c r="C85" s="2765"/>
      <c r="D85" s="1285">
        <f t="shared" si="25"/>
        <v>0</v>
      </c>
      <c r="E85" s="825"/>
      <c r="F85" s="2496"/>
      <c r="G85" s="1283"/>
      <c r="H85" s="1287" t="str">
        <f t="shared" si="26"/>
        <v>——</v>
      </c>
      <c r="I85" s="819">
        <v>0.06</v>
      </c>
      <c r="J85" s="1284">
        <f t="shared" si="27"/>
        <v>0</v>
      </c>
      <c r="K85" s="1284">
        <f t="shared" si="28"/>
        <v>0</v>
      </c>
      <c r="L85" s="1284">
        <v>0</v>
      </c>
      <c r="M85" s="1284">
        <f t="shared" si="29"/>
        <v>0</v>
      </c>
      <c r="N85" s="1284">
        <f t="shared" si="29"/>
        <v>0</v>
      </c>
      <c r="Z85" s="2715"/>
      <c r="AA85" s="2791"/>
      <c r="AG85" s="1371"/>
      <c r="AK85" s="2791"/>
    </row>
    <row r="86" spans="1:37" ht="24">
      <c r="A86" s="2873" t="s">
        <v>2949</v>
      </c>
      <c r="B86" s="1724">
        <f>估价对象房地状况!G20</f>
        <v>0</v>
      </c>
      <c r="C86" s="2765"/>
      <c r="D86" s="1285">
        <f t="shared" si="25"/>
        <v>0</v>
      </c>
      <c r="E86" s="825"/>
      <c r="F86" s="2496"/>
      <c r="G86" s="1283"/>
      <c r="H86" s="1287" t="str">
        <f t="shared" si="26"/>
        <v>——</v>
      </c>
      <c r="I86" s="819">
        <v>0.15</v>
      </c>
      <c r="J86" s="1284">
        <f t="shared" si="27"/>
        <v>0</v>
      </c>
      <c r="K86" s="1284">
        <f t="shared" si="28"/>
        <v>0</v>
      </c>
      <c r="L86" s="1284">
        <v>0</v>
      </c>
      <c r="M86" s="1284">
        <f t="shared" si="29"/>
        <v>0</v>
      </c>
      <c r="N86" s="1284">
        <f t="shared" si="29"/>
        <v>0</v>
      </c>
      <c r="Z86" s="2715"/>
      <c r="AA86" s="2791"/>
      <c r="AG86" s="1371"/>
      <c r="AK86" s="2791"/>
    </row>
    <row r="87" spans="1:37" ht="24">
      <c r="A87" s="2873" t="s">
        <v>2946</v>
      </c>
      <c r="B87" s="2879" t="s">
        <v>2960</v>
      </c>
      <c r="C87" s="2765"/>
      <c r="D87" s="1285">
        <f t="shared" si="25"/>
        <v>0</v>
      </c>
      <c r="E87" s="825"/>
      <c r="F87" s="2496"/>
      <c r="G87" s="1283"/>
      <c r="H87" s="1287" t="str">
        <f t="shared" si="26"/>
        <v>——</v>
      </c>
      <c r="I87" s="819">
        <v>0.05</v>
      </c>
      <c r="J87" s="1284">
        <f t="shared" si="27"/>
        <v>0</v>
      </c>
      <c r="K87" s="1284">
        <f t="shared" si="28"/>
        <v>0</v>
      </c>
      <c r="L87" s="1284">
        <v>0</v>
      </c>
      <c r="M87" s="1284">
        <f t="shared" si="29"/>
        <v>0</v>
      </c>
      <c r="N87" s="1284">
        <f t="shared" si="29"/>
        <v>0</v>
      </c>
      <c r="Z87" s="2715"/>
      <c r="AA87" s="2791"/>
      <c r="AG87" s="1371"/>
      <c r="AK87" s="2791"/>
    </row>
    <row r="88" spans="1:37" ht="15" thickBot="1">
      <c r="A88" s="2881" t="s">
        <v>2961</v>
      </c>
      <c r="B88" s="2886">
        <f>估价对象房地状况!G18</f>
        <v>0</v>
      </c>
      <c r="C88" s="2765"/>
      <c r="D88" s="1285">
        <f t="shared" si="25"/>
        <v>0</v>
      </c>
      <c r="E88" s="826"/>
      <c r="F88" s="2496"/>
      <c r="G88" s="1283"/>
      <c r="H88" s="1287" t="str">
        <f t="shared" si="26"/>
        <v>——</v>
      </c>
      <c r="I88" s="823">
        <v>0.06</v>
      </c>
      <c r="J88" s="1284">
        <f t="shared" si="27"/>
        <v>0</v>
      </c>
      <c r="K88" s="1284">
        <f t="shared" si="28"/>
        <v>0</v>
      </c>
      <c r="L88" s="1284">
        <v>0</v>
      </c>
      <c r="M88" s="1284">
        <f t="shared" si="29"/>
        <v>0</v>
      </c>
      <c r="N88" s="1284">
        <f t="shared" si="29"/>
        <v>0</v>
      </c>
      <c r="Z88" s="2715"/>
      <c r="AA88" s="2791"/>
      <c r="AG88" s="1371"/>
      <c r="AK88" s="2791"/>
    </row>
    <row r="90" spans="1:37">
      <c r="A90" s="3310" t="s">
        <v>2962</v>
      </c>
      <c r="B90" s="3310"/>
      <c r="C90" s="3310"/>
      <c r="D90" s="3310"/>
      <c r="E90" s="3310"/>
      <c r="F90" s="3310"/>
      <c r="G90" s="3310"/>
      <c r="H90" s="3310"/>
      <c r="I90" s="3310"/>
      <c r="J90" s="3310"/>
      <c r="K90" s="2887"/>
      <c r="L90" s="2887"/>
      <c r="M90" s="2887"/>
      <c r="N90" s="2887"/>
    </row>
    <row r="91" spans="1:37">
      <c r="A91" s="3312" t="s">
        <v>2963</v>
      </c>
      <c r="B91" s="3312" t="s">
        <v>2964</v>
      </c>
      <c r="C91" s="2841" t="s">
        <v>2965</v>
      </c>
      <c r="D91" s="2842"/>
      <c r="E91" s="2842"/>
      <c r="F91" s="2842"/>
      <c r="G91" s="2842"/>
      <c r="H91" s="2842"/>
      <c r="I91" s="2842"/>
      <c r="J91" s="2888"/>
      <c r="K91" s="2889"/>
      <c r="L91" s="2889"/>
      <c r="M91" s="2889"/>
      <c r="N91" s="2889"/>
    </row>
    <row r="92" spans="1:37">
      <c r="A92" s="3312"/>
      <c r="B92" s="3312"/>
      <c r="C92" s="944" t="s">
        <v>2829</v>
      </c>
      <c r="D92" s="944" t="s">
        <v>2830</v>
      </c>
      <c r="E92" s="944" t="s">
        <v>2831</v>
      </c>
      <c r="F92" s="944" t="s">
        <v>2832</v>
      </c>
      <c r="G92" s="944" t="s">
        <v>2833</v>
      </c>
      <c r="H92" s="944" t="s">
        <v>2834</v>
      </c>
      <c r="I92" s="944" t="s">
        <v>2835</v>
      </c>
      <c r="J92" s="944" t="s">
        <v>2836</v>
      </c>
      <c r="K92" s="944" t="s">
        <v>2837</v>
      </c>
      <c r="L92" s="944" t="s">
        <v>2838</v>
      </c>
      <c r="M92" s="944" t="s">
        <v>2839</v>
      </c>
      <c r="N92" s="944" t="s">
        <v>2840</v>
      </c>
    </row>
    <row r="93" spans="1:37">
      <c r="A93" s="3313" t="s">
        <v>2966</v>
      </c>
      <c r="B93" s="2890">
        <v>1</v>
      </c>
      <c r="C93" s="2891">
        <v>1.9361999999999999</v>
      </c>
      <c r="D93" s="2891">
        <v>1.9361999999999999</v>
      </c>
      <c r="E93" s="2891">
        <v>1.8629</v>
      </c>
      <c r="F93" s="2891">
        <v>1.8629</v>
      </c>
      <c r="G93" s="2891">
        <v>1.8629</v>
      </c>
      <c r="H93" s="2891">
        <v>1.8629</v>
      </c>
      <c r="I93" s="2891">
        <v>1.8629</v>
      </c>
      <c r="J93" s="2891">
        <v>1.9419999999999999</v>
      </c>
      <c r="K93" s="2891">
        <v>1.9419999999999999</v>
      </c>
      <c r="L93" s="2891">
        <v>1.9419999999999999</v>
      </c>
      <c r="M93" s="2891">
        <v>1.9419999999999999</v>
      </c>
      <c r="N93" s="2891">
        <v>1.9419999999999999</v>
      </c>
    </row>
    <row r="94" spans="1:37">
      <c r="A94" s="3314"/>
      <c r="B94" s="2890">
        <v>2</v>
      </c>
      <c r="C94" s="2891">
        <v>1.4198</v>
      </c>
      <c r="D94" s="2891">
        <v>1.4198</v>
      </c>
      <c r="E94" s="2891">
        <v>1.3371999999999999</v>
      </c>
      <c r="F94" s="2891">
        <v>1.3371999999999999</v>
      </c>
      <c r="G94" s="2891">
        <v>1.3371999999999999</v>
      </c>
      <c r="H94" s="2891">
        <v>1.3371999999999999</v>
      </c>
      <c r="I94" s="2891">
        <v>1.3371999999999999</v>
      </c>
      <c r="J94" s="2891">
        <v>1.2799</v>
      </c>
      <c r="K94" s="2891">
        <v>1.2799</v>
      </c>
      <c r="L94" s="2891">
        <v>1.2799</v>
      </c>
      <c r="M94" s="2891">
        <v>1.2799</v>
      </c>
      <c r="N94" s="2891">
        <v>1.2799</v>
      </c>
    </row>
    <row r="95" spans="1:37">
      <c r="A95" s="3314"/>
      <c r="B95" s="2890">
        <v>3</v>
      </c>
      <c r="C95" s="2891">
        <v>1.1594</v>
      </c>
      <c r="D95" s="2891">
        <v>1.1594</v>
      </c>
      <c r="E95" s="2891">
        <v>1.0788</v>
      </c>
      <c r="F95" s="2891">
        <v>1.0788</v>
      </c>
      <c r="G95" s="2891">
        <v>1.0788</v>
      </c>
      <c r="H95" s="2891">
        <v>1.0788</v>
      </c>
      <c r="I95" s="2891">
        <v>1.0788</v>
      </c>
      <c r="J95" s="2891">
        <v>1.0072000000000001</v>
      </c>
      <c r="K95" s="2891">
        <v>1.0072000000000001</v>
      </c>
      <c r="L95" s="2891">
        <v>1.0072000000000001</v>
      </c>
      <c r="M95" s="2891">
        <v>1.0072000000000001</v>
      </c>
      <c r="N95" s="2891">
        <v>1.0072000000000001</v>
      </c>
    </row>
    <row r="96" spans="1:37">
      <c r="A96" s="3314"/>
      <c r="B96" s="2890">
        <v>4</v>
      </c>
      <c r="C96" s="2891">
        <v>0.96220000000000006</v>
      </c>
      <c r="D96" s="2891">
        <v>0.96220000000000006</v>
      </c>
      <c r="E96" s="2891">
        <v>0.86560000000000004</v>
      </c>
      <c r="F96" s="2891">
        <v>0.86560000000000004</v>
      </c>
      <c r="G96" s="2891">
        <v>0.86560000000000004</v>
      </c>
      <c r="H96" s="2891">
        <v>0.86560000000000004</v>
      </c>
      <c r="I96" s="2891">
        <v>0.86560000000000004</v>
      </c>
      <c r="J96" s="2891">
        <v>0.75249999999999995</v>
      </c>
      <c r="K96" s="2891">
        <v>0.75249999999999995</v>
      </c>
      <c r="L96" s="2891">
        <v>0.75249999999999995</v>
      </c>
      <c r="M96" s="2891">
        <v>0.75249999999999995</v>
      </c>
      <c r="N96" s="2891">
        <v>0.75249999999999995</v>
      </c>
    </row>
    <row r="97" spans="1:14">
      <c r="A97" s="3314"/>
      <c r="B97" s="2890">
        <v>5</v>
      </c>
      <c r="C97" s="2891">
        <v>0.8417</v>
      </c>
      <c r="D97" s="2891">
        <v>0.8417</v>
      </c>
      <c r="E97" s="2891">
        <v>0.73709999999999998</v>
      </c>
      <c r="F97" s="2891">
        <v>0.73709999999999998</v>
      </c>
      <c r="G97" s="2891">
        <v>0.73709999999999998</v>
      </c>
      <c r="H97" s="2891">
        <v>0.73709999999999998</v>
      </c>
      <c r="I97" s="2891">
        <v>0.73709999999999998</v>
      </c>
      <c r="J97" s="2891">
        <v>0.56589999999999996</v>
      </c>
      <c r="K97" s="2891">
        <v>0.56589999999999996</v>
      </c>
      <c r="L97" s="2891">
        <v>0.56589999999999996</v>
      </c>
      <c r="M97" s="2891">
        <v>0.56589999999999996</v>
      </c>
      <c r="N97" s="2891">
        <v>0.56589999999999996</v>
      </c>
    </row>
    <row r="98" spans="1:14">
      <c r="A98" s="3314"/>
      <c r="B98" s="2890">
        <v>6</v>
      </c>
      <c r="C98" s="2891">
        <v>0.76080000000000003</v>
      </c>
      <c r="D98" s="2891">
        <v>0.76080000000000003</v>
      </c>
      <c r="E98" s="2891">
        <v>0.6482</v>
      </c>
      <c r="F98" s="2891">
        <v>0.6482</v>
      </c>
      <c r="G98" s="2891">
        <v>0.6482</v>
      </c>
      <c r="H98" s="2891">
        <v>0.6482</v>
      </c>
      <c r="I98" s="2891">
        <v>0.6482</v>
      </c>
      <c r="J98" s="2891">
        <v>0.45250000000000001</v>
      </c>
      <c r="K98" s="2891">
        <v>0.45250000000000001</v>
      </c>
      <c r="L98" s="2891">
        <v>0.45250000000000001</v>
      </c>
      <c r="M98" s="2891">
        <v>0.45250000000000001</v>
      </c>
      <c r="N98" s="2891">
        <v>0.45250000000000001</v>
      </c>
    </row>
    <row r="99" spans="1:14">
      <c r="A99" s="3314"/>
      <c r="B99" s="2890" t="s">
        <v>2845</v>
      </c>
      <c r="C99" s="2892">
        <f>$I$3</f>
        <v>0</v>
      </c>
      <c r="D99" s="2892">
        <f t="shared" ref="D99:M99" si="30">$I$3</f>
        <v>0</v>
      </c>
      <c r="E99" s="2892">
        <f t="shared" si="30"/>
        <v>0</v>
      </c>
      <c r="F99" s="2892">
        <f t="shared" si="30"/>
        <v>0</v>
      </c>
      <c r="G99" s="2892">
        <f t="shared" si="30"/>
        <v>0</v>
      </c>
      <c r="H99" s="2892">
        <f t="shared" si="30"/>
        <v>0</v>
      </c>
      <c r="I99" s="2892">
        <f t="shared" si="30"/>
        <v>0</v>
      </c>
      <c r="J99" s="2892">
        <f t="shared" si="30"/>
        <v>0</v>
      </c>
      <c r="K99" s="2892">
        <f t="shared" si="30"/>
        <v>0</v>
      </c>
      <c r="L99" s="2892">
        <f t="shared" si="30"/>
        <v>0</v>
      </c>
      <c r="M99" s="2892">
        <f t="shared" si="30"/>
        <v>0</v>
      </c>
      <c r="N99" s="2892">
        <f>$I$3</f>
        <v>0</v>
      </c>
    </row>
    <row r="100" spans="1:14">
      <c r="A100" s="3315"/>
      <c r="B100" s="2890">
        <v>7</v>
      </c>
      <c r="C100" s="2893">
        <f>(-0.163*(C99^2)-0.59*C99+7617)*(10^(-4))</f>
        <v>0.76170000000000004</v>
      </c>
      <c r="D100" s="2893">
        <f>(-0.163*(D99^2)-0.59*D99+7617)*(10^(-4))</f>
        <v>0.76170000000000004</v>
      </c>
      <c r="E100" s="2893">
        <f>(-0.161*(E99^2)-7.509*E99+6533)*(10^(-4))</f>
        <v>0.65329999999999999</v>
      </c>
      <c r="F100" s="2893">
        <f>(-0.161*(F99^2)-7.509*F99+6533)*(10^(-4))</f>
        <v>0.65329999999999999</v>
      </c>
      <c r="G100" s="2893">
        <f>(-0.161*(G99^2)-7.509*G99+6533)*(10^(-4))</f>
        <v>0.65329999999999999</v>
      </c>
      <c r="H100" s="2893">
        <f>(-0.161*(H99^2)-7.509*H99+6533)*(10^(-4))</f>
        <v>0.65329999999999999</v>
      </c>
      <c r="I100" s="2893">
        <f>(-0.161*(I99^2)-7.509*I99+6533)*(10^(-4))</f>
        <v>0.65329999999999999</v>
      </c>
      <c r="J100" s="2893">
        <f>(-0.214*(J99^2)-21.991*J99+4665)*(10^(-4))</f>
        <v>0.46650000000000003</v>
      </c>
      <c r="K100" s="2893">
        <f>(-0.214*(K99^2)-21.991*K99+4665)*(10^(-4))</f>
        <v>0.46650000000000003</v>
      </c>
      <c r="L100" s="2893">
        <f>(-0.214*(L99^2)-21.991*L99+4665)*(10^(-4))</f>
        <v>0.46650000000000003</v>
      </c>
      <c r="M100" s="2893">
        <f>(-0.214*(M99^2)-21.991*M99+4665)*(10^(-4))</f>
        <v>0.46650000000000003</v>
      </c>
      <c r="N100" s="2893">
        <f>(-0.214*(N99^2)-21.991*N99+4665)*(10^(-4))</f>
        <v>0.46650000000000003</v>
      </c>
    </row>
    <row r="101" spans="1:14">
      <c r="A101" s="3313" t="s">
        <v>2967</v>
      </c>
      <c r="B101" s="2894" t="s">
        <v>2968</v>
      </c>
      <c r="C101" s="2895">
        <f>$G$3</f>
        <v>2.59</v>
      </c>
      <c r="D101" s="2895">
        <f t="shared" ref="D101:N101" si="31">$G$3</f>
        <v>2.59</v>
      </c>
      <c r="E101" s="2895">
        <f t="shared" si="31"/>
        <v>2.59</v>
      </c>
      <c r="F101" s="2895">
        <f t="shared" si="31"/>
        <v>2.59</v>
      </c>
      <c r="G101" s="2895">
        <f t="shared" si="31"/>
        <v>2.59</v>
      </c>
      <c r="H101" s="2895">
        <f t="shared" si="31"/>
        <v>2.59</v>
      </c>
      <c r="I101" s="2895">
        <f t="shared" si="31"/>
        <v>2.59</v>
      </c>
      <c r="J101" s="2895">
        <f t="shared" si="31"/>
        <v>2.59</v>
      </c>
      <c r="K101" s="2895">
        <f t="shared" si="31"/>
        <v>2.59</v>
      </c>
      <c r="L101" s="2895">
        <f t="shared" si="31"/>
        <v>2.59</v>
      </c>
      <c r="M101" s="2895">
        <f t="shared" si="31"/>
        <v>2.59</v>
      </c>
      <c r="N101" s="2895">
        <f t="shared" si="31"/>
        <v>2.59</v>
      </c>
    </row>
    <row r="102" spans="1:14">
      <c r="A102" s="3314"/>
      <c r="B102" s="2890">
        <v>1</v>
      </c>
      <c r="C102" s="2891">
        <f>1.9362/C101</f>
        <v>0.74756756756756759</v>
      </c>
      <c r="D102" s="2891">
        <f>1.9362/D101</f>
        <v>0.74756756756756759</v>
      </c>
      <c r="E102" s="2891">
        <f>1.8629/E101</f>
        <v>0.71926640926640928</v>
      </c>
      <c r="F102" s="2891">
        <f>1.8629/F101</f>
        <v>0.71926640926640928</v>
      </c>
      <c r="G102" s="2891">
        <f>1.8629/G101</f>
        <v>0.71926640926640928</v>
      </c>
      <c r="H102" s="2891">
        <f>1.8629/H101</f>
        <v>0.71926640926640928</v>
      </c>
      <c r="I102" s="2891">
        <f>1.8629/I101</f>
        <v>0.71926640926640928</v>
      </c>
      <c r="J102" s="2891">
        <f>1.942/J101</f>
        <v>0.74980694980694984</v>
      </c>
      <c r="K102" s="2891">
        <f>1.942/K101</f>
        <v>0.74980694980694984</v>
      </c>
      <c r="L102" s="2891">
        <f>1.942/L101</f>
        <v>0.74980694980694984</v>
      </c>
      <c r="M102" s="2891">
        <f>1.942/M101</f>
        <v>0.74980694980694984</v>
      </c>
      <c r="N102" s="2891">
        <f>1.942/N101</f>
        <v>0.74980694980694984</v>
      </c>
    </row>
    <row r="103" spans="1:14">
      <c r="A103" s="3314"/>
      <c r="B103" s="2890">
        <v>2</v>
      </c>
      <c r="C103" s="2891">
        <f>1.4198/C101</f>
        <v>0.54818532818532817</v>
      </c>
      <c r="D103" s="2891">
        <f>1.4198/D101</f>
        <v>0.54818532818532817</v>
      </c>
      <c r="E103" s="2891">
        <f>1.3372/E101</f>
        <v>0.51629343629343627</v>
      </c>
      <c r="F103" s="2891">
        <f>1.3372/F101</f>
        <v>0.51629343629343627</v>
      </c>
      <c r="G103" s="2891">
        <f>1.3372/G101</f>
        <v>0.51629343629343627</v>
      </c>
      <c r="H103" s="2891">
        <f>1.3372/H101</f>
        <v>0.51629343629343627</v>
      </c>
      <c r="I103" s="2891">
        <f>1.3372/I101</f>
        <v>0.51629343629343627</v>
      </c>
      <c r="J103" s="2891">
        <f>1.2799/J101</f>
        <v>0.49416988416988422</v>
      </c>
      <c r="K103" s="2891">
        <f>1.2799/K101</f>
        <v>0.49416988416988422</v>
      </c>
      <c r="L103" s="2891">
        <f>1.2799/L101</f>
        <v>0.49416988416988422</v>
      </c>
      <c r="M103" s="2891">
        <f>1.2799/M101</f>
        <v>0.49416988416988422</v>
      </c>
      <c r="N103" s="2891">
        <f>1.2799/N101</f>
        <v>0.49416988416988422</v>
      </c>
    </row>
    <row r="104" spans="1:14">
      <c r="A104" s="3314"/>
      <c r="B104" s="2890">
        <v>3</v>
      </c>
      <c r="C104" s="2891">
        <f>1.1594/C101</f>
        <v>0.44764478764478766</v>
      </c>
      <c r="D104" s="2891">
        <f>1.1594/D101</f>
        <v>0.44764478764478766</v>
      </c>
      <c r="E104" s="2891">
        <f>1.0788/E101</f>
        <v>0.41652509652509656</v>
      </c>
      <c r="F104" s="2891">
        <f>1.0788/F101</f>
        <v>0.41652509652509656</v>
      </c>
      <c r="G104" s="2891">
        <f>1.0788/G101</f>
        <v>0.41652509652509656</v>
      </c>
      <c r="H104" s="2891">
        <f>1.0788/H101</f>
        <v>0.41652509652509656</v>
      </c>
      <c r="I104" s="2891">
        <f>1.0788/I101</f>
        <v>0.41652509652509656</v>
      </c>
      <c r="J104" s="2891">
        <f>1.0072/J101</f>
        <v>0.38888030888030894</v>
      </c>
      <c r="K104" s="2891">
        <f>1.0072/K101</f>
        <v>0.38888030888030894</v>
      </c>
      <c r="L104" s="2891">
        <f>1.0072/L101</f>
        <v>0.38888030888030894</v>
      </c>
      <c r="M104" s="2891">
        <f>1.0072/M101</f>
        <v>0.38888030888030894</v>
      </c>
      <c r="N104" s="2891">
        <f>1.0072/N101</f>
        <v>0.38888030888030894</v>
      </c>
    </row>
    <row r="105" spans="1:14">
      <c r="A105" s="3314"/>
      <c r="B105" s="2890">
        <v>4</v>
      </c>
      <c r="C105" s="2891">
        <f>0.9622/C101</f>
        <v>0.37150579150579155</v>
      </c>
      <c r="D105" s="2891">
        <f>0.9622/D101</f>
        <v>0.37150579150579155</v>
      </c>
      <c r="E105" s="2891">
        <f>0.8656/E101</f>
        <v>0.33420849420849424</v>
      </c>
      <c r="F105" s="2891">
        <f>0.8656/F101</f>
        <v>0.33420849420849424</v>
      </c>
      <c r="G105" s="2891">
        <f>0.8656/G101</f>
        <v>0.33420849420849424</v>
      </c>
      <c r="H105" s="2891">
        <f>0.8656/H101</f>
        <v>0.33420849420849424</v>
      </c>
      <c r="I105" s="2891">
        <f>0.8656/I101</f>
        <v>0.33420849420849424</v>
      </c>
      <c r="J105" s="2891">
        <f>0.7525/J101</f>
        <v>0.29054054054054052</v>
      </c>
      <c r="K105" s="2891">
        <f>0.7525/K101</f>
        <v>0.29054054054054052</v>
      </c>
      <c r="L105" s="2891">
        <f>0.7525/L101</f>
        <v>0.29054054054054052</v>
      </c>
      <c r="M105" s="2891">
        <f>0.7525/M101</f>
        <v>0.29054054054054052</v>
      </c>
      <c r="N105" s="2891">
        <f>0.7525/N101</f>
        <v>0.29054054054054052</v>
      </c>
    </row>
    <row r="106" spans="1:14">
      <c r="A106" s="3314"/>
      <c r="B106" s="2890">
        <v>5</v>
      </c>
      <c r="C106" s="2891">
        <f>0.8417/C101</f>
        <v>0.32498069498069498</v>
      </c>
      <c r="D106" s="2891">
        <f>0.8417/D101</f>
        <v>0.32498069498069498</v>
      </c>
      <c r="E106" s="2891">
        <f>0.7371/E101</f>
        <v>0.28459459459459457</v>
      </c>
      <c r="F106" s="2891">
        <f>0.7371/F101</f>
        <v>0.28459459459459457</v>
      </c>
      <c r="G106" s="2891">
        <f>0.7371/G101</f>
        <v>0.28459459459459457</v>
      </c>
      <c r="H106" s="2891">
        <f>0.7371/H101</f>
        <v>0.28459459459459457</v>
      </c>
      <c r="I106" s="2891">
        <f>0.7371/I101</f>
        <v>0.28459459459459457</v>
      </c>
      <c r="J106" s="2891">
        <f>0.5659/J101</f>
        <v>0.2184942084942085</v>
      </c>
      <c r="K106" s="2891">
        <f>0.5659/K101</f>
        <v>0.2184942084942085</v>
      </c>
      <c r="L106" s="2891">
        <f>0.5659/L101</f>
        <v>0.2184942084942085</v>
      </c>
      <c r="M106" s="2891">
        <f>0.5659/M101</f>
        <v>0.2184942084942085</v>
      </c>
      <c r="N106" s="2891">
        <f>0.5659/N101</f>
        <v>0.2184942084942085</v>
      </c>
    </row>
    <row r="107" spans="1:14">
      <c r="A107" s="3314"/>
      <c r="B107" s="2890">
        <v>6</v>
      </c>
      <c r="C107" s="2891">
        <f>0.7608/C101</f>
        <v>0.29374517374517378</v>
      </c>
      <c r="D107" s="2891">
        <f>0.7608/D101</f>
        <v>0.29374517374517378</v>
      </c>
      <c r="E107" s="2891">
        <f>0.6482/E101</f>
        <v>0.25027027027027027</v>
      </c>
      <c r="F107" s="2891">
        <f>0.6482/F101</f>
        <v>0.25027027027027027</v>
      </c>
      <c r="G107" s="2891">
        <f>0.6482/G101</f>
        <v>0.25027027027027027</v>
      </c>
      <c r="H107" s="2891">
        <f>0.6482/H101</f>
        <v>0.25027027027027027</v>
      </c>
      <c r="I107" s="2891">
        <f>0.6482/I101</f>
        <v>0.25027027027027027</v>
      </c>
      <c r="J107" s="2891">
        <f>0.4525/J101</f>
        <v>0.17471042471042472</v>
      </c>
      <c r="K107" s="2891">
        <f>0.4525/K101</f>
        <v>0.17471042471042472</v>
      </c>
      <c r="L107" s="2891">
        <f>0.4525/L101</f>
        <v>0.17471042471042472</v>
      </c>
      <c r="M107" s="2891">
        <f>0.4525/M101</f>
        <v>0.17471042471042472</v>
      </c>
      <c r="N107" s="2891">
        <f>0.4525/N101</f>
        <v>0.17471042471042472</v>
      </c>
    </row>
    <row r="108" spans="1:14">
      <c r="A108" s="3314"/>
      <c r="B108" s="3136" t="s">
        <v>2969</v>
      </c>
      <c r="C108" s="2892">
        <f>C99</f>
        <v>0</v>
      </c>
      <c r="D108" s="2892">
        <f t="shared" ref="D108:N108" si="32">D99</f>
        <v>0</v>
      </c>
      <c r="E108" s="2892">
        <f t="shared" si="32"/>
        <v>0</v>
      </c>
      <c r="F108" s="2892">
        <f t="shared" si="32"/>
        <v>0</v>
      </c>
      <c r="G108" s="2892">
        <f t="shared" si="32"/>
        <v>0</v>
      </c>
      <c r="H108" s="2892">
        <f t="shared" si="32"/>
        <v>0</v>
      </c>
      <c r="I108" s="2892">
        <f t="shared" si="32"/>
        <v>0</v>
      </c>
      <c r="J108" s="2892">
        <f t="shared" si="32"/>
        <v>0</v>
      </c>
      <c r="K108" s="2892">
        <f t="shared" si="32"/>
        <v>0</v>
      </c>
      <c r="L108" s="2892">
        <f t="shared" si="32"/>
        <v>0</v>
      </c>
      <c r="M108" s="2892">
        <f t="shared" si="32"/>
        <v>0</v>
      </c>
      <c r="N108" s="2892">
        <f t="shared" si="32"/>
        <v>0</v>
      </c>
    </row>
    <row r="109" spans="1:14">
      <c r="A109" s="3315"/>
      <c r="B109" s="3137"/>
      <c r="C109" s="2893">
        <f>(-0.163*(C108^2)-0.59*C108+7617)*(10^(-4))/C101</f>
        <v>0.2940926640926641</v>
      </c>
      <c r="D109" s="2893">
        <f>(-0.163*(D108^2)-0.59*D108+7617)*(10^(-4))/D101</f>
        <v>0.2940926640926641</v>
      </c>
      <c r="E109" s="2893">
        <f>(-0.161*(E108^2)-7.509*E108+6533)*(10^(-4))/E101</f>
        <v>0.25223938223938225</v>
      </c>
      <c r="F109" s="2893">
        <f>(-0.161*(F108^2)-7.509*F108+6533)*(10^(-4))/F101</f>
        <v>0.25223938223938225</v>
      </c>
      <c r="G109" s="2893">
        <f>(-0.161*(G108^2)-7.509*G108+6533)*(10^(-4))/G101</f>
        <v>0.25223938223938225</v>
      </c>
      <c r="H109" s="2893">
        <f>(-0.161*(H108^2)-7.509*H108+6533)*(10^(-4))/H101</f>
        <v>0.25223938223938225</v>
      </c>
      <c r="I109" s="2893">
        <f>(-0.161*(I108^2)-7.509*I108+6533)*(10^(-4))/I101</f>
        <v>0.25223938223938225</v>
      </c>
      <c r="J109" s="2893">
        <f>(-0.214*(J108^2)-21.991*J108+4665)*(10^(-4))/J101</f>
        <v>0.18011583011583013</v>
      </c>
      <c r="K109" s="2893">
        <f>(-0.214*(K108^2)-21.991*K108+4665)*(10^(-4))/K101</f>
        <v>0.18011583011583013</v>
      </c>
      <c r="L109" s="2893">
        <f>(-0.214*(L108^2)-21.991*L108+4665)*(10^(-4))/L101</f>
        <v>0.18011583011583013</v>
      </c>
      <c r="M109" s="2893">
        <f>(-0.214*(M108^2)-21.991*M108+4665)*(10^(-4))/M101</f>
        <v>0.18011583011583013</v>
      </c>
      <c r="N109" s="2893">
        <f>(-0.214*(N108^2)-21.991*N108+4665)*(10^(-4))/N101</f>
        <v>0.18011583011583013</v>
      </c>
    </row>
    <row r="110" spans="1:14">
      <c r="A110" s="3311" t="s">
        <v>2970</v>
      </c>
      <c r="B110" s="3311"/>
      <c r="C110" s="3311"/>
      <c r="D110" s="3311"/>
      <c r="E110" s="3311"/>
      <c r="F110" s="3311"/>
      <c r="G110" s="3311"/>
      <c r="H110" s="3311"/>
      <c r="I110" s="3311"/>
      <c r="J110" s="3311"/>
      <c r="K110" s="2896"/>
      <c r="L110" s="2896"/>
      <c r="M110" s="2896"/>
      <c r="N110" s="2896"/>
    </row>
    <row r="112" spans="1:14" ht="13.5" thickBot="1"/>
    <row r="113" spans="1:13" ht="25.5" thickBot="1">
      <c r="A113" s="902" t="s">
        <v>2971</v>
      </c>
      <c r="B113" s="1286">
        <f>G3</f>
        <v>2.59</v>
      </c>
      <c r="C113" s="903" t="s">
        <v>2972</v>
      </c>
      <c r="D113" s="904">
        <f>SUMPRODUCT((A115:A118=F113)*(B114:M114=H113)*B115:M118)</f>
        <v>0</v>
      </c>
      <c r="E113" s="2719" t="s">
        <v>2802</v>
      </c>
      <c r="F113" s="2898">
        <f>E2</f>
        <v>0</v>
      </c>
      <c r="G113" s="2719" t="s">
        <v>2803</v>
      </c>
      <c r="H113" s="2898">
        <f>G2</f>
        <v>0</v>
      </c>
      <c r="I113" s="2719"/>
      <c r="J113" s="2899"/>
      <c r="K113" s="2899"/>
      <c r="L113" s="2899"/>
      <c r="M113" s="2899"/>
    </row>
    <row r="114" spans="1:13">
      <c r="A114" s="907"/>
      <c r="B114" s="2900" t="s">
        <v>2973</v>
      </c>
      <c r="C114" s="2900" t="s">
        <v>2974</v>
      </c>
      <c r="D114" s="2900" t="s">
        <v>2975</v>
      </c>
      <c r="E114" s="2901" t="s">
        <v>2976</v>
      </c>
      <c r="F114" s="2901" t="s">
        <v>2977</v>
      </c>
      <c r="G114" s="2901" t="s">
        <v>2978</v>
      </c>
      <c r="H114" s="2902" t="s">
        <v>2979</v>
      </c>
      <c r="I114" s="2902" t="s">
        <v>2980</v>
      </c>
      <c r="J114" s="2903" t="s">
        <v>2981</v>
      </c>
      <c r="K114" s="2903" t="s">
        <v>2982</v>
      </c>
      <c r="L114" s="2903" t="s">
        <v>2983</v>
      </c>
      <c r="M114" s="2904" t="s">
        <v>2984</v>
      </c>
    </row>
    <row r="115" spans="1:13">
      <c r="A115" s="908" t="s">
        <v>2867</v>
      </c>
      <c r="B115" s="909">
        <f>ROUND(0.9335-0.0094*B113,4)</f>
        <v>0.90920000000000001</v>
      </c>
      <c r="C115" s="909">
        <f>B115</f>
        <v>0.90920000000000001</v>
      </c>
      <c r="D115" s="909">
        <f>ROUND(0.8331-0.0109*B113,4)</f>
        <v>0.80489999999999995</v>
      </c>
      <c r="E115" s="909">
        <f>D115</f>
        <v>0.80489999999999995</v>
      </c>
      <c r="F115" s="909">
        <f>E115</f>
        <v>0.80489999999999995</v>
      </c>
      <c r="G115" s="909">
        <f>F115</f>
        <v>0.80489999999999995</v>
      </c>
      <c r="H115" s="909">
        <f>G115</f>
        <v>0.80489999999999995</v>
      </c>
      <c r="I115" s="909">
        <f>ROUND(0.689-0.0155*B113,4)</f>
        <v>0.64890000000000003</v>
      </c>
      <c r="J115" s="909">
        <f t="shared" ref="J115:M118" si="33">I115</f>
        <v>0.64890000000000003</v>
      </c>
      <c r="K115" s="909">
        <f t="shared" si="33"/>
        <v>0.64890000000000003</v>
      </c>
      <c r="L115" s="909">
        <f t="shared" si="33"/>
        <v>0.64890000000000003</v>
      </c>
      <c r="M115" s="910">
        <f t="shared" si="33"/>
        <v>0.64890000000000003</v>
      </c>
    </row>
    <row r="116" spans="1:13">
      <c r="A116" s="908" t="s">
        <v>2868</v>
      </c>
      <c r="B116" s="909">
        <f>ROUND(0.949-0.012*B113,4)</f>
        <v>0.91790000000000005</v>
      </c>
      <c r="C116" s="909">
        <f>B116</f>
        <v>0.91790000000000005</v>
      </c>
      <c r="D116" s="909">
        <f>ROUND(0.8567-0.013*B113,4)</f>
        <v>0.82299999999999995</v>
      </c>
      <c r="E116" s="909">
        <f t="shared" ref="E116:H117" si="34">D116</f>
        <v>0.82299999999999995</v>
      </c>
      <c r="F116" s="909">
        <f t="shared" si="34"/>
        <v>0.82299999999999995</v>
      </c>
      <c r="G116" s="909">
        <f t="shared" si="34"/>
        <v>0.82299999999999995</v>
      </c>
      <c r="H116" s="909">
        <f t="shared" si="34"/>
        <v>0.82299999999999995</v>
      </c>
      <c r="I116" s="909">
        <f>ROUND(0.7694-0.014*B113,4)</f>
        <v>0.73309999999999997</v>
      </c>
      <c r="J116" s="909">
        <f t="shared" si="33"/>
        <v>0.73309999999999997</v>
      </c>
      <c r="K116" s="909">
        <f t="shared" si="33"/>
        <v>0.73309999999999997</v>
      </c>
      <c r="L116" s="909">
        <f t="shared" si="33"/>
        <v>0.73309999999999997</v>
      </c>
      <c r="M116" s="910">
        <f t="shared" si="33"/>
        <v>0.73309999999999997</v>
      </c>
    </row>
    <row r="117" spans="1:13">
      <c r="A117" s="908" t="s">
        <v>2869</v>
      </c>
      <c r="B117" s="909">
        <f>ROUND(0.8808-0.006*B113,4)</f>
        <v>0.86529999999999996</v>
      </c>
      <c r="C117" s="909">
        <f>B117</f>
        <v>0.86529999999999996</v>
      </c>
      <c r="D117" s="909">
        <f>ROUND(0.8748-0.008*B113,4)</f>
        <v>0.85409999999999997</v>
      </c>
      <c r="E117" s="909">
        <f t="shared" si="34"/>
        <v>0.85409999999999997</v>
      </c>
      <c r="F117" s="909">
        <f t="shared" si="34"/>
        <v>0.85409999999999997</v>
      </c>
      <c r="G117" s="909">
        <f t="shared" si="34"/>
        <v>0.85409999999999997</v>
      </c>
      <c r="H117" s="909">
        <f t="shared" si="34"/>
        <v>0.85409999999999997</v>
      </c>
      <c r="I117" s="909">
        <f>ROUND(0.7412-0.0095*B113,4)</f>
        <v>0.71660000000000001</v>
      </c>
      <c r="J117" s="909">
        <f t="shared" si="33"/>
        <v>0.71660000000000001</v>
      </c>
      <c r="K117" s="909">
        <f t="shared" si="33"/>
        <v>0.71660000000000001</v>
      </c>
      <c r="L117" s="909">
        <f t="shared" si="33"/>
        <v>0.71660000000000001</v>
      </c>
      <c r="M117" s="910">
        <f t="shared" si="33"/>
        <v>0.71660000000000001</v>
      </c>
    </row>
    <row r="118" spans="1:13" ht="13.5" thickBot="1">
      <c r="A118" s="713" t="s">
        <v>2870</v>
      </c>
      <c r="B118" s="911">
        <f>ROUND(0.7275-0.01*B113,4)</f>
        <v>0.7016</v>
      </c>
      <c r="C118" s="911">
        <f>B118</f>
        <v>0.7016</v>
      </c>
      <c r="D118" s="911">
        <f>ROUND(0.7043-0.012*B113,4)</f>
        <v>0.67320000000000002</v>
      </c>
      <c r="E118" s="911">
        <f>D118</f>
        <v>0.67320000000000002</v>
      </c>
      <c r="F118" s="911">
        <f>E118</f>
        <v>0.67320000000000002</v>
      </c>
      <c r="G118" s="911">
        <f>ROUND(0.6299-0.0122*B113,4)</f>
        <v>0.59830000000000005</v>
      </c>
      <c r="H118" s="911">
        <f>G118</f>
        <v>0.59830000000000005</v>
      </c>
      <c r="I118" s="911">
        <f>ROUND(0.5667-0.0136*B113,4)</f>
        <v>0.53149999999999997</v>
      </c>
      <c r="J118" s="911">
        <f t="shared" si="33"/>
        <v>0.53149999999999997</v>
      </c>
      <c r="K118" s="911">
        <f t="shared" si="33"/>
        <v>0.53149999999999997</v>
      </c>
      <c r="L118" s="911">
        <f t="shared" si="33"/>
        <v>0.53149999999999997</v>
      </c>
      <c r="M118" s="912">
        <f t="shared" si="33"/>
        <v>0.53149999999999997</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30" priority="5" stopIfTrue="1" operator="notEqual">
      <formula>"——"</formula>
    </cfRule>
  </conditionalFormatting>
  <conditionalFormatting sqref="F59">
    <cfRule type="cellIs" dxfId="29" priority="4" stopIfTrue="1" operator="notEqual">
      <formula>"——"</formula>
    </cfRule>
  </conditionalFormatting>
  <conditionalFormatting sqref="F70">
    <cfRule type="cellIs" dxfId="28" priority="3" stopIfTrue="1" operator="notEqual">
      <formula>"——"</formula>
    </cfRule>
  </conditionalFormatting>
  <conditionalFormatting sqref="F81">
    <cfRule type="cellIs" dxfId="27" priority="2" stopIfTrue="1" operator="notEqual">
      <formula>"——"</formula>
    </cfRule>
  </conditionalFormatting>
  <conditionalFormatting sqref="H48:H56 H59:H67 H70:H78 H81:H88">
    <cfRule type="cellIs" dxfId="26"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328" t="s">
        <v>183</v>
      </c>
      <c r="B18" s="881" t="s">
        <v>560</v>
      </c>
      <c r="C18" s="882" t="s">
        <v>561</v>
      </c>
      <c r="D18" s="883"/>
      <c r="E18" s="881">
        <v>1</v>
      </c>
      <c r="F18" s="884" t="s">
        <v>562</v>
      </c>
      <c r="G18" s="885"/>
      <c r="H18" s="877"/>
      <c r="I18" s="877"/>
    </row>
    <row r="19" spans="1:9" s="886" customFormat="1" ht="19.5" customHeight="1">
      <c r="A19" s="3328"/>
      <c r="B19" s="3328" t="s">
        <v>563</v>
      </c>
      <c r="C19" s="882" t="s">
        <v>564</v>
      </c>
      <c r="D19" s="883"/>
      <c r="E19" s="881">
        <v>0.9</v>
      </c>
      <c r="F19" s="884" t="s">
        <v>565</v>
      </c>
      <c r="G19" s="885"/>
      <c r="H19" s="877"/>
      <c r="I19" s="877"/>
    </row>
    <row r="20" spans="1:9" s="886" customFormat="1" ht="19.5" customHeight="1">
      <c r="A20" s="3328"/>
      <c r="B20" s="3328"/>
      <c r="C20" s="882" t="s">
        <v>566</v>
      </c>
      <c r="D20" s="883"/>
      <c r="E20" s="881">
        <v>1.1000000000000001</v>
      </c>
      <c r="F20" s="884" t="s">
        <v>567</v>
      </c>
      <c r="G20" s="885"/>
      <c r="H20" s="877"/>
      <c r="I20" s="877"/>
    </row>
    <row r="21" spans="1:9" s="886" customFormat="1" ht="19.5" customHeight="1">
      <c r="A21" s="3328"/>
      <c r="B21" s="3328"/>
      <c r="C21" s="882" t="s">
        <v>568</v>
      </c>
      <c r="D21" s="883"/>
      <c r="E21" s="881">
        <v>0.8</v>
      </c>
      <c r="F21" s="884" t="s">
        <v>569</v>
      </c>
      <c r="G21" s="885"/>
      <c r="H21" s="877"/>
      <c r="I21" s="877"/>
    </row>
    <row r="22" spans="1:9" s="886" customFormat="1" ht="19.5" customHeight="1">
      <c r="A22" s="3328"/>
      <c r="B22" s="3328"/>
      <c r="C22" s="882" t="s">
        <v>570</v>
      </c>
      <c r="D22" s="883"/>
      <c r="E22" s="881">
        <v>0.5</v>
      </c>
      <c r="F22" s="884"/>
      <c r="G22" s="885"/>
      <c r="H22" s="877"/>
      <c r="I22" s="877"/>
    </row>
    <row r="23" spans="1:9" s="886" customFormat="1" ht="19.5" customHeight="1">
      <c r="A23" s="3328" t="s">
        <v>184</v>
      </c>
      <c r="B23" s="881" t="s">
        <v>560</v>
      </c>
      <c r="C23" s="882" t="s">
        <v>571</v>
      </c>
      <c r="D23" s="883"/>
      <c r="E23" s="881">
        <v>1</v>
      </c>
      <c r="F23" s="884" t="s">
        <v>572</v>
      </c>
      <c r="G23" s="885"/>
      <c r="H23" s="877"/>
      <c r="I23" s="877"/>
    </row>
    <row r="24" spans="1:9" s="886" customFormat="1" ht="19.5" customHeight="1">
      <c r="A24" s="3328"/>
      <c r="B24" s="3328" t="s">
        <v>563</v>
      </c>
      <c r="C24" s="882" t="s">
        <v>573</v>
      </c>
      <c r="D24" s="883"/>
      <c r="E24" s="881">
        <v>0.5</v>
      </c>
      <c r="F24" s="884"/>
      <c r="G24" s="885"/>
      <c r="H24" s="877"/>
      <c r="I24" s="877"/>
    </row>
    <row r="25" spans="1:9" s="886" customFormat="1" ht="19.5" customHeight="1">
      <c r="A25" s="3328"/>
      <c r="B25" s="3328"/>
      <c r="C25" s="882" t="s">
        <v>574</v>
      </c>
      <c r="D25" s="883"/>
      <c r="E25" s="881">
        <v>1.1000000000000001</v>
      </c>
      <c r="F25" s="884"/>
      <c r="G25" s="885"/>
      <c r="H25" s="877"/>
      <c r="I25" s="877"/>
    </row>
    <row r="26" spans="1:9" s="886" customFormat="1" ht="19.5" customHeight="1">
      <c r="A26" s="3328"/>
      <c r="B26" s="3328"/>
      <c r="C26" s="882" t="s">
        <v>575</v>
      </c>
      <c r="D26" s="883"/>
      <c r="E26" s="881">
        <v>1.1000000000000001</v>
      </c>
      <c r="F26" s="884"/>
      <c r="G26" s="885"/>
      <c r="H26" s="877"/>
      <c r="I26" s="877"/>
    </row>
    <row r="27" spans="1:9" s="886" customFormat="1" ht="19.5" customHeight="1">
      <c r="A27" s="3328"/>
      <c r="B27" s="3328"/>
      <c r="C27" s="882" t="s">
        <v>576</v>
      </c>
      <c r="D27" s="883"/>
      <c r="E27" s="881">
        <v>0.9</v>
      </c>
      <c r="F27" s="884" t="s">
        <v>577</v>
      </c>
      <c r="G27" s="885"/>
      <c r="H27" s="877"/>
      <c r="I27" s="877"/>
    </row>
    <row r="28" spans="1:9" s="886" customFormat="1" ht="19.5" customHeight="1">
      <c r="A28" s="3328"/>
      <c r="B28" s="3328"/>
      <c r="C28" s="882" t="s">
        <v>578</v>
      </c>
      <c r="D28" s="883"/>
      <c r="E28" s="881">
        <v>0.9</v>
      </c>
      <c r="F28" s="884" t="s">
        <v>579</v>
      </c>
      <c r="G28" s="885"/>
      <c r="H28" s="877"/>
      <c r="I28" s="877"/>
    </row>
    <row r="29" spans="1:9" s="886" customFormat="1" ht="19.5" customHeight="1">
      <c r="A29" s="3328"/>
      <c r="B29" s="3328"/>
      <c r="C29" s="882" t="s">
        <v>580</v>
      </c>
      <c r="D29" s="883"/>
      <c r="E29" s="881">
        <v>0.9</v>
      </c>
      <c r="F29" s="884" t="s">
        <v>581</v>
      </c>
      <c r="G29" s="885"/>
      <c r="H29" s="877"/>
      <c r="I29" s="877"/>
    </row>
    <row r="30" spans="1:9" s="886" customFormat="1" ht="19.5" customHeight="1">
      <c r="A30" s="3328"/>
      <c r="B30" s="3328"/>
      <c r="C30" s="882" t="s">
        <v>582</v>
      </c>
      <c r="D30" s="883"/>
      <c r="E30" s="881">
        <v>0.9</v>
      </c>
      <c r="F30" s="884" t="s">
        <v>583</v>
      </c>
      <c r="G30" s="885"/>
      <c r="H30" s="877"/>
      <c r="I30" s="877"/>
    </row>
    <row r="31" spans="1:9" s="886" customFormat="1" ht="19.5" customHeight="1">
      <c r="A31" s="3328"/>
      <c r="B31" s="3328"/>
      <c r="C31" s="882" t="s">
        <v>584</v>
      </c>
      <c r="D31" s="883"/>
      <c r="E31" s="881">
        <v>0.8</v>
      </c>
      <c r="F31" s="884" t="s">
        <v>585</v>
      </c>
      <c r="G31" s="885"/>
      <c r="H31" s="877"/>
      <c r="I31" s="877"/>
    </row>
    <row r="32" spans="1:9" s="886" customFormat="1" ht="19.5" customHeight="1">
      <c r="A32" s="3328"/>
      <c r="B32" s="3328"/>
      <c r="C32" s="882" t="s">
        <v>586</v>
      </c>
      <c r="D32" s="883"/>
      <c r="E32" s="881">
        <v>0.8</v>
      </c>
      <c r="F32" s="884" t="s">
        <v>587</v>
      </c>
      <c r="G32" s="885"/>
      <c r="H32" s="877"/>
      <c r="I32" s="877"/>
    </row>
    <row r="33" spans="1:9" s="886" customFormat="1" ht="19.5" customHeight="1">
      <c r="A33" s="3328" t="s">
        <v>185</v>
      </c>
      <c r="B33" s="881" t="s">
        <v>560</v>
      </c>
      <c r="C33" s="882" t="s">
        <v>588</v>
      </c>
      <c r="D33" s="883"/>
      <c r="E33" s="881">
        <v>1</v>
      </c>
      <c r="F33" s="884" t="s">
        <v>589</v>
      </c>
      <c r="G33" s="885"/>
      <c r="H33" s="877"/>
      <c r="I33" s="877"/>
    </row>
    <row r="34" spans="1:9" s="886" customFormat="1" ht="19.5" customHeight="1">
      <c r="A34" s="3328"/>
      <c r="B34" s="881" t="s">
        <v>563</v>
      </c>
      <c r="C34" s="882" t="s">
        <v>590</v>
      </c>
      <c r="D34" s="883"/>
      <c r="E34" s="881">
        <v>1.5</v>
      </c>
      <c r="F34" s="884" t="s">
        <v>591</v>
      </c>
      <c r="G34" s="885"/>
      <c r="H34" s="877"/>
      <c r="I34" s="877"/>
    </row>
    <row r="35" spans="1:9" s="886" customFormat="1" ht="19.5" customHeight="1">
      <c r="A35" s="3328" t="s">
        <v>186</v>
      </c>
      <c r="B35" s="881" t="s">
        <v>560</v>
      </c>
      <c r="C35" s="882" t="s">
        <v>592</v>
      </c>
      <c r="D35" s="883"/>
      <c r="E35" s="881">
        <v>1</v>
      </c>
      <c r="F35" s="884" t="s">
        <v>593</v>
      </c>
      <c r="G35" s="885"/>
      <c r="H35" s="877"/>
      <c r="I35" s="877"/>
    </row>
    <row r="36" spans="1:9" s="886" customFormat="1" ht="19.5" customHeight="1">
      <c r="A36" s="3328"/>
      <c r="B36" s="3328" t="s">
        <v>563</v>
      </c>
      <c r="C36" s="882" t="s">
        <v>594</v>
      </c>
      <c r="D36" s="883"/>
      <c r="E36" s="881">
        <v>1</v>
      </c>
      <c r="F36" s="884" t="s">
        <v>595</v>
      </c>
      <c r="G36" s="885"/>
      <c r="H36" s="877"/>
      <c r="I36" s="877"/>
    </row>
    <row r="37" spans="1:9" s="886" customFormat="1" ht="19.5" customHeight="1">
      <c r="A37" s="3328"/>
      <c r="B37" s="3328"/>
      <c r="C37" s="882" t="s">
        <v>596</v>
      </c>
      <c r="D37" s="883"/>
      <c r="E37" s="881">
        <v>1.5</v>
      </c>
      <c r="F37" s="884" t="s">
        <v>597</v>
      </c>
      <c r="G37" s="885"/>
      <c r="H37" s="877"/>
      <c r="I37" s="877"/>
    </row>
    <row r="38" spans="1:9" s="886" customFormat="1" ht="19.5" customHeight="1">
      <c r="A38" s="3328"/>
      <c r="B38" s="3328"/>
      <c r="C38" s="882" t="s">
        <v>598</v>
      </c>
      <c r="D38" s="883"/>
      <c r="E38" s="881">
        <v>1</v>
      </c>
      <c r="F38" s="884" t="s">
        <v>599</v>
      </c>
      <c r="G38" s="885"/>
      <c r="H38" s="877"/>
      <c r="I38" s="877"/>
    </row>
    <row r="39" spans="1:9" s="886" customFormat="1" ht="19.5" customHeight="1">
      <c r="A39" s="3328"/>
      <c r="B39" s="3328"/>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328" t="s">
        <v>614</v>
      </c>
      <c r="C61" s="817" t="s">
        <v>615</v>
      </c>
      <c r="D61" s="817" t="s">
        <v>616</v>
      </c>
      <c r="E61" s="894">
        <v>0.5</v>
      </c>
      <c r="F61" s="881">
        <v>80</v>
      </c>
    </row>
    <row r="62" spans="1:8" s="877" customFormat="1" ht="24">
      <c r="A62" s="881">
        <v>2</v>
      </c>
      <c r="B62" s="3328"/>
      <c r="C62" s="817" t="s">
        <v>617</v>
      </c>
      <c r="D62" s="817" t="s">
        <v>618</v>
      </c>
      <c r="E62" s="894">
        <v>0.5</v>
      </c>
      <c r="F62" s="881">
        <v>80</v>
      </c>
    </row>
    <row r="63" spans="1:8" s="877" customFormat="1" ht="36">
      <c r="A63" s="881">
        <v>3</v>
      </c>
      <c r="B63" s="3328"/>
      <c r="C63" s="817" t="s">
        <v>619</v>
      </c>
      <c r="D63" s="817" t="s">
        <v>620</v>
      </c>
      <c r="E63" s="894">
        <v>0.5</v>
      </c>
      <c r="F63" s="881">
        <v>80</v>
      </c>
    </row>
    <row r="64" spans="1:8" s="877" customFormat="1" ht="36">
      <c r="A64" s="881">
        <v>4</v>
      </c>
      <c r="B64" s="3328"/>
      <c r="C64" s="817" t="s">
        <v>621</v>
      </c>
      <c r="D64" s="817" t="s">
        <v>622</v>
      </c>
      <c r="E64" s="894">
        <v>0.4</v>
      </c>
      <c r="F64" s="881">
        <v>60</v>
      </c>
    </row>
    <row r="65" spans="1:6" s="877" customFormat="1" ht="36">
      <c r="A65" s="881">
        <v>5</v>
      </c>
      <c r="B65" s="3328"/>
      <c r="C65" s="817" t="s">
        <v>623</v>
      </c>
      <c r="D65" s="817" t="s">
        <v>624</v>
      </c>
      <c r="E65" s="894">
        <v>0.2</v>
      </c>
      <c r="F65" s="881">
        <v>30</v>
      </c>
    </row>
    <row r="66" spans="1:6" s="877" customFormat="1" ht="36">
      <c r="A66" s="881">
        <v>6</v>
      </c>
      <c r="B66" s="3328"/>
      <c r="C66" s="817" t="s">
        <v>625</v>
      </c>
      <c r="D66" s="817" t="s">
        <v>626</v>
      </c>
      <c r="E66" s="894">
        <v>0.3</v>
      </c>
      <c r="F66" s="881">
        <v>50</v>
      </c>
    </row>
    <row r="67" spans="1:6" s="877" customFormat="1" ht="36">
      <c r="A67" s="881">
        <v>7</v>
      </c>
      <c r="B67" s="3328"/>
      <c r="C67" s="817" t="s">
        <v>627</v>
      </c>
      <c r="D67" s="817" t="s">
        <v>628</v>
      </c>
      <c r="E67" s="894">
        <v>0.2</v>
      </c>
      <c r="F67" s="881">
        <v>30</v>
      </c>
    </row>
    <row r="68" spans="1:6" s="877" customFormat="1" ht="36">
      <c r="A68" s="881">
        <v>8</v>
      </c>
      <c r="B68" s="3328"/>
      <c r="C68" s="817" t="s">
        <v>629</v>
      </c>
      <c r="D68" s="817" t="s">
        <v>630</v>
      </c>
      <c r="E68" s="894">
        <v>0.2</v>
      </c>
      <c r="F68" s="881">
        <v>30</v>
      </c>
    </row>
    <row r="69" spans="1:6" s="877" customFormat="1" ht="36">
      <c r="A69" s="881">
        <v>9</v>
      </c>
      <c r="B69" s="3328"/>
      <c r="C69" s="817" t="s">
        <v>631</v>
      </c>
      <c r="D69" s="817" t="s">
        <v>632</v>
      </c>
      <c r="E69" s="894">
        <v>0.2</v>
      </c>
      <c r="F69" s="881">
        <v>30</v>
      </c>
    </row>
    <row r="70" spans="1:6" s="877" customFormat="1" ht="48">
      <c r="A70" s="881">
        <v>10</v>
      </c>
      <c r="B70" s="3328"/>
      <c r="C70" s="817" t="s">
        <v>633</v>
      </c>
      <c r="D70" s="817" t="s">
        <v>634</v>
      </c>
      <c r="E70" s="894">
        <v>0.2</v>
      </c>
      <c r="F70" s="881">
        <v>30</v>
      </c>
    </row>
    <row r="71" spans="1:6" s="877" customFormat="1" ht="48">
      <c r="A71" s="881">
        <v>11</v>
      </c>
      <c r="B71" s="3328"/>
      <c r="C71" s="817" t="s">
        <v>635</v>
      </c>
      <c r="D71" s="817" t="s">
        <v>636</v>
      </c>
      <c r="E71" s="894">
        <v>0.2</v>
      </c>
      <c r="F71" s="881">
        <v>30</v>
      </c>
    </row>
    <row r="72" spans="1:6" s="877" customFormat="1" ht="36">
      <c r="A72" s="881">
        <v>12</v>
      </c>
      <c r="B72" s="3328"/>
      <c r="C72" s="817" t="s">
        <v>637</v>
      </c>
      <c r="D72" s="817" t="s">
        <v>638</v>
      </c>
      <c r="E72" s="894">
        <v>0.5</v>
      </c>
      <c r="F72" s="881">
        <v>80</v>
      </c>
    </row>
    <row r="73" spans="1:6" s="877" customFormat="1" ht="24">
      <c r="A73" s="881">
        <v>13</v>
      </c>
      <c r="B73" s="3328"/>
      <c r="C73" s="817" t="s">
        <v>639</v>
      </c>
      <c r="D73" s="817" t="s">
        <v>640</v>
      </c>
      <c r="E73" s="894">
        <v>0.4</v>
      </c>
      <c r="F73" s="881">
        <v>60</v>
      </c>
    </row>
    <row r="74" spans="1:6" s="877" customFormat="1" ht="24">
      <c r="A74" s="881">
        <v>14</v>
      </c>
      <c r="B74" s="3328"/>
      <c r="C74" s="817" t="s">
        <v>641</v>
      </c>
      <c r="D74" s="817" t="s">
        <v>642</v>
      </c>
      <c r="E74" s="894">
        <v>0.2</v>
      </c>
      <c r="F74" s="881">
        <v>30</v>
      </c>
    </row>
    <row r="75" spans="1:6" s="877" customFormat="1" ht="24">
      <c r="A75" s="881">
        <v>15</v>
      </c>
      <c r="B75" s="3328"/>
      <c r="C75" s="817" t="s">
        <v>643</v>
      </c>
      <c r="D75" s="817" t="s">
        <v>644</v>
      </c>
      <c r="E75" s="894">
        <v>0.2</v>
      </c>
      <c r="F75" s="881">
        <v>30</v>
      </c>
    </row>
    <row r="76" spans="1:6" s="877" customFormat="1" ht="24">
      <c r="A76" s="881">
        <v>16</v>
      </c>
      <c r="B76" s="3328" t="s">
        <v>645</v>
      </c>
      <c r="C76" s="817" t="s">
        <v>646</v>
      </c>
      <c r="D76" s="817" t="s">
        <v>647</v>
      </c>
      <c r="E76" s="894">
        <v>0.5</v>
      </c>
      <c r="F76" s="881">
        <v>80</v>
      </c>
    </row>
    <row r="77" spans="1:6" s="877" customFormat="1" ht="24">
      <c r="A77" s="881">
        <v>17</v>
      </c>
      <c r="B77" s="3328"/>
      <c r="C77" s="817" t="s">
        <v>648</v>
      </c>
      <c r="D77" s="817" t="s">
        <v>649</v>
      </c>
      <c r="E77" s="894">
        <v>0.5</v>
      </c>
      <c r="F77" s="881">
        <v>80</v>
      </c>
    </row>
    <row r="78" spans="1:6" s="877" customFormat="1" ht="24">
      <c r="A78" s="881">
        <v>18</v>
      </c>
      <c r="B78" s="3328"/>
      <c r="C78" s="817" t="s">
        <v>650</v>
      </c>
      <c r="D78" s="817" t="s">
        <v>651</v>
      </c>
      <c r="E78" s="894">
        <v>0.2</v>
      </c>
      <c r="F78" s="881">
        <v>30</v>
      </c>
    </row>
    <row r="79" spans="1:6" s="877" customFormat="1" ht="24">
      <c r="A79" s="881">
        <v>19</v>
      </c>
      <c r="B79" s="3328"/>
      <c r="C79" s="817" t="s">
        <v>652</v>
      </c>
      <c r="D79" s="817" t="s">
        <v>653</v>
      </c>
      <c r="E79" s="894">
        <v>0.5</v>
      </c>
      <c r="F79" s="881">
        <v>80</v>
      </c>
    </row>
    <row r="80" spans="1:6" s="877" customFormat="1" ht="36">
      <c r="A80" s="881">
        <v>20</v>
      </c>
      <c r="B80" s="3328"/>
      <c r="C80" s="817" t="s">
        <v>654</v>
      </c>
      <c r="D80" s="817" t="s">
        <v>655</v>
      </c>
      <c r="E80" s="894">
        <v>0.2</v>
      </c>
      <c r="F80" s="881">
        <v>30</v>
      </c>
    </row>
    <row r="81" spans="1:6" s="877" customFormat="1" ht="36">
      <c r="A81" s="881">
        <v>21</v>
      </c>
      <c r="B81" s="3328"/>
      <c r="C81" s="817" t="s">
        <v>656</v>
      </c>
      <c r="D81" s="817" t="s">
        <v>657</v>
      </c>
      <c r="E81" s="894">
        <v>0.2</v>
      </c>
      <c r="F81" s="881">
        <v>30</v>
      </c>
    </row>
    <row r="82" spans="1:6" s="877" customFormat="1" ht="48">
      <c r="A82" s="881">
        <v>22</v>
      </c>
      <c r="B82" s="3328"/>
      <c r="C82" s="817" t="s">
        <v>658</v>
      </c>
      <c r="D82" s="817" t="s">
        <v>659</v>
      </c>
      <c r="E82" s="894">
        <v>0.2</v>
      </c>
      <c r="F82" s="881">
        <v>30</v>
      </c>
    </row>
    <row r="83" spans="1:6" s="877" customFormat="1" ht="48">
      <c r="A83" s="881">
        <v>23</v>
      </c>
      <c r="B83" s="3328"/>
      <c r="C83" s="817" t="s">
        <v>660</v>
      </c>
      <c r="D83" s="817" t="s">
        <v>661</v>
      </c>
      <c r="E83" s="894">
        <v>0.2</v>
      </c>
      <c r="F83" s="881">
        <v>30</v>
      </c>
    </row>
    <row r="84" spans="1:6" s="877" customFormat="1" ht="36">
      <c r="A84" s="881">
        <v>24</v>
      </c>
      <c r="B84" s="3328"/>
      <c r="C84" s="817" t="s">
        <v>662</v>
      </c>
      <c r="D84" s="817" t="s">
        <v>663</v>
      </c>
      <c r="E84" s="894">
        <v>0.2</v>
      </c>
      <c r="F84" s="881">
        <v>30</v>
      </c>
    </row>
    <row r="85" spans="1:6" s="877" customFormat="1" ht="36">
      <c r="A85" s="881">
        <v>25</v>
      </c>
      <c r="B85" s="3328"/>
      <c r="C85" s="817" t="s">
        <v>664</v>
      </c>
      <c r="D85" s="817" t="s">
        <v>665</v>
      </c>
      <c r="E85" s="894">
        <v>0.5</v>
      </c>
      <c r="F85" s="881">
        <v>80</v>
      </c>
    </row>
    <row r="86" spans="1:6" s="877" customFormat="1" ht="36">
      <c r="A86" s="881">
        <v>26</v>
      </c>
      <c r="B86" s="3328"/>
      <c r="C86" s="817" t="s">
        <v>666</v>
      </c>
      <c r="D86" s="817" t="s">
        <v>667</v>
      </c>
      <c r="E86" s="894">
        <v>0.2</v>
      </c>
      <c r="F86" s="881">
        <v>30</v>
      </c>
    </row>
    <row r="87" spans="1:6" s="877" customFormat="1" ht="36">
      <c r="A87" s="881">
        <v>27</v>
      </c>
      <c r="B87" s="3328"/>
      <c r="C87" s="817" t="s">
        <v>668</v>
      </c>
      <c r="D87" s="817" t="s">
        <v>669</v>
      </c>
      <c r="E87" s="894">
        <v>0.2</v>
      </c>
      <c r="F87" s="881">
        <v>30</v>
      </c>
    </row>
    <row r="88" spans="1:6" s="877" customFormat="1" ht="36">
      <c r="A88" s="881">
        <v>28</v>
      </c>
      <c r="B88" s="3328"/>
      <c r="C88" s="817" t="s">
        <v>670</v>
      </c>
      <c r="D88" s="817" t="s">
        <v>671</v>
      </c>
      <c r="E88" s="894">
        <v>0.2</v>
      </c>
      <c r="F88" s="881">
        <v>30</v>
      </c>
    </row>
    <row r="89" spans="1:6" s="877" customFormat="1" ht="24">
      <c r="A89" s="881">
        <v>29</v>
      </c>
      <c r="B89" s="3328"/>
      <c r="C89" s="817" t="s">
        <v>672</v>
      </c>
      <c r="D89" s="817" t="s">
        <v>673</v>
      </c>
      <c r="E89" s="894">
        <v>0.2</v>
      </c>
      <c r="F89" s="881">
        <v>30</v>
      </c>
    </row>
    <row r="90" spans="1:6" s="877" customFormat="1" ht="24">
      <c r="A90" s="881">
        <v>30</v>
      </c>
      <c r="B90" s="3328"/>
      <c r="C90" s="817" t="s">
        <v>674</v>
      </c>
      <c r="D90" s="817" t="s">
        <v>675</v>
      </c>
      <c r="E90" s="894">
        <v>0.2</v>
      </c>
      <c r="F90" s="881">
        <v>30</v>
      </c>
    </row>
    <row r="91" spans="1:6" s="877" customFormat="1" ht="36">
      <c r="A91" s="881">
        <v>31</v>
      </c>
      <c r="B91" s="3328"/>
      <c r="C91" s="817" t="s">
        <v>676</v>
      </c>
      <c r="D91" s="817" t="s">
        <v>677</v>
      </c>
      <c r="E91" s="894">
        <v>0.2</v>
      </c>
      <c r="F91" s="881">
        <v>30</v>
      </c>
    </row>
    <row r="92" spans="1:6" s="877" customFormat="1" ht="24">
      <c r="A92" s="881">
        <v>32</v>
      </c>
      <c r="B92" s="3328" t="s">
        <v>678</v>
      </c>
      <c r="C92" s="881" t="s">
        <v>679</v>
      </c>
      <c r="D92" s="817" t="s">
        <v>680</v>
      </c>
      <c r="E92" s="894">
        <v>0.2</v>
      </c>
      <c r="F92" s="881">
        <v>30</v>
      </c>
    </row>
    <row r="93" spans="1:6" s="877" customFormat="1" ht="36">
      <c r="A93" s="881">
        <v>33</v>
      </c>
      <c r="B93" s="3328"/>
      <c r="C93" s="881" t="s">
        <v>681</v>
      </c>
      <c r="D93" s="817" t="s">
        <v>682</v>
      </c>
      <c r="E93" s="894">
        <v>0.2</v>
      </c>
      <c r="F93" s="881">
        <v>30</v>
      </c>
    </row>
    <row r="94" spans="1:6" s="877" customFormat="1" ht="48">
      <c r="A94" s="881">
        <v>34</v>
      </c>
      <c r="B94" s="3328"/>
      <c r="C94" s="881" t="s">
        <v>683</v>
      </c>
      <c r="D94" s="817" t="s">
        <v>684</v>
      </c>
      <c r="E94" s="894">
        <v>0.2</v>
      </c>
      <c r="F94" s="881">
        <v>30</v>
      </c>
    </row>
    <row r="95" spans="1:6" s="877" customFormat="1" ht="36">
      <c r="A95" s="881">
        <v>35</v>
      </c>
      <c r="B95" s="3328"/>
      <c r="C95" s="881" t="s">
        <v>685</v>
      </c>
      <c r="D95" s="817" t="s">
        <v>686</v>
      </c>
      <c r="E95" s="894">
        <v>0.2</v>
      </c>
      <c r="F95" s="881">
        <v>30</v>
      </c>
    </row>
    <row r="96" spans="1:6" s="877" customFormat="1" ht="48">
      <c r="A96" s="881">
        <v>36</v>
      </c>
      <c r="B96" s="3328"/>
      <c r="C96" s="817" t="s">
        <v>687</v>
      </c>
      <c r="D96" s="817" t="s">
        <v>688</v>
      </c>
      <c r="E96" s="894">
        <v>0.2</v>
      </c>
      <c r="F96" s="881">
        <v>30</v>
      </c>
    </row>
    <row r="97" spans="1:6" s="877" customFormat="1" ht="36">
      <c r="A97" s="881">
        <v>37</v>
      </c>
      <c r="B97" s="3328"/>
      <c r="C97" s="881" t="s">
        <v>689</v>
      </c>
      <c r="D97" s="817" t="s">
        <v>690</v>
      </c>
      <c r="E97" s="894">
        <v>0.2</v>
      </c>
      <c r="F97" s="881">
        <v>30</v>
      </c>
    </row>
    <row r="98" spans="1:6" s="877" customFormat="1" ht="36">
      <c r="A98" s="881">
        <v>38</v>
      </c>
      <c r="B98" s="3328"/>
      <c r="C98" s="881" t="s">
        <v>691</v>
      </c>
      <c r="D98" s="817" t="s">
        <v>692</v>
      </c>
      <c r="E98" s="894">
        <v>0.2</v>
      </c>
      <c r="F98" s="881">
        <v>30</v>
      </c>
    </row>
    <row r="99" spans="1:6" s="877" customFormat="1" ht="36">
      <c r="A99" s="881">
        <v>39</v>
      </c>
      <c r="B99" s="3328" t="s">
        <v>693</v>
      </c>
      <c r="C99" s="881" t="s">
        <v>694</v>
      </c>
      <c r="D99" s="817" t="s">
        <v>695</v>
      </c>
      <c r="E99" s="894">
        <v>0.3</v>
      </c>
      <c r="F99" s="881">
        <v>50</v>
      </c>
    </row>
    <row r="100" spans="1:6" s="877" customFormat="1" ht="24">
      <c r="A100" s="881">
        <v>40</v>
      </c>
      <c r="B100" s="3328"/>
      <c r="C100" s="881" t="s">
        <v>696</v>
      </c>
      <c r="D100" s="817" t="s">
        <v>697</v>
      </c>
      <c r="E100" s="894">
        <v>0.2</v>
      </c>
      <c r="F100" s="881">
        <v>30</v>
      </c>
    </row>
    <row r="101" spans="1:6" s="877" customFormat="1" ht="36">
      <c r="A101" s="881">
        <v>41</v>
      </c>
      <c r="B101" s="3328"/>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328" t="s">
        <v>708</v>
      </c>
      <c r="C105" s="881" t="s">
        <v>709</v>
      </c>
      <c r="D105" s="817" t="s">
        <v>710</v>
      </c>
      <c r="E105" s="894">
        <v>0.2</v>
      </c>
      <c r="F105" s="881">
        <v>30</v>
      </c>
    </row>
    <row r="106" spans="1:6" s="877" customFormat="1" ht="36">
      <c r="A106" s="881">
        <v>46</v>
      </c>
      <c r="B106" s="3328"/>
      <c r="C106" s="881" t="s">
        <v>711</v>
      </c>
      <c r="D106" s="817" t="s">
        <v>712</v>
      </c>
      <c r="E106" s="894">
        <v>0.2</v>
      </c>
      <c r="F106" s="881">
        <v>30</v>
      </c>
    </row>
    <row r="107" spans="1:6" s="877" customFormat="1" ht="36">
      <c r="A107" s="881">
        <v>47</v>
      </c>
      <c r="B107" s="3328" t="s">
        <v>713</v>
      </c>
      <c r="C107" s="881" t="s">
        <v>714</v>
      </c>
      <c r="D107" s="817" t="s">
        <v>715</v>
      </c>
      <c r="E107" s="894">
        <v>0.3</v>
      </c>
      <c r="F107" s="881">
        <v>50</v>
      </c>
    </row>
    <row r="108" spans="1:6" s="877" customFormat="1" ht="36">
      <c r="A108" s="881">
        <v>48</v>
      </c>
      <c r="B108" s="3328"/>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328" t="s">
        <v>724</v>
      </c>
      <c r="C111" s="881" t="s">
        <v>725</v>
      </c>
      <c r="D111" s="817" t="s">
        <v>726</v>
      </c>
      <c r="E111" s="894">
        <v>0.2</v>
      </c>
      <c r="F111" s="881">
        <v>30</v>
      </c>
    </row>
    <row r="112" spans="1:6" s="877" customFormat="1" ht="24">
      <c r="A112" s="881">
        <v>52</v>
      </c>
      <c r="B112" s="3328"/>
      <c r="C112" s="881" t="s">
        <v>727</v>
      </c>
      <c r="D112" s="817" t="s">
        <v>728</v>
      </c>
      <c r="E112" s="894">
        <v>0.2</v>
      </c>
      <c r="F112" s="881">
        <v>30</v>
      </c>
    </row>
    <row r="113" spans="1:6" s="877" customFormat="1" ht="24">
      <c r="A113" s="881">
        <v>53</v>
      </c>
      <c r="B113" s="3328"/>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328" t="s">
        <v>737</v>
      </c>
      <c r="C116" s="881" t="s">
        <v>738</v>
      </c>
      <c r="D116" s="817" t="s">
        <v>739</v>
      </c>
      <c r="E116" s="894">
        <v>0.2</v>
      </c>
      <c r="F116" s="881">
        <v>30</v>
      </c>
    </row>
    <row r="117" spans="1:6" ht="36">
      <c r="A117" s="881">
        <v>57</v>
      </c>
      <c r="B117" s="3328"/>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6" t="s">
        <v>2993</v>
      </c>
    </row>
    <row r="2" spans="1:5" ht="15.75">
      <c r="A2" s="2905" t="s">
        <v>2985</v>
      </c>
      <c r="B2" s="2906" t="e">
        <f ca="1">SUMIF(B6:B13,"&lt;&gt;#ref!",B6:B13)</f>
        <v>#DIV/0!</v>
      </c>
      <c r="C2" s="2905" t="s">
        <v>2986</v>
      </c>
      <c r="D2" s="2905" t="s">
        <v>2987</v>
      </c>
      <c r="E2" s="2906" t="e">
        <f ca="1">SUM(E6:E13)</f>
        <v>#REF!</v>
      </c>
    </row>
    <row r="3" spans="1:5" ht="15.75">
      <c r="A3" s="2905" t="s">
        <v>2988</v>
      </c>
      <c r="B3" s="2906" t="e">
        <f ca="1">ROUND(B2*10000/E2,0)</f>
        <v>#DIV/0!</v>
      </c>
      <c r="C3" s="2905" t="s">
        <v>2994</v>
      </c>
      <c r="D3" s="2907"/>
      <c r="E3" s="2907"/>
    </row>
    <row r="4" spans="1:5" ht="15.75">
      <c r="A4" s="2908"/>
      <c r="B4" s="2907"/>
      <c r="C4" s="2907"/>
      <c r="D4" s="2907"/>
      <c r="E4" s="2907"/>
    </row>
    <row r="5" spans="1:5" ht="28.5">
      <c r="A5" s="2909" t="s">
        <v>2989</v>
      </c>
      <c r="B5" s="2905" t="s">
        <v>2990</v>
      </c>
      <c r="C5" s="2906"/>
      <c r="D5" s="2907"/>
      <c r="E5" s="2905" t="s">
        <v>2991</v>
      </c>
    </row>
    <row r="6" spans="1:5" ht="15.75">
      <c r="A6" s="2910" t="s">
        <v>2992</v>
      </c>
      <c r="B6" s="2906" t="e">
        <f ca="1">SUMIF(INDIRECT("'"&amp;A6&amp;"'"&amp;"!A:A"),"总价",INDIRECT("'"&amp;A6&amp;"'"&amp;"!B:B"))</f>
        <v>#DIV/0!</v>
      </c>
      <c r="C6" s="2905" t="s">
        <v>2986</v>
      </c>
      <c r="D6" s="2907"/>
      <c r="E6" s="2570">
        <f ca="1">SUMIF(INDIRECT("'"&amp;A6&amp;"'"&amp;"!C:C"),"建筑面积",INDIRECT("'"&amp;A6&amp;"'"&amp;"!D:D"))</f>
        <v>0</v>
      </c>
    </row>
    <row r="7" spans="1:5" ht="15.75">
      <c r="A7" s="2910"/>
      <c r="B7" s="2906" t="e">
        <f ca="1">SUMIF(INDIRECT("'"&amp;A7&amp;"'"&amp;"!A:A"),"总价",INDIRECT("'"&amp;A7&amp;"'"&amp;"!B:B"))</f>
        <v>#REF!</v>
      </c>
      <c r="C7" s="2905" t="s">
        <v>2986</v>
      </c>
      <c r="D7" s="2907"/>
      <c r="E7" s="2570" t="e">
        <f t="shared" ref="E7:E13" ca="1" si="0">SUMIF(INDIRECT("'"&amp;A7&amp;"'"&amp;"!C:C"),"建筑面积",INDIRECT("'"&amp;A7&amp;"'"&amp;"!D:D"))</f>
        <v>#REF!</v>
      </c>
    </row>
    <row r="8" spans="1:5" ht="15.75">
      <c r="A8" s="2910"/>
      <c r="B8" s="2906" t="e">
        <f t="shared" ref="B8:B13" ca="1" si="1">SUMIF(INDIRECT("'"&amp;A8&amp;"'"&amp;"!A:A"),"总价",INDIRECT("'"&amp;A8&amp;"'"&amp;"!B:B"))</f>
        <v>#REF!</v>
      </c>
      <c r="C8" s="2905" t="s">
        <v>2986</v>
      </c>
      <c r="D8" s="2907"/>
      <c r="E8" s="2570" t="e">
        <f t="shared" ca="1" si="0"/>
        <v>#REF!</v>
      </c>
    </row>
    <row r="9" spans="1:5" ht="15.75">
      <c r="A9" s="2910"/>
      <c r="B9" s="2906" t="e">
        <f t="shared" ca="1" si="1"/>
        <v>#REF!</v>
      </c>
      <c r="C9" s="2905" t="s">
        <v>2986</v>
      </c>
      <c r="D9" s="2907"/>
      <c r="E9" s="2570" t="e">
        <f t="shared" ca="1" si="0"/>
        <v>#REF!</v>
      </c>
    </row>
    <row r="10" spans="1:5" ht="15.75">
      <c r="A10" s="2910"/>
      <c r="B10" s="2906" t="e">
        <f t="shared" ca="1" si="1"/>
        <v>#REF!</v>
      </c>
      <c r="C10" s="2905" t="s">
        <v>2986</v>
      </c>
      <c r="D10" s="2907"/>
      <c r="E10" s="2570" t="e">
        <f t="shared" ca="1" si="0"/>
        <v>#REF!</v>
      </c>
    </row>
    <row r="11" spans="1:5" ht="15.75">
      <c r="A11" s="2910"/>
      <c r="B11" s="2906" t="e">
        <f t="shared" ca="1" si="1"/>
        <v>#REF!</v>
      </c>
      <c r="C11" s="2905" t="s">
        <v>2986</v>
      </c>
      <c r="D11" s="2907"/>
      <c r="E11" s="2570" t="e">
        <f t="shared" ca="1" si="0"/>
        <v>#REF!</v>
      </c>
    </row>
    <row r="12" spans="1:5" ht="15.75">
      <c r="A12" s="2910"/>
      <c r="B12" s="2906" t="e">
        <f t="shared" ca="1" si="1"/>
        <v>#REF!</v>
      </c>
      <c r="C12" s="2905" t="s">
        <v>2986</v>
      </c>
      <c r="D12" s="2907"/>
      <c r="E12" s="2570" t="e">
        <f t="shared" ca="1" si="0"/>
        <v>#REF!</v>
      </c>
    </row>
    <row r="13" spans="1:5" ht="15.75">
      <c r="A13" s="2910"/>
      <c r="B13" s="2906" t="e">
        <f t="shared" ca="1" si="1"/>
        <v>#REF!</v>
      </c>
      <c r="C13" s="2905" t="s">
        <v>2986</v>
      </c>
      <c r="D13" s="2907"/>
      <c r="E13" s="257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W3" sqref="W3"/>
    </sheetView>
  </sheetViews>
  <sheetFormatPr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334" t="s">
        <v>1150</v>
      </c>
      <c r="C1" s="3334"/>
      <c r="D1" s="3334"/>
      <c r="E1" s="3334"/>
      <c r="F1" s="3334"/>
      <c r="G1" s="3330" t="s">
        <v>1151</v>
      </c>
      <c r="H1" s="3330"/>
      <c r="I1" s="3330"/>
      <c r="J1" s="3330"/>
      <c r="K1" s="3330"/>
      <c r="L1" s="3330"/>
      <c r="N1" s="3330" t="s">
        <v>1152</v>
      </c>
      <c r="O1" s="3330"/>
      <c r="P1" s="3330"/>
      <c r="Q1" s="3330"/>
      <c r="R1" s="1445"/>
      <c r="S1" s="3330" t="s">
        <v>1153</v>
      </c>
      <c r="T1" s="3330"/>
      <c r="U1" s="3330"/>
      <c r="V1" s="3330"/>
      <c r="X1" s="3329" t="s">
        <v>1154</v>
      </c>
      <c r="Y1" s="3330"/>
      <c r="Z1" s="3330"/>
      <c r="AA1" s="3330"/>
      <c r="AB1" s="3330"/>
      <c r="AD1" s="3329" t="s">
        <v>1155</v>
      </c>
      <c r="AE1" s="3330"/>
      <c r="AF1" s="3330"/>
      <c r="AG1" s="3330"/>
      <c r="AH1" s="3330"/>
    </row>
    <row r="2" spans="1:34" s="1446" customFormat="1" ht="14.25" thickBot="1">
      <c r="B2" s="1447" t="s">
        <v>1156</v>
      </c>
      <c r="C2" s="1447" t="s">
        <v>1157</v>
      </c>
      <c r="D2" s="1448" t="s">
        <v>1158</v>
      </c>
      <c r="E2" s="1448" t="s">
        <v>1159</v>
      </c>
      <c r="F2" s="1447" t="s">
        <v>1160</v>
      </c>
      <c r="G2" s="1449"/>
      <c r="H2" s="1450"/>
      <c r="I2" s="1447" t="s">
        <v>1156</v>
      </c>
      <c r="J2" s="1448" t="s">
        <v>1385</v>
      </c>
      <c r="K2" s="1448" t="s">
        <v>751</v>
      </c>
      <c r="L2" s="1447" t="s">
        <v>1160</v>
      </c>
      <c r="N2" s="1447" t="s">
        <v>1156</v>
      </c>
      <c r="O2" s="1448" t="s">
        <v>1385</v>
      </c>
      <c r="P2" s="1448" t="s">
        <v>751</v>
      </c>
      <c r="Q2" s="1447" t="s">
        <v>1160</v>
      </c>
      <c r="R2" s="1451"/>
      <c r="S2" s="1447" t="s">
        <v>1156</v>
      </c>
      <c r="T2" s="1448" t="s">
        <v>1385</v>
      </c>
      <c r="U2" s="1448" t="s">
        <v>751</v>
      </c>
      <c r="V2" s="1447" t="s">
        <v>1160</v>
      </c>
      <c r="X2" s="1447" t="s">
        <v>1156</v>
      </c>
      <c r="Y2" s="1447" t="s">
        <v>1157</v>
      </c>
      <c r="Z2" s="1448" t="s">
        <v>1158</v>
      </c>
      <c r="AA2" s="1448" t="s">
        <v>1159</v>
      </c>
      <c r="AB2" s="1447" t="s">
        <v>1160</v>
      </c>
      <c r="AD2" s="1447" t="s">
        <v>1156</v>
      </c>
      <c r="AE2" s="1447" t="s">
        <v>1157</v>
      </c>
      <c r="AF2" s="1448" t="s">
        <v>1158</v>
      </c>
      <c r="AG2" s="1448" t="s">
        <v>1159</v>
      </c>
      <c r="AH2" s="1447" t="s">
        <v>1160</v>
      </c>
    </row>
    <row r="3" spans="1:34" s="2924" customFormat="1" ht="14.25">
      <c r="A3" s="2933" t="s">
        <v>3025</v>
      </c>
      <c r="B3" s="2925"/>
      <c r="C3" s="2925"/>
      <c r="D3" s="2926"/>
      <c r="E3" s="2926"/>
      <c r="F3" s="2925"/>
      <c r="G3" s="2927"/>
      <c r="H3" s="2928"/>
      <c r="I3" s="2929">
        <f>ROUND(AVERAGE($I6:$I21),2)</f>
        <v>2.4500000000000002</v>
      </c>
      <c r="J3" s="2929">
        <f>ROUND(AVERAGE($J6:$J21),2)</f>
        <v>1.65</v>
      </c>
      <c r="K3" s="2929">
        <f>ROUND(AVERAGE($K6:$K21),2)</f>
        <v>2.71</v>
      </c>
      <c r="L3" s="2929">
        <f>ROUND(AVERAGE($L6:$L21),2)</f>
        <v>1.39</v>
      </c>
      <c r="N3" s="2927"/>
      <c r="O3" s="2930"/>
      <c r="P3" s="2930"/>
      <c r="Q3" s="2930"/>
      <c r="R3" s="2930"/>
      <c r="S3" s="2927"/>
      <c r="T3" s="2930"/>
      <c r="U3" s="2930"/>
      <c r="V3" s="2930"/>
      <c r="W3" s="2922"/>
      <c r="X3" s="2931">
        <f>ROUND(SUMPRODUCT(PRODUCT(1+N3:N$20)),4)</f>
        <v>1.4274</v>
      </c>
      <c r="Y3" s="2931">
        <f>ROUND(SUMPRODUCT(PRODUCT(1+O3:O$20)),4)</f>
        <v>1.2685</v>
      </c>
      <c r="Z3" s="2931">
        <f t="shared" ref="Z3:Z18" si="0">Y3</f>
        <v>1.2685</v>
      </c>
      <c r="AA3" s="2931">
        <f>ROUND(SUMPRODUCT(PRODUCT(1+P3:P$20)),4)</f>
        <v>1.4825999999999999</v>
      </c>
      <c r="AB3" s="2931">
        <f>ROUND(SUMPRODUCT(PRODUCT(1+Q3:Q$20)),4)</f>
        <v>1.2309000000000001</v>
      </c>
      <c r="AD3" s="2932">
        <f>ROUND(AVERAGE(I3:I$21)/100,4)</f>
        <v>2.3099999999999999E-2</v>
      </c>
      <c r="AE3" s="2932">
        <f>ROUND(AVERAGE(J3:J$21)/100,4)</f>
        <v>1.5599999999999999E-2</v>
      </c>
      <c r="AF3" s="2932">
        <f t="shared" ref="AF3:AF19" si="1">AE3</f>
        <v>1.5599999999999999E-2</v>
      </c>
      <c r="AG3" s="2932">
        <f>ROUND(AVERAGE(K3:K$21)/100,4)</f>
        <v>2.5600000000000001E-2</v>
      </c>
      <c r="AH3" s="2932">
        <f>ROUND(AVERAGE(L3:L$21)/100,4)</f>
        <v>1.32E-2</v>
      </c>
    </row>
    <row r="4" spans="1:34" s="1452" customFormat="1" ht="14.25">
      <c r="B4" s="1453"/>
      <c r="C4" s="1453"/>
      <c r="D4" s="1454"/>
      <c r="E4" s="1454"/>
      <c r="F4" s="1453"/>
      <c r="G4" s="1455"/>
      <c r="H4" s="1456"/>
      <c r="I4" s="2918"/>
      <c r="J4" s="2918"/>
      <c r="K4" s="2918"/>
      <c r="L4" s="2918"/>
      <c r="N4" s="1455"/>
      <c r="O4" s="1457"/>
      <c r="P4" s="1457"/>
      <c r="Q4" s="1457"/>
      <c r="R4" s="1457"/>
      <c r="S4" s="1455"/>
      <c r="T4" s="1457"/>
      <c r="U4" s="1457"/>
      <c r="V4" s="1457"/>
      <c r="X4" s="1458"/>
      <c r="Y4" s="1458"/>
      <c r="Z4" s="1458"/>
      <c r="AA4" s="1458"/>
      <c r="AB4" s="1458"/>
      <c r="AD4" s="1459"/>
      <c r="AE4" s="1459"/>
      <c r="AF4" s="1459"/>
      <c r="AG4" s="1459"/>
      <c r="AH4" s="1459"/>
    </row>
    <row r="5" spans="1:34" s="1730" customFormat="1" ht="13.5" thickBot="1">
      <c r="A5" s="1728" t="s">
        <v>3024</v>
      </c>
      <c r="B5" s="1789">
        <f t="shared" ref="B5" si="2">B6*(1+N5)</f>
        <v>439.19121308559727</v>
      </c>
      <c r="C5" s="1789">
        <f t="shared" ref="C5" si="3">C6*(1+O5)</f>
        <v>326.28510789673351</v>
      </c>
      <c r="D5" s="1789">
        <f t="shared" ref="D5" si="4">C5</f>
        <v>326.28510789673351</v>
      </c>
      <c r="E5" s="1789">
        <f t="shared" ref="E5" si="5">E6*(1+P5)</f>
        <v>626.49404043656455</v>
      </c>
      <c r="F5" s="1789">
        <f t="shared" ref="F5" si="6">F6*(1+Q5)</f>
        <v>283.46416215500358</v>
      </c>
      <c r="G5" s="2921">
        <v>2018</v>
      </c>
      <c r="H5" s="1729">
        <v>1</v>
      </c>
      <c r="I5" s="2919">
        <v>0</v>
      </c>
      <c r="J5" s="2919">
        <v>0</v>
      </c>
      <c r="K5" s="2919">
        <v>0</v>
      </c>
      <c r="L5" s="2919">
        <v>0</v>
      </c>
      <c r="N5" s="1466">
        <f t="shared" ref="N5:N10" si="7">I5/100</f>
        <v>0</v>
      </c>
      <c r="O5" s="1466">
        <f t="shared" ref="O5" si="8">J5/100</f>
        <v>0</v>
      </c>
      <c r="P5" s="1466">
        <f t="shared" ref="P5" si="9">K5/100</f>
        <v>0</v>
      </c>
      <c r="Q5" s="1466">
        <f t="shared" ref="Q5" si="10">L5/100</f>
        <v>0</v>
      </c>
      <c r="R5" s="1731"/>
      <c r="S5" s="1732"/>
      <c r="T5" s="1731"/>
      <c r="U5" s="1731"/>
      <c r="V5" s="1731"/>
      <c r="W5" s="2923" t="s">
        <v>3026</v>
      </c>
      <c r="X5" s="1725">
        <f>ROUND(SUMPRODUCT(PRODUCT(1+N5:N$20)),4)</f>
        <v>1.4274</v>
      </c>
      <c r="Y5" s="1725">
        <f>ROUND(SUMPRODUCT(PRODUCT(1+O5:O$20)),4)</f>
        <v>1.2685</v>
      </c>
      <c r="Z5" s="1725">
        <f t="shared" ref="Z5" si="11">Y5</f>
        <v>1.2685</v>
      </c>
      <c r="AA5" s="1725">
        <f>ROUND(SUMPRODUCT(PRODUCT(1+P5:P$20)),4)</f>
        <v>1.4825999999999999</v>
      </c>
      <c r="AB5" s="1725">
        <f>ROUND(SUMPRODUCT(PRODUCT(1+Q5:Q$20)),4)</f>
        <v>1.2309000000000001</v>
      </c>
      <c r="AD5" s="1467">
        <f>ROUND(AVERAGE(I5:I$21)/100,4)</f>
        <v>2.3E-2</v>
      </c>
      <c r="AE5" s="1467">
        <f>ROUND(AVERAGE(J5:J$21)/100,4)</f>
        <v>1.55E-2</v>
      </c>
      <c r="AF5" s="1467">
        <f t="shared" ref="AF5" si="12">AE5</f>
        <v>1.55E-2</v>
      </c>
      <c r="AG5" s="1467">
        <f>ROUND(AVERAGE(K5:K$21)/100,4)</f>
        <v>2.5499999999999998E-2</v>
      </c>
      <c r="AH5" s="1467">
        <f>ROUND(AVERAGE(L5:L$21)/100,4)</f>
        <v>1.3100000000000001E-2</v>
      </c>
    </row>
    <row r="6" spans="1:34">
      <c r="A6" s="1460" t="s">
        <v>3021</v>
      </c>
      <c r="B6" s="1468">
        <f t="shared" ref="B6" si="13">B7*(1+N6)</f>
        <v>439.19121308559727</v>
      </c>
      <c r="C6" s="1468">
        <f t="shared" ref="C6" si="14">C7*(1+O6)</f>
        <v>326.28510789673351</v>
      </c>
      <c r="D6" s="1468">
        <f t="shared" ref="D6" si="15">C6</f>
        <v>326.28510789673351</v>
      </c>
      <c r="E6" s="1468">
        <f t="shared" ref="E6" si="16">E7*(1+P6)</f>
        <v>626.49404043656455</v>
      </c>
      <c r="F6" s="1469">
        <f t="shared" ref="F6" si="17">F7*(1+Q6)</f>
        <v>283.46416215500358</v>
      </c>
      <c r="G6" s="2921">
        <v>2017</v>
      </c>
      <c r="H6" s="1461">
        <v>4</v>
      </c>
      <c r="I6" s="1461">
        <v>1.71</v>
      </c>
      <c r="J6" s="1461">
        <v>1.78</v>
      </c>
      <c r="K6" s="1461">
        <v>1.71</v>
      </c>
      <c r="L6" s="1462">
        <v>1.43</v>
      </c>
      <c r="N6" s="1471">
        <f t="shared" si="7"/>
        <v>1.7100000000000001E-2</v>
      </c>
      <c r="O6" s="1472">
        <f t="shared" ref="O6" si="18">J6/100</f>
        <v>1.78E-2</v>
      </c>
      <c r="P6" s="1472">
        <f t="shared" ref="P6" si="19">K6/100</f>
        <v>1.7100000000000001E-2</v>
      </c>
      <c r="Q6" s="1472">
        <f t="shared" ref="Q6" si="20">L6/100</f>
        <v>1.43E-2</v>
      </c>
      <c r="R6" s="1473"/>
      <c r="S6" s="1474"/>
      <c r="T6" s="1475"/>
      <c r="U6" s="1475"/>
      <c r="V6" s="1475"/>
      <c r="X6" s="1458">
        <f>ROUND(SUMPRODUCT(PRODUCT(1+N6:N$20)),4)</f>
        <v>1.4274</v>
      </c>
      <c r="Y6" s="1458">
        <f>ROUND(SUMPRODUCT(PRODUCT(1+O6:O$20)),4)</f>
        <v>1.2685</v>
      </c>
      <c r="Z6" s="1458">
        <f t="shared" si="0"/>
        <v>1.2685</v>
      </c>
      <c r="AA6" s="1458">
        <f>ROUND(SUMPRODUCT(PRODUCT(1+P6:P$20)),4)</f>
        <v>1.4825999999999999</v>
      </c>
      <c r="AB6" s="1458">
        <f>ROUND(SUMPRODUCT(PRODUCT(1+Q6:Q$20)),4)</f>
        <v>1.2309000000000001</v>
      </c>
      <c r="AD6" s="1459">
        <f>ROUND(AVERAGE(I6:I$21)/100,4)</f>
        <v>2.4500000000000001E-2</v>
      </c>
      <c r="AE6" s="1459">
        <f>ROUND(AVERAGE(J6:J$21)/100,4)</f>
        <v>1.6500000000000001E-2</v>
      </c>
      <c r="AF6" s="1459">
        <f t="shared" si="1"/>
        <v>1.6500000000000001E-2</v>
      </c>
      <c r="AG6" s="1459">
        <f>ROUND(AVERAGE(K6:K$21)/100,4)</f>
        <v>2.7099999999999999E-2</v>
      </c>
      <c r="AH6" s="1459">
        <f>ROUND(AVERAGE(L6:L$21)/100,4)</f>
        <v>1.3899999999999999E-2</v>
      </c>
    </row>
    <row r="7" spans="1:34" s="1465" customFormat="1" ht="13.5" thickBot="1">
      <c r="A7" s="1460" t="s">
        <v>3022</v>
      </c>
      <c r="B7" s="1476">
        <f t="shared" ref="B7:B8" si="21">B8*(1+N7)</f>
        <v>431.80730811680002</v>
      </c>
      <c r="C7" s="1476">
        <f t="shared" ref="C7:C8" si="22">C8*(1+O7)</f>
        <v>320.57880516480003</v>
      </c>
      <c r="D7" s="1476">
        <f t="shared" ref="D7:D8" si="23">C7</f>
        <v>320.57880516480003</v>
      </c>
      <c r="E7" s="1476">
        <f t="shared" ref="E7:E8" si="24">E8*(1+P7)</f>
        <v>615.96110553196797</v>
      </c>
      <c r="F7" s="1476">
        <f t="shared" ref="F7:F8" si="25">F8*(1+Q7)</f>
        <v>279.46777300108801</v>
      </c>
      <c r="G7" s="2917"/>
      <c r="H7" s="1463">
        <v>3</v>
      </c>
      <c r="I7" s="1463">
        <v>2.98</v>
      </c>
      <c r="J7" s="1463">
        <v>2.11</v>
      </c>
      <c r="K7" s="1463">
        <v>3.24</v>
      </c>
      <c r="L7" s="1477">
        <v>1.72</v>
      </c>
      <c r="M7" s="1470"/>
      <c r="N7" s="1471">
        <f t="shared" si="7"/>
        <v>2.98E-2</v>
      </c>
      <c r="O7" s="1472">
        <f t="shared" ref="O7" si="26">J7/100</f>
        <v>2.1099999999999997E-2</v>
      </c>
      <c r="P7" s="1472">
        <f t="shared" ref="P7" si="27">K7/100</f>
        <v>3.2400000000000005E-2</v>
      </c>
      <c r="Q7" s="1472">
        <f t="shared" ref="Q7" si="28">L7/100</f>
        <v>1.72E-2</v>
      </c>
      <c r="R7" s="1473"/>
      <c r="S7" s="1471"/>
      <c r="T7" s="1472"/>
      <c r="U7" s="1472"/>
      <c r="V7" s="1472"/>
      <c r="W7" s="1788"/>
      <c r="X7" s="1786">
        <f>ROUND(SUMPRODUCT(PRODUCT(1+N7:N$20)),4)</f>
        <v>1.4034</v>
      </c>
      <c r="Y7" s="1786">
        <f>ROUND(SUMPRODUCT(PRODUCT(1+O7:O$20)),4)</f>
        <v>1.2463</v>
      </c>
      <c r="Z7" s="1786">
        <f t="shared" si="0"/>
        <v>1.2463</v>
      </c>
      <c r="AA7" s="1786">
        <f>ROUND(SUMPRODUCT(PRODUCT(1+P7:P$20)),4)</f>
        <v>1.4577</v>
      </c>
      <c r="AB7" s="1786">
        <f>ROUND(SUMPRODUCT(PRODUCT(1+Q7:Q$20)),4)</f>
        <v>1.2136</v>
      </c>
      <c r="AC7" s="1788"/>
      <c r="AD7" s="1787">
        <f>ROUND(AVERAGE(I7:I$21)/100,4)</f>
        <v>2.4899999999999999E-2</v>
      </c>
      <c r="AE7" s="1787">
        <f>ROUND(AVERAGE(J7:J$21)/100,4)</f>
        <v>1.6400000000000001E-2</v>
      </c>
      <c r="AF7" s="1787">
        <f t="shared" si="1"/>
        <v>1.6400000000000001E-2</v>
      </c>
      <c r="AG7" s="1787">
        <f>ROUND(AVERAGE(K7:K$21)/100,4)</f>
        <v>2.7799999999999998E-2</v>
      </c>
      <c r="AH7" s="1787">
        <f>ROUND(AVERAGE(L7:L$21)/100,4)</f>
        <v>1.3899999999999999E-2</v>
      </c>
    </row>
    <row r="8" spans="1:34" s="1730" customFormat="1">
      <c r="A8" s="1460" t="s">
        <v>1386</v>
      </c>
      <c r="B8" s="1476">
        <f t="shared" si="21"/>
        <v>419.31181600000002</v>
      </c>
      <c r="C8" s="1476">
        <f t="shared" si="22"/>
        <v>313.95436800000004</v>
      </c>
      <c r="D8" s="1476">
        <f t="shared" si="23"/>
        <v>313.95436800000004</v>
      </c>
      <c r="E8" s="1476">
        <f t="shared" si="24"/>
        <v>596.63028431999999</v>
      </c>
      <c r="F8" s="1476">
        <f t="shared" si="25"/>
        <v>274.74220703999998</v>
      </c>
      <c r="G8" s="2916"/>
      <c r="H8" s="1464">
        <v>2</v>
      </c>
      <c r="I8" s="1464">
        <v>3.4</v>
      </c>
      <c r="J8" s="1464">
        <v>2</v>
      </c>
      <c r="K8" s="1464">
        <v>3.82</v>
      </c>
      <c r="L8" s="1478">
        <v>1.68</v>
      </c>
      <c r="M8" s="1470"/>
      <c r="N8" s="1471">
        <f t="shared" si="7"/>
        <v>3.4000000000000002E-2</v>
      </c>
      <c r="O8" s="1472">
        <f t="shared" ref="O8" si="29">J8/100</f>
        <v>0.02</v>
      </c>
      <c r="P8" s="1472">
        <f t="shared" ref="P8" si="30">K8/100</f>
        <v>3.8199999999999998E-2</v>
      </c>
      <c r="Q8" s="1472">
        <f t="shared" ref="Q8" si="31">L8/100</f>
        <v>1.6799999999999999E-2</v>
      </c>
      <c r="R8" s="1473"/>
      <c r="S8" s="1474"/>
      <c r="T8" s="1475"/>
      <c r="U8" s="1475"/>
      <c r="V8" s="1475"/>
      <c r="W8" s="1452"/>
      <c r="X8" s="1786">
        <f>ROUND(SUMPRODUCT(PRODUCT(1+N8:N$20)),4)</f>
        <v>1.3628</v>
      </c>
      <c r="Y8" s="1786">
        <f>ROUND(SUMPRODUCT(PRODUCT(1+O8:O$20)),4)</f>
        <v>1.2205999999999999</v>
      </c>
      <c r="Z8" s="1786">
        <f t="shared" si="0"/>
        <v>1.2205999999999999</v>
      </c>
      <c r="AA8" s="1786">
        <f>ROUND(SUMPRODUCT(PRODUCT(1+P8:P$20)),4)</f>
        <v>1.4118999999999999</v>
      </c>
      <c r="AB8" s="1786">
        <f>ROUND(SUMPRODUCT(PRODUCT(1+Q8:Q$20)),4)</f>
        <v>1.1930000000000001</v>
      </c>
      <c r="AC8" s="1452"/>
      <c r="AD8" s="1787">
        <f>ROUND(AVERAGE(I8:I$21)/100,4)</f>
        <v>2.46E-2</v>
      </c>
      <c r="AE8" s="1787">
        <f>ROUND(AVERAGE(J8:J$21)/100,4)</f>
        <v>1.6E-2</v>
      </c>
      <c r="AF8" s="1787">
        <f t="shared" si="1"/>
        <v>1.6E-2</v>
      </c>
      <c r="AG8" s="1787">
        <f>ROUND(AVERAGE(K8:K$21)/100,4)</f>
        <v>2.75E-2</v>
      </c>
      <c r="AH8" s="1787">
        <f>ROUND(AVERAGE(L8:L$21)/100,4)</f>
        <v>1.37E-2</v>
      </c>
    </row>
    <row r="9" spans="1:34" s="1465" customFormat="1" ht="13.5" thickBot="1">
      <c r="A9" s="1460" t="s">
        <v>1161</v>
      </c>
      <c r="B9" s="1476">
        <f>B10*(1+N9)</f>
        <v>405.524</v>
      </c>
      <c r="C9" s="1476">
        <f>C10*(1+O9)</f>
        <v>307.79840000000002</v>
      </c>
      <c r="D9" s="1476">
        <f>C9</f>
        <v>307.79840000000002</v>
      </c>
      <c r="E9" s="1476">
        <f>E10*(1+P9)</f>
        <v>574.67759999999998</v>
      </c>
      <c r="F9" s="1476">
        <f>F10*(1+Q9)</f>
        <v>270.20280000000002</v>
      </c>
      <c r="G9" s="2917"/>
      <c r="H9" s="1463">
        <v>1</v>
      </c>
      <c r="I9" s="1463">
        <v>3.45</v>
      </c>
      <c r="J9" s="1463">
        <v>1.92</v>
      </c>
      <c r="K9" s="1463">
        <v>3.92</v>
      </c>
      <c r="L9" s="1477">
        <v>1.58</v>
      </c>
      <c r="M9" s="1470"/>
      <c r="N9" s="1471">
        <f t="shared" si="7"/>
        <v>3.4500000000000003E-2</v>
      </c>
      <c r="O9" s="1472">
        <f t="shared" ref="O9:Q24" si="32">J9/100</f>
        <v>1.9199999999999998E-2</v>
      </c>
      <c r="P9" s="1472">
        <f t="shared" si="32"/>
        <v>3.9199999999999999E-2</v>
      </c>
      <c r="Q9" s="1472">
        <f t="shared" si="32"/>
        <v>1.5800000000000002E-2</v>
      </c>
      <c r="R9" s="1473"/>
      <c r="S9" s="1471">
        <f>B9/B10-1</f>
        <v>3.4499999999999975E-2</v>
      </c>
      <c r="T9" s="1472">
        <f t="shared" ref="T9:V9" si="33">C9/C10-1</f>
        <v>1.9200000000000106E-2</v>
      </c>
      <c r="U9" s="1472">
        <f t="shared" si="33"/>
        <v>1.9200000000000106E-2</v>
      </c>
      <c r="V9" s="1472">
        <f t="shared" si="33"/>
        <v>3.9199999999999902E-2</v>
      </c>
      <c r="W9" s="1788"/>
      <c r="X9" s="1786">
        <f>ROUND(SUMPRODUCT(PRODUCT(1+N9:N$20)),4)</f>
        <v>1.3180000000000001</v>
      </c>
      <c r="Y9" s="1786">
        <f>ROUND(SUMPRODUCT(PRODUCT(1+O9:O$20)),4)</f>
        <v>1.1966000000000001</v>
      </c>
      <c r="Z9" s="1786">
        <f t="shared" si="0"/>
        <v>1.1966000000000001</v>
      </c>
      <c r="AA9" s="1786">
        <f>ROUND(SUMPRODUCT(PRODUCT(1+P9:P$20)),4)</f>
        <v>1.36</v>
      </c>
      <c r="AB9" s="1786">
        <f>ROUND(SUMPRODUCT(PRODUCT(1+Q9:Q$20)),4)</f>
        <v>1.1733</v>
      </c>
      <c r="AC9" s="1788"/>
      <c r="AD9" s="1787">
        <f>ROUND(AVERAGE(I9:I$21)/100,4)</f>
        <v>2.3900000000000001E-2</v>
      </c>
      <c r="AE9" s="1787">
        <f>ROUND(AVERAGE(J9:J$21)/100,4)</f>
        <v>1.5699999999999999E-2</v>
      </c>
      <c r="AF9" s="1787">
        <f t="shared" si="1"/>
        <v>1.5699999999999999E-2</v>
      </c>
      <c r="AG9" s="1787">
        <f>ROUND(AVERAGE(K9:K$21)/100,4)</f>
        <v>2.6599999999999999E-2</v>
      </c>
      <c r="AH9" s="1787">
        <f>ROUND(AVERAGE(L9:L$21)/100,4)</f>
        <v>1.34E-2</v>
      </c>
    </row>
    <row r="10" spans="1:34">
      <c r="A10" s="1460" t="s">
        <v>154</v>
      </c>
      <c r="B10" s="1468">
        <v>392</v>
      </c>
      <c r="C10" s="1468">
        <v>302</v>
      </c>
      <c r="D10" s="1468">
        <f>C10</f>
        <v>302</v>
      </c>
      <c r="E10" s="1468">
        <v>553</v>
      </c>
      <c r="F10" s="1469">
        <v>266</v>
      </c>
      <c r="G10" s="3335">
        <v>2016</v>
      </c>
      <c r="H10" s="1461">
        <v>4</v>
      </c>
      <c r="I10" s="1461">
        <v>4.5599999999999996</v>
      </c>
      <c r="J10" s="1461">
        <v>2.15</v>
      </c>
      <c r="K10" s="1461">
        <v>5.32</v>
      </c>
      <c r="L10" s="1462">
        <v>1.57</v>
      </c>
      <c r="N10" s="1471">
        <f t="shared" si="7"/>
        <v>4.5599999999999995E-2</v>
      </c>
      <c r="O10" s="1472">
        <f t="shared" si="32"/>
        <v>2.1499999999999998E-2</v>
      </c>
      <c r="P10" s="1472">
        <f t="shared" si="32"/>
        <v>5.3200000000000004E-2</v>
      </c>
      <c r="Q10" s="1472">
        <f t="shared" si="32"/>
        <v>1.5700000000000002E-2</v>
      </c>
      <c r="R10" s="1473"/>
      <c r="S10" s="1474"/>
      <c r="T10" s="1475"/>
      <c r="U10" s="1475"/>
      <c r="V10" s="1475"/>
      <c r="X10" s="1458">
        <f>ROUND(SUMPRODUCT(PRODUCT(1+N10:N$20)),4)</f>
        <v>1.274</v>
      </c>
      <c r="Y10" s="1458">
        <f>ROUND(SUMPRODUCT(PRODUCT(1+O10:O$20)),4)</f>
        <v>1.1740999999999999</v>
      </c>
      <c r="Z10" s="1458">
        <f t="shared" si="0"/>
        <v>1.1740999999999999</v>
      </c>
      <c r="AA10" s="1458">
        <f>ROUND(SUMPRODUCT(PRODUCT(1+P10:P$20)),4)</f>
        <v>1.3087</v>
      </c>
      <c r="AB10" s="1458">
        <f>ROUND(SUMPRODUCT(PRODUCT(1+Q10:Q$20)),4)</f>
        <v>1.1551</v>
      </c>
      <c r="AD10" s="1459">
        <f>ROUND(AVERAGE(I10:I$21)/100,4)</f>
        <v>2.3E-2</v>
      </c>
      <c r="AE10" s="1459">
        <f>ROUND(AVERAGE(J10:J$21)/100,4)</f>
        <v>1.55E-2</v>
      </c>
      <c r="AF10" s="1459">
        <f t="shared" si="1"/>
        <v>1.55E-2</v>
      </c>
      <c r="AG10" s="1459">
        <f>ROUND(AVERAGE(K10:K$21)/100,4)</f>
        <v>2.5600000000000001E-2</v>
      </c>
      <c r="AH10" s="1459">
        <f>ROUND(AVERAGE(L10:L$21)/100,4)</f>
        <v>1.32E-2</v>
      </c>
    </row>
    <row r="11" spans="1:34">
      <c r="A11" s="1460" t="s">
        <v>153</v>
      </c>
      <c r="B11" s="1476">
        <f t="shared" ref="B11:C13" si="34">B10/(1+N10)</f>
        <v>374.90436113236416</v>
      </c>
      <c r="C11" s="1476">
        <f t="shared" si="34"/>
        <v>295.64366128242779</v>
      </c>
      <c r="D11" s="1476">
        <f t="shared" ref="D11:D70" si="35">C11</f>
        <v>295.64366128242779</v>
      </c>
      <c r="E11" s="1476">
        <f t="shared" ref="E11:F13" si="36">E10/(1+P10)</f>
        <v>525.06646410938095</v>
      </c>
      <c r="F11" s="1476">
        <f t="shared" si="36"/>
        <v>261.88835286009646</v>
      </c>
      <c r="G11" s="3332"/>
      <c r="H11" s="1463">
        <v>3</v>
      </c>
      <c r="I11" s="1463">
        <v>4.12</v>
      </c>
      <c r="J11" s="1463">
        <v>2</v>
      </c>
      <c r="K11" s="1463">
        <v>4.79</v>
      </c>
      <c r="L11" s="1477">
        <v>1.97</v>
      </c>
      <c r="N11" s="1471">
        <f t="shared" ref="N11:Q45" si="37">I11/100</f>
        <v>4.1200000000000001E-2</v>
      </c>
      <c r="O11" s="1472">
        <f t="shared" si="32"/>
        <v>0.02</v>
      </c>
      <c r="P11" s="1472">
        <f t="shared" si="32"/>
        <v>4.7899999999999998E-2</v>
      </c>
      <c r="Q11" s="1472">
        <f t="shared" si="32"/>
        <v>1.9699999999999999E-2</v>
      </c>
      <c r="R11" s="1473"/>
      <c r="S11" s="1471"/>
      <c r="T11" s="1472"/>
      <c r="U11" s="1472"/>
      <c r="V11" s="1472"/>
      <c r="X11" s="1458">
        <f>ROUND(SUMPRODUCT(PRODUCT(1+N11:N$20)),4)</f>
        <v>1.2184999999999999</v>
      </c>
      <c r="Y11" s="1458">
        <f>ROUND(SUMPRODUCT(PRODUCT(1+O11:O$20)),4)</f>
        <v>1.1494</v>
      </c>
      <c r="Z11" s="1458">
        <f t="shared" si="0"/>
        <v>1.1494</v>
      </c>
      <c r="AA11" s="1458">
        <f>ROUND(SUMPRODUCT(PRODUCT(1+P11:P$20)),4)</f>
        <v>1.2425999999999999</v>
      </c>
      <c r="AB11" s="1458">
        <f>ROUND(SUMPRODUCT(PRODUCT(1+Q11:Q$20)),4)</f>
        <v>1.1372</v>
      </c>
      <c r="AD11" s="1459">
        <f>ROUND(AVERAGE(I11:I$21)/100,4)</f>
        <v>2.0899999999999998E-2</v>
      </c>
      <c r="AE11" s="1459">
        <f>ROUND(AVERAGE(J11:J$21)/100,4)</f>
        <v>1.49E-2</v>
      </c>
      <c r="AF11" s="1459">
        <f t="shared" si="1"/>
        <v>1.49E-2</v>
      </c>
      <c r="AG11" s="1459">
        <f>ROUND(AVERAGE(K11:K$21)/100,4)</f>
        <v>2.3099999999999999E-2</v>
      </c>
      <c r="AH11" s="1459">
        <f>ROUND(AVERAGE(L11:L$21)/100,4)</f>
        <v>1.2999999999999999E-2</v>
      </c>
    </row>
    <row r="12" spans="1:34">
      <c r="A12" s="1460" t="s">
        <v>143</v>
      </c>
      <c r="B12" s="1476">
        <f t="shared" si="34"/>
        <v>360.06949782209392</v>
      </c>
      <c r="C12" s="1476">
        <f t="shared" si="34"/>
        <v>289.84672674747821</v>
      </c>
      <c r="D12" s="1476">
        <f t="shared" si="35"/>
        <v>289.84672674747821</v>
      </c>
      <c r="E12" s="1476">
        <f t="shared" si="36"/>
        <v>501.06543001181495</v>
      </c>
      <c r="F12" s="1476">
        <f t="shared" si="36"/>
        <v>256.82882500744967</v>
      </c>
      <c r="G12" s="3332"/>
      <c r="H12" s="1464">
        <v>2</v>
      </c>
      <c r="I12" s="1464">
        <v>3.85</v>
      </c>
      <c r="J12" s="1464">
        <v>1.95</v>
      </c>
      <c r="K12" s="1464">
        <v>4.4800000000000004</v>
      </c>
      <c r="L12" s="1478">
        <v>1.41</v>
      </c>
      <c r="N12" s="1471">
        <f t="shared" si="37"/>
        <v>3.85E-2</v>
      </c>
      <c r="O12" s="1472">
        <f t="shared" si="32"/>
        <v>1.95E-2</v>
      </c>
      <c r="P12" s="1472">
        <f t="shared" si="32"/>
        <v>4.4800000000000006E-2</v>
      </c>
      <c r="Q12" s="1472">
        <f t="shared" si="32"/>
        <v>1.41E-2</v>
      </c>
      <c r="R12" s="1473"/>
      <c r="S12" s="1471"/>
      <c r="T12" s="1472"/>
      <c r="U12" s="1472"/>
      <c r="V12" s="1472"/>
      <c r="X12" s="1458">
        <f>ROUND(SUMPRODUCT(PRODUCT(1+N12:N$20)),4)</f>
        <v>1.1702999999999999</v>
      </c>
      <c r="Y12" s="1458">
        <f>ROUND(SUMPRODUCT(PRODUCT(1+O12:O$20)),4)</f>
        <v>1.1269</v>
      </c>
      <c r="Z12" s="1458">
        <f t="shared" si="0"/>
        <v>1.1269</v>
      </c>
      <c r="AA12" s="1458">
        <f>ROUND(SUMPRODUCT(PRODUCT(1+P12:P$20)),4)</f>
        <v>1.1858</v>
      </c>
      <c r="AB12" s="1458">
        <f>ROUND(SUMPRODUCT(PRODUCT(1+Q12:Q$20)),4)</f>
        <v>1.1152</v>
      </c>
      <c r="AD12" s="1459">
        <f>ROUND(AVERAGE(I12:I$21)/100,4)</f>
        <v>1.89E-2</v>
      </c>
      <c r="AE12" s="1459">
        <f>ROUND(AVERAGE(J12:J$21)/100,4)</f>
        <v>1.44E-2</v>
      </c>
      <c r="AF12" s="1459">
        <f t="shared" si="1"/>
        <v>1.44E-2</v>
      </c>
      <c r="AG12" s="1459">
        <f>ROUND(AVERAGE(K12:K$21)/100,4)</f>
        <v>2.06E-2</v>
      </c>
      <c r="AH12" s="1459">
        <f>ROUND(AVERAGE(L12:L$21)/100,4)</f>
        <v>1.23E-2</v>
      </c>
    </row>
    <row r="13" spans="1:34" ht="13.5" thickBot="1">
      <c r="A13" s="1460" t="s">
        <v>152</v>
      </c>
      <c r="B13" s="1476">
        <f t="shared" si="34"/>
        <v>346.720748986128</v>
      </c>
      <c r="C13" s="1476">
        <f t="shared" si="34"/>
        <v>284.30282172386285</v>
      </c>
      <c r="D13" s="1476">
        <f t="shared" si="35"/>
        <v>284.30282172386285</v>
      </c>
      <c r="E13" s="1476">
        <f t="shared" si="36"/>
        <v>479.58023546306947</v>
      </c>
      <c r="F13" s="1476">
        <f t="shared" si="36"/>
        <v>253.25788877571213</v>
      </c>
      <c r="G13" s="3333"/>
      <c r="H13" s="1463">
        <v>1</v>
      </c>
      <c r="I13" s="1463">
        <v>4.09</v>
      </c>
      <c r="J13" s="1463">
        <v>2.93</v>
      </c>
      <c r="K13" s="1463">
        <v>4.54</v>
      </c>
      <c r="L13" s="1477">
        <v>1.48</v>
      </c>
      <c r="N13" s="1471">
        <f t="shared" si="37"/>
        <v>4.0899999999999999E-2</v>
      </c>
      <c r="O13" s="1472">
        <f t="shared" si="32"/>
        <v>2.9300000000000003E-2</v>
      </c>
      <c r="P13" s="1472">
        <f t="shared" si="32"/>
        <v>4.5400000000000003E-2</v>
      </c>
      <c r="Q13" s="1472">
        <f t="shared" si="32"/>
        <v>1.4800000000000001E-2</v>
      </c>
      <c r="R13" s="1473"/>
      <c r="S13" s="1479">
        <f>B13/B14-1</f>
        <v>4.1203450408792808E-2</v>
      </c>
      <c r="T13" s="1480">
        <f>C13/C14-1</f>
        <v>2.6363977342465095E-2</v>
      </c>
      <c r="U13" s="1480">
        <f>E13/E14-1</f>
        <v>4.4837114298626357E-2</v>
      </c>
      <c r="V13" s="1480">
        <f>F13/F14-1</f>
        <v>1.7099954922538574E-2</v>
      </c>
      <c r="X13" s="1458">
        <f>ROUND(SUMPRODUCT(PRODUCT(1+N13:N$20)),4)</f>
        <v>1.1269</v>
      </c>
      <c r="Y13" s="1458">
        <f>ROUND(SUMPRODUCT(PRODUCT(1+O13:O$20)),4)</f>
        <v>1.1052999999999999</v>
      </c>
      <c r="Z13" s="1458">
        <f t="shared" si="0"/>
        <v>1.1052999999999999</v>
      </c>
      <c r="AA13" s="1458">
        <f>ROUND(SUMPRODUCT(PRODUCT(1+P13:P$20)),4)</f>
        <v>1.1349</v>
      </c>
      <c r="AB13" s="1458">
        <f>ROUND(SUMPRODUCT(PRODUCT(1+Q13:Q$20)),4)</f>
        <v>1.0996999999999999</v>
      </c>
      <c r="AD13" s="1459">
        <f>ROUND(AVERAGE(I13:I$21)/100,4)</f>
        <v>1.67E-2</v>
      </c>
      <c r="AE13" s="1459">
        <f>ROUND(AVERAGE(J13:J$21)/100,4)</f>
        <v>1.38E-2</v>
      </c>
      <c r="AF13" s="1459">
        <f t="shared" si="1"/>
        <v>1.38E-2</v>
      </c>
      <c r="AG13" s="1459">
        <f>ROUND(AVERAGE(K13:K$21)/100,4)</f>
        <v>1.7899999999999999E-2</v>
      </c>
      <c r="AH13" s="1459">
        <f>ROUND(AVERAGE(L13:L$21)/100,4)</f>
        <v>1.21E-2</v>
      </c>
    </row>
    <row r="14" spans="1:34" ht="13.5" thickBot="1">
      <c r="A14" s="1460" t="s">
        <v>151</v>
      </c>
      <c r="B14" s="1468">
        <v>333</v>
      </c>
      <c r="C14" s="1468">
        <v>277</v>
      </c>
      <c r="D14" s="1468">
        <f t="shared" si="35"/>
        <v>277</v>
      </c>
      <c r="E14" s="1468">
        <v>459</v>
      </c>
      <c r="F14" s="1469">
        <v>249</v>
      </c>
      <c r="G14" s="3331">
        <v>2015</v>
      </c>
      <c r="H14" s="1481">
        <v>4</v>
      </c>
      <c r="I14" s="1481">
        <v>1.63</v>
      </c>
      <c r="J14" s="1481">
        <v>1.1100000000000001</v>
      </c>
      <c r="K14" s="1481">
        <v>1.77</v>
      </c>
      <c r="L14" s="1482">
        <v>1.89</v>
      </c>
      <c r="N14" s="1483">
        <f t="shared" si="37"/>
        <v>1.6299999999999999E-2</v>
      </c>
      <c r="O14" s="1484">
        <f t="shared" si="32"/>
        <v>1.11E-2</v>
      </c>
      <c r="P14" s="1484">
        <f t="shared" si="32"/>
        <v>1.77E-2</v>
      </c>
      <c r="Q14" s="1484">
        <f t="shared" si="32"/>
        <v>1.89E-2</v>
      </c>
      <c r="R14" s="1473"/>
      <c r="X14" s="1458">
        <f>ROUND(SUMPRODUCT(PRODUCT(1+N14:N$20)),4)</f>
        <v>1.0826</v>
      </c>
      <c r="Y14" s="1458">
        <f>ROUND(SUMPRODUCT(PRODUCT(1+O14:O$20)),4)</f>
        <v>1.0738000000000001</v>
      </c>
      <c r="Z14" s="1458">
        <f t="shared" si="0"/>
        <v>1.0738000000000001</v>
      </c>
      <c r="AA14" s="1458">
        <f>ROUND(SUMPRODUCT(PRODUCT(1+P14:P$20)),4)</f>
        <v>1.0855999999999999</v>
      </c>
      <c r="AB14" s="1458">
        <f>ROUND(SUMPRODUCT(PRODUCT(1+Q14:Q$20)),4)</f>
        <v>1.0837000000000001</v>
      </c>
      <c r="AD14" s="1459">
        <f>ROUND(AVERAGE(I14:I$21)/100,4)</f>
        <v>1.37E-2</v>
      </c>
      <c r="AE14" s="1459">
        <f>ROUND(AVERAGE(J14:J$21)/100,4)</f>
        <v>1.1900000000000001E-2</v>
      </c>
      <c r="AF14" s="1459">
        <f t="shared" si="1"/>
        <v>1.1900000000000001E-2</v>
      </c>
      <c r="AG14" s="1459">
        <f>ROUND(AVERAGE(K14:K$21)/100,4)</f>
        <v>1.4500000000000001E-2</v>
      </c>
      <c r="AH14" s="1459">
        <f>ROUND(AVERAGE(L14:L$21)/100,4)</f>
        <v>1.18E-2</v>
      </c>
    </row>
    <row r="15" spans="1:34">
      <c r="A15" s="1460" t="s">
        <v>150</v>
      </c>
      <c r="B15" s="1476">
        <f t="shared" ref="B15:C17" si="38">B14/(1+N14)</f>
        <v>327.65915576109415</v>
      </c>
      <c r="C15" s="1476">
        <f t="shared" si="38"/>
        <v>273.95905449510434</v>
      </c>
      <c r="D15" s="1476">
        <f t="shared" si="35"/>
        <v>273.95905449510434</v>
      </c>
      <c r="E15" s="1476">
        <f t="shared" ref="E15:F17" si="39">E14/(1+P14)</f>
        <v>451.01699911565294</v>
      </c>
      <c r="F15" s="1476">
        <f t="shared" si="39"/>
        <v>244.38119540681129</v>
      </c>
      <c r="G15" s="3332"/>
      <c r="H15" s="1486">
        <v>3</v>
      </c>
      <c r="I15" s="1486">
        <v>1.65</v>
      </c>
      <c r="J15" s="1486">
        <v>0.92</v>
      </c>
      <c r="K15" s="1486">
        <v>1.88</v>
      </c>
      <c r="L15" s="1487">
        <v>1.26</v>
      </c>
      <c r="N15" s="1471">
        <f t="shared" si="37"/>
        <v>1.6500000000000001E-2</v>
      </c>
      <c r="O15" s="1488">
        <f t="shared" si="32"/>
        <v>9.1999999999999998E-3</v>
      </c>
      <c r="P15" s="1488">
        <f t="shared" si="32"/>
        <v>1.8799999999999997E-2</v>
      </c>
      <c r="Q15" s="1488">
        <f t="shared" si="32"/>
        <v>1.26E-2</v>
      </c>
      <c r="R15" s="1473"/>
      <c r="S15" s="1471"/>
      <c r="T15" s="1472"/>
      <c r="U15" s="1472"/>
      <c r="V15" s="1472"/>
      <c r="X15" s="1458">
        <f>ROUND(SUMPRODUCT(PRODUCT(1+N15:N$20)),4)</f>
        <v>1.0651999999999999</v>
      </c>
      <c r="Y15" s="1458">
        <f>ROUND(SUMPRODUCT(PRODUCT(1+O15:O$20)),4)</f>
        <v>1.0621</v>
      </c>
      <c r="Z15" s="1458">
        <f t="shared" si="0"/>
        <v>1.0621</v>
      </c>
      <c r="AA15" s="1458">
        <f>ROUND(SUMPRODUCT(PRODUCT(1+P15:P$20)),4)</f>
        <v>1.0668</v>
      </c>
      <c r="AB15" s="1458">
        <f>ROUND(SUMPRODUCT(PRODUCT(1+Q15:Q$20)),4)</f>
        <v>1.0636000000000001</v>
      </c>
      <c r="AD15" s="1459">
        <f>ROUND(AVERAGE(I15:I$21)/100,4)</f>
        <v>1.3299999999999999E-2</v>
      </c>
      <c r="AE15" s="1459">
        <f>ROUND(AVERAGE(J15:J$21)/100,4)</f>
        <v>1.2E-2</v>
      </c>
      <c r="AF15" s="1459">
        <f t="shared" si="1"/>
        <v>1.2E-2</v>
      </c>
      <c r="AG15" s="1459">
        <f>ROUND(AVERAGE(K15:K$21)/100,4)</f>
        <v>1.4E-2</v>
      </c>
      <c r="AH15" s="1459">
        <f>ROUND(AVERAGE(L15:L$21)/100,4)</f>
        <v>1.0800000000000001E-2</v>
      </c>
    </row>
    <row r="16" spans="1:34">
      <c r="A16" s="1460" t="s">
        <v>149</v>
      </c>
      <c r="B16" s="1476">
        <f t="shared" si="38"/>
        <v>322.34053690220776</v>
      </c>
      <c r="C16" s="1476">
        <f t="shared" si="38"/>
        <v>271.46160770422546</v>
      </c>
      <c r="D16" s="1476">
        <f t="shared" si="35"/>
        <v>271.46160770422546</v>
      </c>
      <c r="E16" s="1476">
        <f t="shared" si="39"/>
        <v>442.69434542172456</v>
      </c>
      <c r="F16" s="1476">
        <f t="shared" si="39"/>
        <v>241.34030753190925</v>
      </c>
      <c r="G16" s="3332"/>
      <c r="H16" s="1464">
        <v>2</v>
      </c>
      <c r="I16" s="1464">
        <v>0.77</v>
      </c>
      <c r="J16" s="1464">
        <v>0.69</v>
      </c>
      <c r="K16" s="1464">
        <v>0.8</v>
      </c>
      <c r="L16" s="1478">
        <v>0.88</v>
      </c>
      <c r="N16" s="1471">
        <f t="shared" si="37"/>
        <v>7.7000000000000002E-3</v>
      </c>
      <c r="O16" s="1488">
        <f t="shared" si="32"/>
        <v>6.8999999999999999E-3</v>
      </c>
      <c r="P16" s="1488">
        <f t="shared" si="32"/>
        <v>8.0000000000000002E-3</v>
      </c>
      <c r="Q16" s="1488">
        <f t="shared" si="32"/>
        <v>8.8000000000000005E-3</v>
      </c>
      <c r="R16" s="1473"/>
      <c r="S16" s="1471"/>
      <c r="T16" s="1472"/>
      <c r="U16" s="1472"/>
      <c r="V16" s="1472"/>
      <c r="X16" s="1458">
        <f>ROUND(SUMPRODUCT(PRODUCT(1+N16:N$20)),4)</f>
        <v>1.048</v>
      </c>
      <c r="Y16" s="1458">
        <f>ROUND(SUMPRODUCT(PRODUCT(1+O16:O$20)),4)</f>
        <v>1.0524</v>
      </c>
      <c r="Z16" s="1458">
        <f t="shared" si="0"/>
        <v>1.0524</v>
      </c>
      <c r="AA16" s="1458">
        <f>ROUND(SUMPRODUCT(PRODUCT(1+P16:P$20)),4)</f>
        <v>1.0470999999999999</v>
      </c>
      <c r="AB16" s="1458">
        <f>ROUND(SUMPRODUCT(PRODUCT(1+Q16:Q$20)),4)</f>
        <v>1.0504</v>
      </c>
      <c r="AD16" s="1459">
        <f>ROUND(AVERAGE(I16:I$21)/100,4)</f>
        <v>1.2800000000000001E-2</v>
      </c>
      <c r="AE16" s="1459">
        <f>ROUND(AVERAGE(J16:J$21)/100,4)</f>
        <v>1.2500000000000001E-2</v>
      </c>
      <c r="AF16" s="1459">
        <f t="shared" si="1"/>
        <v>1.2500000000000001E-2</v>
      </c>
      <c r="AG16" s="1459">
        <f>ROUND(AVERAGE(K16:K$21)/100,4)</f>
        <v>1.32E-2</v>
      </c>
      <c r="AH16" s="1459">
        <f>ROUND(AVERAGE(L16:L$21)/100,4)</f>
        <v>1.0500000000000001E-2</v>
      </c>
    </row>
    <row r="17" spans="1:34">
      <c r="A17" s="1460" t="s">
        <v>148</v>
      </c>
      <c r="B17" s="1476">
        <f t="shared" si="38"/>
        <v>319.87748030386797</v>
      </c>
      <c r="C17" s="1476">
        <f t="shared" si="38"/>
        <v>269.60135833173649</v>
      </c>
      <c r="D17" s="1476">
        <f t="shared" si="35"/>
        <v>269.60135833173649</v>
      </c>
      <c r="E17" s="1476">
        <f t="shared" si="39"/>
        <v>439.18089823583784</v>
      </c>
      <c r="F17" s="1476">
        <f t="shared" si="39"/>
        <v>239.23503918706311</v>
      </c>
      <c r="G17" s="3333"/>
      <c r="H17" s="1463">
        <v>1</v>
      </c>
      <c r="I17" s="1463">
        <v>0.51</v>
      </c>
      <c r="J17" s="1463">
        <v>0.54</v>
      </c>
      <c r="K17" s="1463">
        <v>0.48</v>
      </c>
      <c r="L17" s="1477">
        <v>0.93</v>
      </c>
      <c r="N17" s="1479">
        <f t="shared" si="37"/>
        <v>5.1000000000000004E-3</v>
      </c>
      <c r="O17" s="1480">
        <f t="shared" si="32"/>
        <v>5.4000000000000003E-3</v>
      </c>
      <c r="P17" s="1480">
        <f t="shared" si="32"/>
        <v>4.7999999999999996E-3</v>
      </c>
      <c r="Q17" s="1480">
        <f t="shared" si="32"/>
        <v>9.300000000000001E-3</v>
      </c>
      <c r="R17" s="1473"/>
      <c r="S17" s="1479">
        <f>B17/B18-1</f>
        <v>5.9040261127922822E-3</v>
      </c>
      <c r="T17" s="1480">
        <f>C17/C18-1</f>
        <v>5.9752176557332781E-3</v>
      </c>
      <c r="U17" s="1480">
        <f>E17/E18-1</f>
        <v>4.9906138119859556E-3</v>
      </c>
      <c r="V17" s="1480">
        <f>F17/F18-1</f>
        <v>9.4305450930933787E-3</v>
      </c>
      <c r="X17" s="1458">
        <f>ROUND(SUMPRODUCT(PRODUCT(1+N17:N$20)),4)</f>
        <v>1.0399</v>
      </c>
      <c r="Y17" s="1458">
        <f>ROUND(SUMPRODUCT(PRODUCT(1+O17:O$20)),4)</f>
        <v>1.0451999999999999</v>
      </c>
      <c r="Z17" s="1458">
        <f t="shared" si="0"/>
        <v>1.0451999999999999</v>
      </c>
      <c r="AA17" s="1458">
        <f>ROUND(SUMPRODUCT(PRODUCT(1+P17:P$20)),4)</f>
        <v>1.0387999999999999</v>
      </c>
      <c r="AB17" s="1458">
        <f>ROUND(SUMPRODUCT(PRODUCT(1+Q17:Q$20)),4)</f>
        <v>1.0411999999999999</v>
      </c>
      <c r="AD17" s="1459">
        <f>ROUND(AVERAGE(I17:I$21)/100,4)</f>
        <v>1.38E-2</v>
      </c>
      <c r="AE17" s="1459">
        <f>ROUND(AVERAGE(J17:J$21)/100,4)</f>
        <v>1.3599999999999999E-2</v>
      </c>
      <c r="AF17" s="1459">
        <f t="shared" si="1"/>
        <v>1.3599999999999999E-2</v>
      </c>
      <c r="AG17" s="1459">
        <f>ROUND(AVERAGE(K17:K$21)/100,4)</f>
        <v>1.4200000000000001E-2</v>
      </c>
      <c r="AH17" s="1459">
        <f>ROUND(AVERAGE(L17:L$21)/100,4)</f>
        <v>1.0800000000000001E-2</v>
      </c>
    </row>
    <row r="18" spans="1:34" ht="13.5" thickBot="1">
      <c r="A18" s="1460" t="s">
        <v>147</v>
      </c>
      <c r="B18" s="1489">
        <v>318</v>
      </c>
      <c r="C18" s="1489">
        <v>268</v>
      </c>
      <c r="D18" s="1489">
        <f t="shared" si="35"/>
        <v>268</v>
      </c>
      <c r="E18" s="1489">
        <v>437</v>
      </c>
      <c r="F18" s="1490">
        <v>237</v>
      </c>
      <c r="G18" s="3331">
        <v>2014</v>
      </c>
      <c r="H18" s="1481">
        <v>4</v>
      </c>
      <c r="I18" s="1481">
        <v>0.21</v>
      </c>
      <c r="J18" s="1481">
        <v>0.41</v>
      </c>
      <c r="K18" s="1481">
        <v>0.12</v>
      </c>
      <c r="L18" s="1482">
        <v>0.89</v>
      </c>
      <c r="N18" s="1471">
        <f t="shared" si="37"/>
        <v>2.0999999999999999E-3</v>
      </c>
      <c r="O18" s="1472">
        <f t="shared" si="32"/>
        <v>4.0999999999999995E-3</v>
      </c>
      <c r="P18" s="1472">
        <f t="shared" si="32"/>
        <v>1.1999999999999999E-3</v>
      </c>
      <c r="Q18" s="1472">
        <f t="shared" si="32"/>
        <v>8.8999999999999999E-3</v>
      </c>
      <c r="R18" s="1473"/>
      <c r="S18" s="1474"/>
      <c r="T18" s="1475"/>
      <c r="U18" s="1475"/>
      <c r="V18" s="1475"/>
      <c r="X18" s="1458">
        <f>ROUND(SUMPRODUCT(PRODUCT(1+N18:N$20)),4)</f>
        <v>1.0347</v>
      </c>
      <c r="Y18" s="1458">
        <f>ROUND(SUMPRODUCT(PRODUCT(1+O18:O$20)),4)</f>
        <v>1.0395000000000001</v>
      </c>
      <c r="Z18" s="1458">
        <f t="shared" si="0"/>
        <v>1.0395000000000001</v>
      </c>
      <c r="AA18" s="1458">
        <f>ROUND(SUMPRODUCT(PRODUCT(1+P18:P$20)),4)</f>
        <v>1.0338000000000001</v>
      </c>
      <c r="AB18" s="1458">
        <f>ROUND(SUMPRODUCT(PRODUCT(1+Q18:Q$20)),4)</f>
        <v>1.0316000000000001</v>
      </c>
      <c r="AD18" s="1459">
        <f>ROUND(AVERAGE(I18:I$21)/100,4)</f>
        <v>1.6E-2</v>
      </c>
      <c r="AE18" s="1459">
        <f>ROUND(AVERAGE(J18:J$21)/100,4)</f>
        <v>1.5599999999999999E-2</v>
      </c>
      <c r="AF18" s="1459">
        <f t="shared" si="1"/>
        <v>1.5599999999999999E-2</v>
      </c>
      <c r="AG18" s="1459">
        <f>ROUND(AVERAGE(K18:K$21)/100,4)</f>
        <v>1.66E-2</v>
      </c>
      <c r="AH18" s="1459">
        <f>ROUND(AVERAGE(L18:L$21)/100,4)</f>
        <v>1.12E-2</v>
      </c>
    </row>
    <row r="19" spans="1:34">
      <c r="A19" s="1460" t="s">
        <v>146</v>
      </c>
      <c r="B19" s="1476">
        <f t="shared" ref="B19:C21" si="40">B18/(1+N18)</f>
        <v>317.33359944117353</v>
      </c>
      <c r="C19" s="1476">
        <f t="shared" si="40"/>
        <v>266.90568668459315</v>
      </c>
      <c r="D19" s="1476">
        <f t="shared" si="35"/>
        <v>266.90568668459315</v>
      </c>
      <c r="E19" s="1476">
        <f t="shared" ref="E19:F21" si="41">E18/(1+P18)</f>
        <v>436.47622852576905</v>
      </c>
      <c r="F19" s="1476">
        <f t="shared" si="41"/>
        <v>234.90930716622066</v>
      </c>
      <c r="G19" s="3332"/>
      <c r="H19" s="1491">
        <v>3</v>
      </c>
      <c r="I19" s="1491">
        <v>0.83</v>
      </c>
      <c r="J19" s="1491">
        <v>1.47</v>
      </c>
      <c r="K19" s="1491">
        <v>0.65</v>
      </c>
      <c r="L19" s="1492">
        <v>0.72</v>
      </c>
      <c r="N19" s="1471">
        <f t="shared" si="37"/>
        <v>8.3000000000000001E-3</v>
      </c>
      <c r="O19" s="1472">
        <f t="shared" si="32"/>
        <v>1.47E-2</v>
      </c>
      <c r="P19" s="1472">
        <f t="shared" si="32"/>
        <v>6.5000000000000006E-3</v>
      </c>
      <c r="Q19" s="1472">
        <f t="shared" si="32"/>
        <v>7.1999999999999998E-3</v>
      </c>
      <c r="R19" s="1473"/>
      <c r="S19" s="1471"/>
      <c r="T19" s="1472"/>
      <c r="U19" s="1472"/>
      <c r="V19" s="1472"/>
      <c r="X19" s="1458">
        <f>ROUND(SUMPRODUCT(PRODUCT(1+N19:N$20)),4)</f>
        <v>1.0325</v>
      </c>
      <c r="Y19" s="1458">
        <f>ROUND(SUMPRODUCT(PRODUCT(1+O19:O$20)),4)</f>
        <v>1.0353000000000001</v>
      </c>
      <c r="Z19" s="1458">
        <f t="shared" ref="Z19:Z20" si="42">Y19</f>
        <v>1.0353000000000001</v>
      </c>
      <c r="AA19" s="1458">
        <f>ROUND(SUMPRODUCT(PRODUCT(1+P19:P$20)),4)</f>
        <v>1.0326</v>
      </c>
      <c r="AB19" s="1458">
        <f>ROUND(SUMPRODUCT(PRODUCT(1+Q19:Q$20)),4)</f>
        <v>1.0225</v>
      </c>
      <c r="AD19" s="1459">
        <f>ROUND(AVERAGE(I19:I$21)/100,4)</f>
        <v>2.07E-2</v>
      </c>
      <c r="AE19" s="1459">
        <f>ROUND(AVERAGE(J19:J$21)/100,4)</f>
        <v>1.95E-2</v>
      </c>
      <c r="AF19" s="1459">
        <f t="shared" si="1"/>
        <v>1.95E-2</v>
      </c>
      <c r="AG19" s="1459">
        <f>ROUND(AVERAGE(K19:K$21)/100,4)</f>
        <v>2.1700000000000001E-2</v>
      </c>
      <c r="AH19" s="1459">
        <f>ROUND(AVERAGE(L19:L$21)/100,4)</f>
        <v>1.2E-2</v>
      </c>
    </row>
    <row r="20" spans="1:34" ht="13.5" thickBot="1">
      <c r="A20" s="1460" t="s">
        <v>145</v>
      </c>
      <c r="B20" s="1476">
        <f t="shared" si="40"/>
        <v>314.72141172386546</v>
      </c>
      <c r="C20" s="1476">
        <f t="shared" si="40"/>
        <v>263.03901319069001</v>
      </c>
      <c r="D20" s="1476">
        <f t="shared" si="35"/>
        <v>263.03901319069001</v>
      </c>
      <c r="E20" s="1476">
        <f t="shared" si="41"/>
        <v>433.65745506782821</v>
      </c>
      <c r="F20" s="1476">
        <f t="shared" si="41"/>
        <v>233.23005080045735</v>
      </c>
      <c r="G20" s="3332"/>
      <c r="H20" s="1481">
        <v>2</v>
      </c>
      <c r="I20" s="1481">
        <v>2.4</v>
      </c>
      <c r="J20" s="1481">
        <v>2.0299999999999998</v>
      </c>
      <c r="K20" s="1481">
        <v>2.59</v>
      </c>
      <c r="L20" s="1482">
        <v>1.52</v>
      </c>
      <c r="N20" s="1471">
        <f t="shared" si="37"/>
        <v>2.4E-2</v>
      </c>
      <c r="O20" s="1472">
        <f t="shared" si="32"/>
        <v>2.0299999999999999E-2</v>
      </c>
      <c r="P20" s="1472">
        <f t="shared" si="32"/>
        <v>2.5899999999999999E-2</v>
      </c>
      <c r="Q20" s="1472">
        <f t="shared" si="32"/>
        <v>1.52E-2</v>
      </c>
      <c r="R20" s="1473"/>
      <c r="S20" s="1471"/>
      <c r="T20" s="1472"/>
      <c r="U20" s="1472"/>
      <c r="V20" s="1472"/>
      <c r="X20" s="1458">
        <f>1+N20</f>
        <v>1.024</v>
      </c>
      <c r="Y20" s="1458">
        <f>1+O20</f>
        <v>1.0203</v>
      </c>
      <c r="Z20" s="1458">
        <f t="shared" si="42"/>
        <v>1.0203</v>
      </c>
      <c r="AA20" s="1458">
        <f>1+P20</f>
        <v>1.0259</v>
      </c>
      <c r="AB20" s="1458">
        <f>1+Q20</f>
        <v>1.0152000000000001</v>
      </c>
      <c r="AD20" s="1459">
        <f>ROUND(AVERAGE(I20:I$21)/100,4)</f>
        <v>2.69E-2</v>
      </c>
      <c r="AE20" s="1459">
        <f>ROUND(AVERAGE(J20:J$21)/100,4)</f>
        <v>2.1899999999999999E-2</v>
      </c>
      <c r="AF20" s="1459">
        <f t="shared" ref="AF20" si="43">AE20</f>
        <v>2.1899999999999999E-2</v>
      </c>
      <c r="AG20" s="1459">
        <f>ROUND(AVERAGE(K20:K$21)/100,4)</f>
        <v>2.9399999999999999E-2</v>
      </c>
      <c r="AH20" s="1459">
        <f>ROUND(AVERAGE(L20:L$21)/100,4)</f>
        <v>1.44E-2</v>
      </c>
    </row>
    <row r="21" spans="1:34" s="1497" customFormat="1" ht="13.5" thickBot="1">
      <c r="A21" s="1493" t="s">
        <v>144</v>
      </c>
      <c r="B21" s="1494">
        <f t="shared" si="40"/>
        <v>307.34512863658733</v>
      </c>
      <c r="C21" s="1494">
        <f t="shared" si="40"/>
        <v>257.80556031626975</v>
      </c>
      <c r="D21" s="1494">
        <f t="shared" si="35"/>
        <v>257.80556031626975</v>
      </c>
      <c r="E21" s="1494">
        <f t="shared" si="41"/>
        <v>422.70928459677179</v>
      </c>
      <c r="F21" s="1494">
        <f t="shared" si="41"/>
        <v>229.73803270336617</v>
      </c>
      <c r="G21" s="3333"/>
      <c r="H21" s="1495">
        <v>1</v>
      </c>
      <c r="I21" s="1495">
        <v>2.97</v>
      </c>
      <c r="J21" s="1495">
        <v>2.34</v>
      </c>
      <c r="K21" s="1495">
        <v>3.28</v>
      </c>
      <c r="L21" s="1496">
        <v>1.36</v>
      </c>
      <c r="N21" s="1498">
        <f t="shared" si="37"/>
        <v>2.9700000000000001E-2</v>
      </c>
      <c r="O21" s="1499">
        <f t="shared" si="32"/>
        <v>2.3399999999999997E-2</v>
      </c>
      <c r="P21" s="1499">
        <f t="shared" si="32"/>
        <v>3.2799999999999996E-2</v>
      </c>
      <c r="Q21" s="1499">
        <f t="shared" si="32"/>
        <v>1.3600000000000001E-2</v>
      </c>
      <c r="R21" s="1500"/>
      <c r="S21" s="1501">
        <f>B21/B22-1</f>
        <v>2.7910129219355539E-2</v>
      </c>
      <c r="T21" s="1502">
        <f>C21/C22-1</f>
        <v>2.3037937762975247E-2</v>
      </c>
      <c r="U21" s="1502">
        <f>E21/E22-1</f>
        <v>3.3519033243940788E-2</v>
      </c>
      <c r="V21" s="1502">
        <f>F21/F22-1</f>
        <v>1.2061818076502862E-2</v>
      </c>
      <c r="W21" s="1503" t="s">
        <v>1162</v>
      </c>
      <c r="X21" s="1504">
        <v>1</v>
      </c>
      <c r="Y21" s="1504">
        <v>1</v>
      </c>
      <c r="Z21" s="1504">
        <v>1</v>
      </c>
      <c r="AA21" s="1504">
        <v>1</v>
      </c>
      <c r="AB21" s="1504">
        <v>1</v>
      </c>
      <c r="AD21" s="1726">
        <f>I21/100</f>
        <v>2.9700000000000001E-2</v>
      </c>
      <c r="AE21" s="1726">
        <f>J21/100</f>
        <v>2.3399999999999997E-2</v>
      </c>
      <c r="AF21" s="1726">
        <f>AE21</f>
        <v>2.3399999999999997E-2</v>
      </c>
      <c r="AG21" s="1726">
        <f>K21/100</f>
        <v>3.2799999999999996E-2</v>
      </c>
      <c r="AH21" s="1726">
        <f>L21/100</f>
        <v>1.3600000000000001E-2</v>
      </c>
    </row>
    <row r="22" spans="1:34" ht="13.5" thickBot="1">
      <c r="A22" s="1460" t="s">
        <v>1163</v>
      </c>
      <c r="B22" s="1468">
        <v>299</v>
      </c>
      <c r="C22" s="1468">
        <v>252</v>
      </c>
      <c r="D22" s="1468">
        <f t="shared" si="35"/>
        <v>252</v>
      </c>
      <c r="E22" s="1468">
        <v>409</v>
      </c>
      <c r="F22" s="1469">
        <v>227</v>
      </c>
      <c r="G22" s="3336">
        <v>2013</v>
      </c>
      <c r="H22" s="1505">
        <v>4</v>
      </c>
      <c r="I22" s="1505">
        <v>1.83</v>
      </c>
      <c r="J22" s="1505">
        <v>1.68</v>
      </c>
      <c r="K22" s="1505">
        <v>1.97</v>
      </c>
      <c r="L22" s="1506">
        <v>0.87</v>
      </c>
      <c r="N22" s="1483">
        <f t="shared" si="37"/>
        <v>1.83E-2</v>
      </c>
      <c r="O22" s="1484">
        <f t="shared" si="32"/>
        <v>1.6799999999999999E-2</v>
      </c>
      <c r="P22" s="1484">
        <f t="shared" si="32"/>
        <v>1.9699999999999999E-2</v>
      </c>
      <c r="Q22" s="1484">
        <f t="shared" si="32"/>
        <v>8.6999999999999994E-3</v>
      </c>
      <c r="R22" s="1473"/>
      <c r="S22" s="1474"/>
      <c r="T22" s="1475"/>
      <c r="U22" s="1475"/>
      <c r="V22" s="1475"/>
      <c r="X22" s="1475"/>
      <c r="Y22" s="1475"/>
      <c r="Z22" s="1475"/>
    </row>
    <row r="23" spans="1:34">
      <c r="A23" s="1460" t="s">
        <v>1164</v>
      </c>
      <c r="B23" s="1476">
        <f t="shared" ref="B23:C25" si="44">B22/(1+N22)</f>
        <v>293.62663262299913</v>
      </c>
      <c r="C23" s="1476">
        <f t="shared" si="44"/>
        <v>247.83634933123525</v>
      </c>
      <c r="D23" s="1476">
        <f t="shared" si="35"/>
        <v>247.83634933123525</v>
      </c>
      <c r="E23" s="1476">
        <f t="shared" ref="E23:F25" si="45">E22/(1+P22)</f>
        <v>401.09836226341076</v>
      </c>
      <c r="F23" s="1476">
        <f t="shared" si="45"/>
        <v>225.04213343908003</v>
      </c>
      <c r="G23" s="3337"/>
      <c r="H23" s="1486">
        <v>3</v>
      </c>
      <c r="I23" s="1486">
        <v>1.86</v>
      </c>
      <c r="J23" s="1486">
        <v>1.72</v>
      </c>
      <c r="K23" s="1486">
        <v>1.98</v>
      </c>
      <c r="L23" s="1487">
        <v>0.88</v>
      </c>
      <c r="N23" s="1471">
        <f t="shared" si="37"/>
        <v>1.8600000000000002E-2</v>
      </c>
      <c r="O23" s="1488">
        <f t="shared" si="32"/>
        <v>1.72E-2</v>
      </c>
      <c r="P23" s="1488">
        <f t="shared" si="32"/>
        <v>1.9799999999999998E-2</v>
      </c>
      <c r="Q23" s="1488">
        <f t="shared" si="32"/>
        <v>8.8000000000000005E-3</v>
      </c>
      <c r="R23" s="1473"/>
      <c r="S23" s="1471"/>
      <c r="T23" s="1472"/>
      <c r="U23" s="1472"/>
      <c r="V23" s="1472"/>
    </row>
    <row r="24" spans="1:34">
      <c r="A24" s="1460" t="s">
        <v>1165</v>
      </c>
      <c r="B24" s="1476">
        <f t="shared" si="44"/>
        <v>288.2649053828776</v>
      </c>
      <c r="C24" s="1476">
        <f t="shared" si="44"/>
        <v>243.64564425013293</v>
      </c>
      <c r="D24" s="1476">
        <f t="shared" si="35"/>
        <v>243.64564425013293</v>
      </c>
      <c r="E24" s="1476">
        <f t="shared" si="45"/>
        <v>393.31080825986544</v>
      </c>
      <c r="F24" s="1476">
        <f t="shared" si="45"/>
        <v>223.07903790551154</v>
      </c>
      <c r="G24" s="3337"/>
      <c r="H24" s="1464">
        <v>2</v>
      </c>
      <c r="I24" s="1464">
        <v>2.04</v>
      </c>
      <c r="J24" s="1464">
        <v>2.33</v>
      </c>
      <c r="K24" s="1464">
        <v>2.0699999999999998</v>
      </c>
      <c r="L24" s="1478">
        <v>0.69</v>
      </c>
      <c r="N24" s="1471">
        <f t="shared" si="37"/>
        <v>2.0400000000000001E-2</v>
      </c>
      <c r="O24" s="1488">
        <f t="shared" si="32"/>
        <v>2.3300000000000001E-2</v>
      </c>
      <c r="P24" s="1488">
        <f t="shared" si="32"/>
        <v>2.07E-2</v>
      </c>
      <c r="Q24" s="1488">
        <f t="shared" si="32"/>
        <v>6.8999999999999999E-3</v>
      </c>
      <c r="R24" s="1473"/>
      <c r="S24" s="1471"/>
      <c r="T24" s="1472"/>
      <c r="U24" s="1472"/>
      <c r="V24" s="1472"/>
      <c r="X24" s="1507"/>
      <c r="Y24" s="1508"/>
    </row>
    <row r="25" spans="1:34">
      <c r="A25" s="1460" t="s">
        <v>1166</v>
      </c>
      <c r="B25" s="1476">
        <f t="shared" si="44"/>
        <v>282.50186729015837</v>
      </c>
      <c r="C25" s="1476">
        <f t="shared" si="44"/>
        <v>238.09796174155468</v>
      </c>
      <c r="D25" s="1476">
        <f t="shared" si="35"/>
        <v>238.09796174155468</v>
      </c>
      <c r="E25" s="1476">
        <f t="shared" si="45"/>
        <v>385.33438646014054</v>
      </c>
      <c r="F25" s="1476">
        <f t="shared" si="45"/>
        <v>221.55034055567739</v>
      </c>
      <c r="G25" s="3338"/>
      <c r="H25" s="1463">
        <v>1</v>
      </c>
      <c r="I25" s="1463">
        <v>1.67</v>
      </c>
      <c r="J25" s="1463">
        <v>1.31</v>
      </c>
      <c r="K25" s="1463">
        <v>1.85</v>
      </c>
      <c r="L25" s="1477">
        <v>0.96</v>
      </c>
      <c r="N25" s="1479">
        <f t="shared" si="37"/>
        <v>1.67E-2</v>
      </c>
      <c r="O25" s="1480">
        <f t="shared" si="37"/>
        <v>1.3100000000000001E-2</v>
      </c>
      <c r="P25" s="1480">
        <f t="shared" si="37"/>
        <v>1.8500000000000003E-2</v>
      </c>
      <c r="Q25" s="1480">
        <f t="shared" si="37"/>
        <v>9.5999999999999992E-3</v>
      </c>
      <c r="R25" s="1473"/>
      <c r="S25" s="1479">
        <f>B25/B26-1</f>
        <v>1.6193767230785472E-2</v>
      </c>
      <c r="T25" s="1480">
        <f>C25/C26-1</f>
        <v>1.7512657015190891E-2</v>
      </c>
      <c r="U25" s="1480">
        <f>E25/E26-1</f>
        <v>1.6713420739157048E-2</v>
      </c>
      <c r="V25" s="1480">
        <f>F25/F26-1</f>
        <v>7.0470025258062563E-3</v>
      </c>
      <c r="X25" s="1509"/>
      <c r="Y25" s="1459"/>
      <c r="Z25" s="1459"/>
    </row>
    <row r="26" spans="1:34" ht="13.5" thickBot="1">
      <c r="A26" s="1460" t="s">
        <v>1167</v>
      </c>
      <c r="B26" s="1510">
        <v>278</v>
      </c>
      <c r="C26" s="1510">
        <v>234</v>
      </c>
      <c r="D26" s="1510">
        <f t="shared" si="35"/>
        <v>234</v>
      </c>
      <c r="E26" s="1510">
        <v>379</v>
      </c>
      <c r="F26" s="1511">
        <v>220</v>
      </c>
      <c r="G26" s="3331">
        <v>2012</v>
      </c>
      <c r="H26" s="1481">
        <v>4</v>
      </c>
      <c r="I26" s="1481">
        <v>0.91</v>
      </c>
      <c r="J26" s="1481">
        <v>0.68</v>
      </c>
      <c r="K26" s="1481">
        <v>0.98</v>
      </c>
      <c r="L26" s="1482">
        <v>0.9</v>
      </c>
      <c r="N26" s="1471">
        <f t="shared" si="37"/>
        <v>9.1000000000000004E-3</v>
      </c>
      <c r="O26" s="1472">
        <f t="shared" si="37"/>
        <v>6.8000000000000005E-3</v>
      </c>
      <c r="P26" s="1472">
        <f t="shared" si="37"/>
        <v>9.7999999999999997E-3</v>
      </c>
      <c r="Q26" s="1472">
        <f t="shared" si="37"/>
        <v>9.0000000000000011E-3</v>
      </c>
      <c r="R26" s="1473"/>
      <c r="S26" s="1474"/>
      <c r="T26" s="1475"/>
      <c r="U26" s="1475"/>
      <c r="V26" s="1475"/>
      <c r="X26" s="1475"/>
      <c r="Y26" s="1475"/>
      <c r="Z26" s="1475"/>
    </row>
    <row r="27" spans="1:34">
      <c r="A27" s="1460" t="s">
        <v>1168</v>
      </c>
      <c r="B27" s="1476">
        <f>B26/(1+N26)</f>
        <v>275.49301357645425</v>
      </c>
      <c r="C27" s="1476">
        <f>C26/(1+O26)</f>
        <v>232.41954707985698</v>
      </c>
      <c r="D27" s="1476">
        <f t="shared" si="35"/>
        <v>232.41954707985698</v>
      </c>
      <c r="E27" s="1476">
        <f t="shared" ref="E27:F29" si="46">E26/(1+P26)</f>
        <v>375.32184591008121</v>
      </c>
      <c r="F27" s="1476">
        <f t="shared" si="46"/>
        <v>218.03766105054513</v>
      </c>
      <c r="G27" s="3332"/>
      <c r="H27" s="1486">
        <v>3</v>
      </c>
      <c r="I27" s="1486">
        <v>0.09</v>
      </c>
      <c r="J27" s="1486">
        <v>0.28999999999999998</v>
      </c>
      <c r="K27" s="1486">
        <v>-0.01</v>
      </c>
      <c r="L27" s="1487">
        <v>0.57999999999999996</v>
      </c>
      <c r="N27" s="1471">
        <f t="shared" si="37"/>
        <v>8.9999999999999998E-4</v>
      </c>
      <c r="O27" s="1472">
        <f t="shared" si="37"/>
        <v>2.8999999999999998E-3</v>
      </c>
      <c r="P27" s="1472">
        <f t="shared" si="37"/>
        <v>-1E-4</v>
      </c>
      <c r="Q27" s="1472">
        <f t="shared" si="37"/>
        <v>5.7999999999999996E-3</v>
      </c>
      <c r="R27" s="1473"/>
      <c r="S27" s="1471"/>
      <c r="T27" s="1472"/>
      <c r="U27" s="1472"/>
      <c r="V27" s="1472"/>
    </row>
    <row r="28" spans="1:34">
      <c r="A28" s="1460" t="s">
        <v>1169</v>
      </c>
      <c r="B28" s="1476">
        <f>B27/(1+N27)</f>
        <v>275.24529281292263</v>
      </c>
      <c r="C28" s="1476">
        <f>C27/(1+O27)</f>
        <v>231.74747938962707</v>
      </c>
      <c r="D28" s="1476">
        <f t="shared" si="35"/>
        <v>231.74747938962707</v>
      </c>
      <c r="E28" s="1476">
        <f t="shared" si="46"/>
        <v>375.35938184826603</v>
      </c>
      <c r="F28" s="1476">
        <f t="shared" si="46"/>
        <v>216.78033510692495</v>
      </c>
      <c r="G28" s="3332"/>
      <c r="H28" s="1464">
        <v>2</v>
      </c>
      <c r="I28" s="1464">
        <v>0.02</v>
      </c>
      <c r="J28" s="1464">
        <v>0.12</v>
      </c>
      <c r="K28" s="1464">
        <v>-0.08</v>
      </c>
      <c r="L28" s="1478">
        <v>1.24</v>
      </c>
      <c r="N28" s="1471">
        <f t="shared" si="37"/>
        <v>2.0000000000000001E-4</v>
      </c>
      <c r="O28" s="1472">
        <f t="shared" si="37"/>
        <v>1.1999999999999999E-3</v>
      </c>
      <c r="P28" s="1472">
        <f t="shared" si="37"/>
        <v>-8.0000000000000004E-4</v>
      </c>
      <c r="Q28" s="1472">
        <f t="shared" si="37"/>
        <v>1.24E-2</v>
      </c>
      <c r="R28" s="1473"/>
      <c r="S28" s="1471"/>
      <c r="T28" s="1472"/>
      <c r="U28" s="1472"/>
      <c r="V28" s="1472"/>
    </row>
    <row r="29" spans="1:34" ht="13.5" thickBot="1">
      <c r="A29" s="1460" t="s">
        <v>1170</v>
      </c>
      <c r="B29" s="1476">
        <f>B28/(1+N28)</f>
        <v>275.19025476197027</v>
      </c>
      <c r="C29" s="1512">
        <v>232</v>
      </c>
      <c r="D29" s="1512">
        <f t="shared" si="35"/>
        <v>232</v>
      </c>
      <c r="E29" s="1476">
        <f t="shared" si="46"/>
        <v>375.65990977608692</v>
      </c>
      <c r="F29" s="1476">
        <f t="shared" si="46"/>
        <v>214.12518283971252</v>
      </c>
      <c r="G29" s="3333"/>
      <c r="H29" s="1463">
        <v>1</v>
      </c>
      <c r="I29" s="1463">
        <v>0.02</v>
      </c>
      <c r="J29" s="1463">
        <v>0.13</v>
      </c>
      <c r="K29" s="1463">
        <v>-0.04</v>
      </c>
      <c r="L29" s="1477">
        <v>0.46</v>
      </c>
      <c r="N29" s="1471">
        <f t="shared" si="37"/>
        <v>2.0000000000000001E-4</v>
      </c>
      <c r="O29" s="1472">
        <f t="shared" si="37"/>
        <v>1.2999999999999999E-3</v>
      </c>
      <c r="P29" s="1472">
        <f t="shared" si="37"/>
        <v>-4.0000000000000002E-4</v>
      </c>
      <c r="Q29" s="1472">
        <f t="shared" si="37"/>
        <v>4.5999999999999999E-3</v>
      </c>
      <c r="R29" s="1473"/>
      <c r="S29" s="1479">
        <f>B29/B30-1</f>
        <v>6.9183549807361189E-4</v>
      </c>
      <c r="T29" s="1480">
        <f>C29/C30-1</f>
        <v>0</v>
      </c>
      <c r="U29" s="1480">
        <f>E29/E30-1</f>
        <v>-9.0449527636460303E-4</v>
      </c>
      <c r="V29" s="1480">
        <f>F29/F30-1</f>
        <v>5.2825485432512753E-3</v>
      </c>
      <c r="X29" s="1459"/>
      <c r="Y29" s="1459"/>
      <c r="Z29" s="1459"/>
    </row>
    <row r="30" spans="1:34" ht="13.5" thickBot="1">
      <c r="A30" s="1460" t="s">
        <v>1171</v>
      </c>
      <c r="B30" s="1468">
        <v>275</v>
      </c>
      <c r="C30" s="1468">
        <v>232</v>
      </c>
      <c r="D30" s="1468">
        <f t="shared" si="35"/>
        <v>232</v>
      </c>
      <c r="E30" s="1468">
        <v>376</v>
      </c>
      <c r="F30" s="1469">
        <v>213</v>
      </c>
      <c r="G30" s="3331">
        <v>2011</v>
      </c>
      <c r="H30" s="1481">
        <v>4</v>
      </c>
      <c r="I30" s="1481">
        <v>-0.2</v>
      </c>
      <c r="J30" s="1481">
        <v>0.04</v>
      </c>
      <c r="K30" s="1481">
        <v>-0.34</v>
      </c>
      <c r="L30" s="1482">
        <v>0.46</v>
      </c>
      <c r="N30" s="1483">
        <f t="shared" si="37"/>
        <v>-2E-3</v>
      </c>
      <c r="O30" s="1484">
        <f t="shared" si="37"/>
        <v>4.0000000000000002E-4</v>
      </c>
      <c r="P30" s="1484">
        <f t="shared" si="37"/>
        <v>-3.4000000000000002E-3</v>
      </c>
      <c r="Q30" s="1484">
        <f t="shared" si="37"/>
        <v>4.5999999999999999E-3</v>
      </c>
      <c r="R30" s="1473"/>
      <c r="S30" s="1474"/>
      <c r="T30" s="1475"/>
      <c r="U30" s="1475"/>
      <c r="V30" s="1475"/>
      <c r="X30" s="1475"/>
      <c r="Y30" s="1475"/>
      <c r="Z30" s="1475"/>
    </row>
    <row r="31" spans="1:34">
      <c r="A31" s="1460" t="s">
        <v>1172</v>
      </c>
      <c r="B31" s="1476">
        <f t="shared" ref="B31:C33" si="47">B30/(1+N30)</f>
        <v>275.55110220440883</v>
      </c>
      <c r="C31" s="1476">
        <f t="shared" si="47"/>
        <v>231.90723710515795</v>
      </c>
      <c r="D31" s="1476">
        <f t="shared" si="35"/>
        <v>231.90723710515795</v>
      </c>
      <c r="E31" s="1476">
        <f t="shared" ref="E31:F33" si="48">E30/(1+P30)</f>
        <v>377.28276138872161</v>
      </c>
      <c r="F31" s="1476">
        <f t="shared" si="48"/>
        <v>212.02468644236512</v>
      </c>
      <c r="G31" s="3332">
        <v>2011</v>
      </c>
      <c r="H31" s="1486">
        <v>3</v>
      </c>
      <c r="I31" s="1486">
        <v>0.13</v>
      </c>
      <c r="J31" s="1486">
        <v>0.75</v>
      </c>
      <c r="K31" s="1486">
        <v>-0.08</v>
      </c>
      <c r="L31" s="1487">
        <v>0.53</v>
      </c>
      <c r="N31" s="1471">
        <f t="shared" si="37"/>
        <v>1.2999999999999999E-3</v>
      </c>
      <c r="O31" s="1488">
        <f t="shared" si="37"/>
        <v>7.4999999999999997E-3</v>
      </c>
      <c r="P31" s="1488">
        <f t="shared" si="37"/>
        <v>-8.0000000000000004E-4</v>
      </c>
      <c r="Q31" s="1488">
        <f t="shared" si="37"/>
        <v>5.3E-3</v>
      </c>
      <c r="R31" s="1473"/>
      <c r="S31" s="1471"/>
      <c r="T31" s="1472"/>
      <c r="U31" s="1472"/>
      <c r="V31" s="1472"/>
    </row>
    <row r="32" spans="1:34">
      <c r="A32" s="1460" t="s">
        <v>1173</v>
      </c>
      <c r="B32" s="1476">
        <f t="shared" si="47"/>
        <v>275.19335084830601</v>
      </c>
      <c r="C32" s="1476">
        <f t="shared" si="47"/>
        <v>230.18088050139744</v>
      </c>
      <c r="D32" s="1476">
        <f t="shared" si="35"/>
        <v>230.18088050139744</v>
      </c>
      <c r="E32" s="1476">
        <f t="shared" si="48"/>
        <v>377.58482925212331</v>
      </c>
      <c r="F32" s="1476">
        <f t="shared" si="48"/>
        <v>210.90687997847917</v>
      </c>
      <c r="G32" s="3332">
        <v>2011</v>
      </c>
      <c r="H32" s="1464">
        <v>2</v>
      </c>
      <c r="I32" s="1464">
        <v>-0.4</v>
      </c>
      <c r="J32" s="1464">
        <v>0.17</v>
      </c>
      <c r="K32" s="1464">
        <v>-0.57999999999999996</v>
      </c>
      <c r="L32" s="1478">
        <v>-0.2</v>
      </c>
      <c r="N32" s="1471">
        <f t="shared" si="37"/>
        <v>-4.0000000000000001E-3</v>
      </c>
      <c r="O32" s="1488">
        <f t="shared" si="37"/>
        <v>1.7000000000000001E-3</v>
      </c>
      <c r="P32" s="1488">
        <f t="shared" si="37"/>
        <v>-5.7999999999999996E-3</v>
      </c>
      <c r="Q32" s="1488">
        <f t="shared" si="37"/>
        <v>-2E-3</v>
      </c>
      <c r="R32" s="1473"/>
      <c r="S32" s="1471"/>
      <c r="T32" s="1472"/>
      <c r="U32" s="1472"/>
      <c r="V32" s="1472"/>
    </row>
    <row r="33" spans="1:26" ht="13.5" thickBot="1">
      <c r="A33" s="1460" t="s">
        <v>1174</v>
      </c>
      <c r="B33" s="1476">
        <f t="shared" si="47"/>
        <v>276.29854502841971</v>
      </c>
      <c r="C33" s="1476">
        <f t="shared" si="47"/>
        <v>229.79023709833027</v>
      </c>
      <c r="D33" s="1476">
        <f t="shared" si="35"/>
        <v>229.79023709833027</v>
      </c>
      <c r="E33" s="1476">
        <f t="shared" si="48"/>
        <v>379.78759731655936</v>
      </c>
      <c r="F33" s="1476">
        <f t="shared" si="48"/>
        <v>211.32953905659235</v>
      </c>
      <c r="G33" s="3333">
        <v>2011</v>
      </c>
      <c r="H33" s="1463">
        <v>1</v>
      </c>
      <c r="I33" s="1463">
        <v>2.65</v>
      </c>
      <c r="J33" s="1463">
        <v>3.76</v>
      </c>
      <c r="K33" s="1463">
        <v>1.89</v>
      </c>
      <c r="L33" s="1477">
        <v>7.95</v>
      </c>
      <c r="N33" s="1479">
        <f t="shared" si="37"/>
        <v>2.6499999999999999E-2</v>
      </c>
      <c r="O33" s="1480">
        <f t="shared" si="37"/>
        <v>3.7599999999999995E-2</v>
      </c>
      <c r="P33" s="1480">
        <f t="shared" si="37"/>
        <v>1.89E-2</v>
      </c>
      <c r="Q33" s="1480">
        <f t="shared" si="37"/>
        <v>7.9500000000000001E-2</v>
      </c>
      <c r="R33" s="1473"/>
      <c r="S33" s="1479">
        <f>B33/B34-1</f>
        <v>2.713213765211786E-2</v>
      </c>
      <c r="T33" s="1480">
        <f>C33/C34-1</f>
        <v>3.9774828499231862E-2</v>
      </c>
      <c r="U33" s="1480">
        <f>E33/E34-1</f>
        <v>1.8197311840641772E-2</v>
      </c>
      <c r="V33" s="1480">
        <f>F33/F34-1</f>
        <v>7.8211933962205826E-2</v>
      </c>
      <c r="X33" s="1459"/>
      <c r="Y33" s="1459"/>
      <c r="Z33" s="1459"/>
    </row>
    <row r="34" spans="1:26" ht="13.5" thickBot="1">
      <c r="A34" s="1460" t="s">
        <v>1175</v>
      </c>
      <c r="B34" s="1468">
        <v>269</v>
      </c>
      <c r="C34" s="1468">
        <v>221</v>
      </c>
      <c r="D34" s="1468">
        <f t="shared" si="35"/>
        <v>221</v>
      </c>
      <c r="E34" s="1468">
        <v>373</v>
      </c>
      <c r="F34" s="1469">
        <v>196</v>
      </c>
      <c r="G34" s="3331">
        <v>2010</v>
      </c>
      <c r="H34" s="1481">
        <v>4</v>
      </c>
      <c r="I34" s="1481">
        <v>5.72</v>
      </c>
      <c r="J34" s="1481">
        <v>6.57</v>
      </c>
      <c r="K34" s="1481">
        <v>5.72</v>
      </c>
      <c r="L34" s="1482">
        <v>2.72</v>
      </c>
      <c r="N34" s="1471">
        <f t="shared" si="37"/>
        <v>5.7200000000000001E-2</v>
      </c>
      <c r="O34" s="1472">
        <f t="shared" si="37"/>
        <v>6.5700000000000008E-2</v>
      </c>
      <c r="P34" s="1472">
        <f t="shared" si="37"/>
        <v>5.7200000000000001E-2</v>
      </c>
      <c r="Q34" s="1472">
        <f t="shared" si="37"/>
        <v>2.7200000000000002E-2</v>
      </c>
      <c r="R34" s="1473"/>
      <c r="S34" s="1474"/>
      <c r="T34" s="1475"/>
      <c r="U34" s="1475"/>
      <c r="V34" s="1475"/>
      <c r="X34" s="1475"/>
      <c r="Y34" s="1475"/>
      <c r="Z34" s="1475"/>
    </row>
    <row r="35" spans="1:26">
      <c r="A35" s="1460" t="s">
        <v>1176</v>
      </c>
      <c r="B35" s="1476">
        <f t="shared" ref="B35:C37" si="49">B34/(1+N34)</f>
        <v>254.44570563753314</v>
      </c>
      <c r="C35" s="1476">
        <f t="shared" si="49"/>
        <v>207.37543398705074</v>
      </c>
      <c r="D35" s="1476">
        <f t="shared" si="35"/>
        <v>207.37543398705074</v>
      </c>
      <c r="E35" s="1476">
        <f t="shared" ref="E35:F37" si="50">E34/(1+P34)</f>
        <v>352.81876655315932</v>
      </c>
      <c r="F35" s="1476">
        <f t="shared" si="50"/>
        <v>190.809968847352</v>
      </c>
      <c r="G35" s="3332">
        <v>2010</v>
      </c>
      <c r="H35" s="1486">
        <v>3</v>
      </c>
      <c r="I35" s="1486">
        <v>4.7300000000000004</v>
      </c>
      <c r="J35" s="1486">
        <v>3.9</v>
      </c>
      <c r="K35" s="1486">
        <v>5.03</v>
      </c>
      <c r="L35" s="1487">
        <v>4.21</v>
      </c>
      <c r="N35" s="1471">
        <f t="shared" si="37"/>
        <v>4.7300000000000002E-2</v>
      </c>
      <c r="O35" s="1472">
        <f t="shared" si="37"/>
        <v>3.9E-2</v>
      </c>
      <c r="P35" s="1472">
        <f t="shared" si="37"/>
        <v>5.0300000000000004E-2</v>
      </c>
      <c r="Q35" s="1472">
        <f t="shared" si="37"/>
        <v>4.2099999999999999E-2</v>
      </c>
      <c r="R35" s="1473"/>
      <c r="S35" s="1471"/>
      <c r="T35" s="1472"/>
      <c r="U35" s="1472"/>
      <c r="V35" s="1472"/>
    </row>
    <row r="36" spans="1:26">
      <c r="A36" s="1460" t="s">
        <v>1177</v>
      </c>
      <c r="B36" s="1476">
        <f t="shared" si="49"/>
        <v>242.95398227588385</v>
      </c>
      <c r="C36" s="1476">
        <f t="shared" si="49"/>
        <v>199.59137053614126</v>
      </c>
      <c r="D36" s="1476">
        <f t="shared" si="35"/>
        <v>199.59137053614126</v>
      </c>
      <c r="E36" s="1476">
        <f t="shared" si="50"/>
        <v>335.92189522342125</v>
      </c>
      <c r="F36" s="1476">
        <f t="shared" si="50"/>
        <v>183.10139991109489</v>
      </c>
      <c r="G36" s="3332">
        <v>2010</v>
      </c>
      <c r="H36" s="1464">
        <v>2</v>
      </c>
      <c r="I36" s="1464">
        <v>4.6900000000000004</v>
      </c>
      <c r="J36" s="1464">
        <v>3.55</v>
      </c>
      <c r="K36" s="1464">
        <v>5.07</v>
      </c>
      <c r="L36" s="1478">
        <v>4.2300000000000004</v>
      </c>
      <c r="N36" s="1471">
        <f t="shared" si="37"/>
        <v>4.6900000000000004E-2</v>
      </c>
      <c r="O36" s="1472">
        <f t="shared" si="37"/>
        <v>3.5499999999999997E-2</v>
      </c>
      <c r="P36" s="1472">
        <f t="shared" si="37"/>
        <v>5.0700000000000002E-2</v>
      </c>
      <c r="Q36" s="1472">
        <f t="shared" si="37"/>
        <v>4.2300000000000004E-2</v>
      </c>
      <c r="R36" s="1473"/>
      <c r="S36" s="1471"/>
      <c r="T36" s="1472"/>
      <c r="U36" s="1472"/>
      <c r="V36" s="1472"/>
    </row>
    <row r="37" spans="1:26" ht="13.5" thickBot="1">
      <c r="A37" s="1460" t="s">
        <v>1178</v>
      </c>
      <c r="B37" s="1476">
        <f t="shared" si="49"/>
        <v>232.06990378821649</v>
      </c>
      <c r="C37" s="1476">
        <f t="shared" si="49"/>
        <v>192.74878854286936</v>
      </c>
      <c r="D37" s="1476">
        <f t="shared" si="35"/>
        <v>192.74878854286936</v>
      </c>
      <c r="E37" s="1476">
        <f t="shared" si="50"/>
        <v>319.71247284992984</v>
      </c>
      <c r="F37" s="1476">
        <f t="shared" si="50"/>
        <v>175.67053622862409</v>
      </c>
      <c r="G37" s="3333">
        <v>2010</v>
      </c>
      <c r="H37" s="1463">
        <v>1</v>
      </c>
      <c r="I37" s="1463">
        <v>5.4</v>
      </c>
      <c r="J37" s="1463">
        <v>3.2</v>
      </c>
      <c r="K37" s="1463">
        <v>6.16</v>
      </c>
      <c r="L37" s="1477">
        <v>4.51</v>
      </c>
      <c r="N37" s="1471">
        <f t="shared" si="37"/>
        <v>5.4000000000000006E-2</v>
      </c>
      <c r="O37" s="1472">
        <f t="shared" si="37"/>
        <v>3.2000000000000001E-2</v>
      </c>
      <c r="P37" s="1472">
        <f t="shared" si="37"/>
        <v>6.1600000000000002E-2</v>
      </c>
      <c r="Q37" s="1472">
        <f t="shared" si="37"/>
        <v>4.5100000000000001E-2</v>
      </c>
      <c r="R37" s="1473"/>
      <c r="S37" s="1479">
        <f>B37/B38-1</f>
        <v>5.4863199037347599E-2</v>
      </c>
      <c r="T37" s="1480">
        <f>C37/C38-1</f>
        <v>3.0742184721226584E-2</v>
      </c>
      <c r="U37" s="1480">
        <f>E37/E38-1</f>
        <v>6.2167683886810154E-2</v>
      </c>
      <c r="V37" s="1480">
        <f>F37/F38-1</f>
        <v>4.5657953741810031E-2</v>
      </c>
      <c r="X37" s="1459"/>
      <c r="Y37" s="1459"/>
      <c r="Z37" s="1459"/>
    </row>
    <row r="38" spans="1:26" ht="13.5" thickBot="1">
      <c r="A38" s="1460" t="s">
        <v>1179</v>
      </c>
      <c r="B38" s="1468">
        <v>220</v>
      </c>
      <c r="C38" s="1468">
        <v>187</v>
      </c>
      <c r="D38" s="1468">
        <f t="shared" si="35"/>
        <v>187</v>
      </c>
      <c r="E38" s="1468">
        <v>301</v>
      </c>
      <c r="F38" s="1469">
        <v>168</v>
      </c>
      <c r="G38" s="3331">
        <v>2009</v>
      </c>
      <c r="H38" s="1481">
        <v>4</v>
      </c>
      <c r="I38" s="1481">
        <v>2.2999999999999998</v>
      </c>
      <c r="J38" s="1481">
        <v>1.04</v>
      </c>
      <c r="K38" s="1481">
        <v>2.84</v>
      </c>
      <c r="L38" s="1482">
        <v>0.67</v>
      </c>
      <c r="N38" s="1483">
        <f t="shared" si="37"/>
        <v>2.3E-2</v>
      </c>
      <c r="O38" s="1484">
        <f t="shared" si="37"/>
        <v>1.04E-2</v>
      </c>
      <c r="P38" s="1484">
        <f t="shared" si="37"/>
        <v>2.8399999999999998E-2</v>
      </c>
      <c r="Q38" s="1484">
        <f t="shared" si="37"/>
        <v>6.7000000000000002E-3</v>
      </c>
      <c r="R38" s="1473"/>
      <c r="S38" s="1474"/>
      <c r="T38" s="1475"/>
      <c r="U38" s="1475"/>
      <c r="V38" s="1475"/>
      <c r="X38" s="1475"/>
      <c r="Y38" s="1475"/>
      <c r="Z38" s="1475"/>
    </row>
    <row r="39" spans="1:26">
      <c r="A39" s="1460" t="s">
        <v>1180</v>
      </c>
      <c r="B39" s="1476">
        <f t="shared" ref="B39:C41" si="51">B38/(1+N38)</f>
        <v>215.05376344086022</v>
      </c>
      <c r="C39" s="1476">
        <f t="shared" si="51"/>
        <v>185.0752177355503</v>
      </c>
      <c r="D39" s="1476">
        <f t="shared" si="35"/>
        <v>185.0752177355503</v>
      </c>
      <c r="E39" s="1476">
        <f t="shared" ref="E39:F41" si="52">E38/(1+P38)</f>
        <v>292.68767016725008</v>
      </c>
      <c r="F39" s="1476">
        <f t="shared" si="52"/>
        <v>166.88189132810174</v>
      </c>
      <c r="G39" s="3332">
        <v>2009</v>
      </c>
      <c r="H39" s="1486">
        <v>3</v>
      </c>
      <c r="I39" s="1486">
        <v>2.1</v>
      </c>
      <c r="J39" s="1486">
        <v>1.86</v>
      </c>
      <c r="K39" s="1486">
        <v>2.29</v>
      </c>
      <c r="L39" s="1487">
        <v>0.85</v>
      </c>
      <c r="N39" s="1471">
        <f t="shared" si="37"/>
        <v>2.1000000000000001E-2</v>
      </c>
      <c r="O39" s="1488">
        <f t="shared" si="37"/>
        <v>1.8600000000000002E-2</v>
      </c>
      <c r="P39" s="1488">
        <f t="shared" si="37"/>
        <v>2.29E-2</v>
      </c>
      <c r="Q39" s="1488">
        <f t="shared" si="37"/>
        <v>8.5000000000000006E-3</v>
      </c>
      <c r="R39" s="1473"/>
      <c r="S39" s="1471"/>
      <c r="T39" s="1472"/>
      <c r="U39" s="1472"/>
      <c r="V39" s="1472"/>
    </row>
    <row r="40" spans="1:26">
      <c r="A40" s="1460" t="s">
        <v>1181</v>
      </c>
      <c r="B40" s="1476">
        <f t="shared" si="51"/>
        <v>210.630522469011</v>
      </c>
      <c r="C40" s="1476">
        <f t="shared" si="51"/>
        <v>181.69567812247232</v>
      </c>
      <c r="D40" s="1476">
        <f t="shared" si="35"/>
        <v>181.69567812247232</v>
      </c>
      <c r="E40" s="1476">
        <f t="shared" si="52"/>
        <v>286.13517466736738</v>
      </c>
      <c r="F40" s="1476">
        <f t="shared" si="52"/>
        <v>165.47535084591149</v>
      </c>
      <c r="G40" s="3332">
        <v>2009</v>
      </c>
      <c r="H40" s="1464">
        <v>2</v>
      </c>
      <c r="I40" s="1464">
        <v>0.86</v>
      </c>
      <c r="J40" s="1464">
        <v>-1.1299999999999999</v>
      </c>
      <c r="K40" s="1464">
        <v>1.79</v>
      </c>
      <c r="L40" s="1478">
        <v>-2.0699999999999998</v>
      </c>
      <c r="N40" s="1471">
        <f t="shared" si="37"/>
        <v>8.6E-3</v>
      </c>
      <c r="O40" s="1488">
        <f t="shared" si="37"/>
        <v>-1.1299999999999999E-2</v>
      </c>
      <c r="P40" s="1488">
        <f t="shared" si="37"/>
        <v>1.7899999999999999E-2</v>
      </c>
      <c r="Q40" s="1488">
        <f t="shared" si="37"/>
        <v>-2.07E-2</v>
      </c>
      <c r="R40" s="1473"/>
      <c r="S40" s="1471"/>
      <c r="T40" s="1472"/>
      <c r="U40" s="1472"/>
      <c r="V40" s="1472"/>
    </row>
    <row r="41" spans="1:26">
      <c r="A41" s="1460" t="s">
        <v>1182</v>
      </c>
      <c r="B41" s="1476">
        <f t="shared" si="51"/>
        <v>208.83454537875372</v>
      </c>
      <c r="C41" s="1476">
        <f t="shared" si="51"/>
        <v>183.77230517090351</v>
      </c>
      <c r="D41" s="1476">
        <f t="shared" si="35"/>
        <v>183.77230517090351</v>
      </c>
      <c r="E41" s="1476">
        <f t="shared" si="52"/>
        <v>281.10342338870947</v>
      </c>
      <c r="F41" s="1476">
        <f t="shared" si="52"/>
        <v>168.97309388942256</v>
      </c>
      <c r="G41" s="3333">
        <v>2009</v>
      </c>
      <c r="H41" s="1463">
        <v>1</v>
      </c>
      <c r="I41" s="1463">
        <v>-2.64</v>
      </c>
      <c r="J41" s="1463">
        <v>-2.5299999999999998</v>
      </c>
      <c r="K41" s="1463">
        <v>-3.02</v>
      </c>
      <c r="L41" s="1477">
        <v>1.52</v>
      </c>
      <c r="N41" s="1479">
        <f t="shared" si="37"/>
        <v>-2.64E-2</v>
      </c>
      <c r="O41" s="1480">
        <f t="shared" si="37"/>
        <v>-2.53E-2</v>
      </c>
      <c r="P41" s="1480">
        <f t="shared" si="37"/>
        <v>-3.0200000000000001E-2</v>
      </c>
      <c r="Q41" s="1480">
        <f t="shared" si="37"/>
        <v>1.52E-2</v>
      </c>
      <c r="R41" s="1473"/>
      <c r="S41" s="1479">
        <f>B41/B42-1</f>
        <v>-2.4137638417038754E-2</v>
      </c>
      <c r="T41" s="1480">
        <f>C41/C42-1</f>
        <v>-2.248773845264096E-2</v>
      </c>
      <c r="U41" s="1480">
        <f>E41/E42-1</f>
        <v>-2.7323794502735366E-2</v>
      </c>
      <c r="V41" s="1480">
        <f>F41/F42-1</f>
        <v>1.7910204153148035E-2</v>
      </c>
      <c r="X41" s="1459"/>
      <c r="Y41" s="1459"/>
      <c r="Z41" s="1459"/>
    </row>
    <row r="42" spans="1:26" ht="13.5" thickBot="1">
      <c r="A42" s="1460" t="s">
        <v>1183</v>
      </c>
      <c r="B42" s="1510">
        <v>214</v>
      </c>
      <c r="C42" s="1510">
        <v>188</v>
      </c>
      <c r="D42" s="1510">
        <f t="shared" si="35"/>
        <v>188</v>
      </c>
      <c r="E42" s="1510">
        <v>289</v>
      </c>
      <c r="F42" s="1511">
        <v>166</v>
      </c>
      <c r="G42" s="3331">
        <v>2008</v>
      </c>
      <c r="H42" s="1481">
        <v>4</v>
      </c>
      <c r="I42" s="1481">
        <v>1.73</v>
      </c>
      <c r="J42" s="1481">
        <v>0.03</v>
      </c>
      <c r="K42" s="1481">
        <v>2.59</v>
      </c>
      <c r="L42" s="1482">
        <v>-1.66</v>
      </c>
      <c r="N42" s="1471">
        <f t="shared" si="37"/>
        <v>1.7299999999999999E-2</v>
      </c>
      <c r="O42" s="1472">
        <f t="shared" si="37"/>
        <v>2.9999999999999997E-4</v>
      </c>
      <c r="P42" s="1472">
        <f t="shared" si="37"/>
        <v>2.5899999999999999E-2</v>
      </c>
      <c r="Q42" s="1472">
        <f t="shared" si="37"/>
        <v>-1.66E-2</v>
      </c>
      <c r="R42" s="1473"/>
      <c r="S42" s="1474"/>
      <c r="T42" s="1475"/>
      <c r="U42" s="1475"/>
      <c r="V42" s="1475"/>
      <c r="X42" s="1475"/>
      <c r="Y42" s="1475"/>
      <c r="Z42" s="1475"/>
    </row>
    <row r="43" spans="1:26">
      <c r="A43" s="1460" t="s">
        <v>1184</v>
      </c>
      <c r="B43" s="1476">
        <f t="shared" ref="B43:C45" si="53">B42/(1+N42)</f>
        <v>210.36075887152265</v>
      </c>
      <c r="C43" s="1476">
        <f t="shared" si="53"/>
        <v>187.94361691492554</v>
      </c>
      <c r="D43" s="1476">
        <f t="shared" si="35"/>
        <v>187.94361691492554</v>
      </c>
      <c r="E43" s="1476">
        <f t="shared" ref="E43:F45" si="54">E42/(1+P42)</f>
        <v>281.70386977288234</v>
      </c>
      <c r="F43" s="1476">
        <f t="shared" si="54"/>
        <v>168.80211511083994</v>
      </c>
      <c r="G43" s="3332">
        <v>2008</v>
      </c>
      <c r="H43" s="1486">
        <v>3</v>
      </c>
      <c r="I43" s="1486">
        <v>1.96</v>
      </c>
      <c r="J43" s="1486">
        <v>2.36</v>
      </c>
      <c r="K43" s="1486">
        <v>1.82</v>
      </c>
      <c r="L43" s="1487">
        <v>2.2200000000000002</v>
      </c>
      <c r="N43" s="1471">
        <f t="shared" si="37"/>
        <v>1.9599999999999999E-2</v>
      </c>
      <c r="O43" s="1472">
        <f t="shared" si="37"/>
        <v>2.3599999999999999E-2</v>
      </c>
      <c r="P43" s="1472">
        <f t="shared" si="37"/>
        <v>1.8200000000000001E-2</v>
      </c>
      <c r="Q43" s="1472">
        <f t="shared" si="37"/>
        <v>2.2200000000000001E-2</v>
      </c>
      <c r="R43" s="1473"/>
      <c r="S43" s="1471"/>
      <c r="T43" s="1472"/>
      <c r="U43" s="1472"/>
      <c r="V43" s="1472"/>
    </row>
    <row r="44" spans="1:26">
      <c r="A44" s="1460" t="s">
        <v>1185</v>
      </c>
      <c r="B44" s="1476">
        <f t="shared" si="53"/>
        <v>206.31694671589116</v>
      </c>
      <c r="C44" s="1476">
        <f t="shared" si="53"/>
        <v>183.61041121036101</v>
      </c>
      <c r="D44" s="1476">
        <f t="shared" si="35"/>
        <v>183.61041121036101</v>
      </c>
      <c r="E44" s="1476">
        <f t="shared" si="54"/>
        <v>276.66850301795557</v>
      </c>
      <c r="F44" s="1476">
        <f t="shared" si="54"/>
        <v>165.1360938278614</v>
      </c>
      <c r="G44" s="3332">
        <v>2008</v>
      </c>
      <c r="H44" s="1464">
        <v>2</v>
      </c>
      <c r="I44" s="1464">
        <v>4.93</v>
      </c>
      <c r="J44" s="1464">
        <v>7.38</v>
      </c>
      <c r="K44" s="1464">
        <v>3.98</v>
      </c>
      <c r="L44" s="1478">
        <v>6.86</v>
      </c>
      <c r="N44" s="1471">
        <f t="shared" si="37"/>
        <v>4.9299999999999997E-2</v>
      </c>
      <c r="O44" s="1472">
        <f t="shared" si="37"/>
        <v>7.3800000000000004E-2</v>
      </c>
      <c r="P44" s="1472">
        <f t="shared" si="37"/>
        <v>3.9800000000000002E-2</v>
      </c>
      <c r="Q44" s="1472">
        <f t="shared" si="37"/>
        <v>6.8600000000000008E-2</v>
      </c>
      <c r="R44" s="1473"/>
      <c r="S44" s="1471"/>
      <c r="T44" s="1472"/>
      <c r="U44" s="1472"/>
      <c r="V44" s="1472"/>
    </row>
    <row r="45" spans="1:26" s="1516" customFormat="1" ht="13.5" thickBot="1">
      <c r="A45" s="1460" t="s">
        <v>1186</v>
      </c>
      <c r="B45" s="1513">
        <f t="shared" si="53"/>
        <v>196.62341248059772</v>
      </c>
      <c r="C45" s="1513">
        <f t="shared" si="53"/>
        <v>170.99125648199012</v>
      </c>
      <c r="D45" s="1513">
        <f t="shared" si="35"/>
        <v>170.99125648199012</v>
      </c>
      <c r="E45" s="1513">
        <f t="shared" si="54"/>
        <v>266.07857570490052</v>
      </c>
      <c r="F45" s="1513">
        <f t="shared" si="54"/>
        <v>154.53499328828505</v>
      </c>
      <c r="G45" s="3333">
        <v>2008</v>
      </c>
      <c r="H45" s="1514">
        <v>1</v>
      </c>
      <c r="I45" s="1514">
        <v>4.1399999999999997</v>
      </c>
      <c r="J45" s="1514">
        <v>3.45</v>
      </c>
      <c r="K45" s="1514">
        <v>4.95</v>
      </c>
      <c r="L45" s="1515">
        <v>4.82</v>
      </c>
      <c r="N45" s="1517">
        <f t="shared" si="37"/>
        <v>4.1399999999999999E-2</v>
      </c>
      <c r="O45" s="1518">
        <f t="shared" si="37"/>
        <v>3.4500000000000003E-2</v>
      </c>
      <c r="P45" s="1518">
        <f t="shared" si="37"/>
        <v>4.9500000000000002E-2</v>
      </c>
      <c r="Q45" s="1518">
        <f t="shared" si="37"/>
        <v>4.82E-2</v>
      </c>
      <c r="R45" s="1519"/>
      <c r="S45" s="1517">
        <f>B45/B46-1</f>
        <v>4.5869215322328349E-2</v>
      </c>
      <c r="T45" s="1518">
        <f>C45/C46-1</f>
        <v>3.6310645345394743E-2</v>
      </c>
      <c r="U45" s="1518">
        <f>E45/E46-1</f>
        <v>4.7553447657088688E-2</v>
      </c>
      <c r="V45" s="1518">
        <f>F45/F46-1</f>
        <v>4.4155360055980086E-2</v>
      </c>
      <c r="X45" s="1520"/>
      <c r="Y45" s="1520"/>
      <c r="Z45" s="1520"/>
    </row>
    <row r="46" spans="1:26" ht="13.5" thickBot="1">
      <c r="A46" s="1460" t="s">
        <v>1187</v>
      </c>
      <c r="B46" s="1468">
        <v>188</v>
      </c>
      <c r="C46" s="1468">
        <v>165</v>
      </c>
      <c r="D46" s="1468">
        <f t="shared" si="35"/>
        <v>165</v>
      </c>
      <c r="E46" s="1468">
        <v>254</v>
      </c>
      <c r="F46" s="1469">
        <v>148</v>
      </c>
      <c r="G46" s="3331">
        <v>2007</v>
      </c>
      <c r="H46" s="1521">
        <v>4</v>
      </c>
      <c r="I46" s="1521">
        <v>5.51</v>
      </c>
      <c r="J46" s="1521">
        <v>4.8899999999999997</v>
      </c>
      <c r="K46" s="1521">
        <v>6.43</v>
      </c>
      <c r="L46" s="1522">
        <v>5.36</v>
      </c>
      <c r="N46" s="1523">
        <f t="shared" ref="N46:O49" si="55">B46/B47-1</f>
        <v>4.1339718365245526E-2</v>
      </c>
      <c r="O46" s="1524">
        <f t="shared" si="55"/>
        <v>4.0324492593776018E-2</v>
      </c>
      <c r="P46" s="1524">
        <f t="shared" ref="P46:Q49" si="56">E46/E47-1</f>
        <v>6.1625555347990968E-2</v>
      </c>
      <c r="Q46" s="1524">
        <f t="shared" si="56"/>
        <v>4.6757569250590603E-2</v>
      </c>
      <c r="R46" s="1473"/>
      <c r="S46" s="1474"/>
      <c r="T46" s="1475"/>
      <c r="U46" s="1475"/>
      <c r="V46" s="1475"/>
      <c r="X46" s="1475"/>
      <c r="Y46" s="1475"/>
      <c r="Z46" s="1475"/>
    </row>
    <row r="47" spans="1:26">
      <c r="A47" s="1460" t="s">
        <v>1188</v>
      </c>
      <c r="B47" s="1476">
        <f t="shared" ref="B47:C49" si="57">B48+(B$46-B$50)*I47/SUM(I$46:I$49)</f>
        <v>180.5366651097618</v>
      </c>
      <c r="C47" s="1476">
        <f t="shared" si="57"/>
        <v>158.60435967302453</v>
      </c>
      <c r="D47" s="1476">
        <f t="shared" si="35"/>
        <v>158.60435967302453</v>
      </c>
      <c r="E47" s="1476">
        <f t="shared" ref="E47:F49" si="58">E48+(E$46-E$50)*K47/SUM(K$46:K$49)</f>
        <v>239.25573260785075</v>
      </c>
      <c r="F47" s="1476">
        <f t="shared" si="58"/>
        <v>141.38899430740037</v>
      </c>
      <c r="G47" s="3332">
        <v>2007</v>
      </c>
      <c r="H47" s="1486">
        <v>3</v>
      </c>
      <c r="I47" s="1486">
        <v>8.65</v>
      </c>
      <c r="J47" s="1486">
        <v>8.06</v>
      </c>
      <c r="K47" s="1486">
        <v>9.94</v>
      </c>
      <c r="L47" s="1487">
        <v>5.8</v>
      </c>
      <c r="N47" s="1523">
        <f t="shared" si="55"/>
        <v>6.940217571740015E-2</v>
      </c>
      <c r="O47" s="1524">
        <f t="shared" si="55"/>
        <v>7.1197482471153428E-2</v>
      </c>
      <c r="P47" s="1524">
        <f t="shared" si="56"/>
        <v>0.10529679922579582</v>
      </c>
      <c r="Q47" s="1524">
        <f t="shared" si="56"/>
        <v>5.3292245059512133E-2</v>
      </c>
      <c r="R47" s="1473"/>
      <c r="S47" s="1471"/>
      <c r="T47" s="1472"/>
      <c r="U47" s="1472"/>
      <c r="V47" s="1472"/>
      <c r="X47" s="1525"/>
      <c r="Y47" s="1525"/>
      <c r="Z47" s="1525"/>
    </row>
    <row r="48" spans="1:26">
      <c r="A48" s="1460" t="s">
        <v>1189</v>
      </c>
      <c r="B48" s="1476">
        <f t="shared" si="57"/>
        <v>168.82017748715555</v>
      </c>
      <c r="C48" s="1476">
        <f t="shared" si="57"/>
        <v>148.06267029972753</v>
      </c>
      <c r="D48" s="1476">
        <f t="shared" si="35"/>
        <v>148.06267029972753</v>
      </c>
      <c r="E48" s="1476">
        <f t="shared" si="58"/>
        <v>216.46288379323747</v>
      </c>
      <c r="F48" s="1476">
        <f t="shared" si="58"/>
        <v>134.23529411764704</v>
      </c>
      <c r="G48" s="3332">
        <v>2007</v>
      </c>
      <c r="H48" s="1464">
        <v>2</v>
      </c>
      <c r="I48" s="1464">
        <v>3.67</v>
      </c>
      <c r="J48" s="1464">
        <v>2.3199999999999998</v>
      </c>
      <c r="K48" s="1464">
        <v>5.0199999999999996</v>
      </c>
      <c r="L48" s="1478">
        <v>6.71</v>
      </c>
      <c r="N48" s="1523">
        <f t="shared" si="55"/>
        <v>3.0339138143848032E-2</v>
      </c>
      <c r="O48" s="1524">
        <f t="shared" si="55"/>
        <v>2.0922341588790472E-2</v>
      </c>
      <c r="P48" s="1524">
        <f t="shared" si="56"/>
        <v>5.6164796592717003E-2</v>
      </c>
      <c r="Q48" s="1524">
        <f t="shared" si="56"/>
        <v>6.5704536723887319E-2</v>
      </c>
      <c r="R48" s="1473"/>
      <c r="S48" s="1471"/>
      <c r="T48" s="1472"/>
      <c r="U48" s="1472"/>
      <c r="V48" s="1472"/>
      <c r="X48" s="1525"/>
      <c r="Y48" s="1525"/>
      <c r="Z48" s="1525"/>
    </row>
    <row r="49" spans="1:26">
      <c r="A49" s="1460" t="s">
        <v>1190</v>
      </c>
      <c r="B49" s="1476">
        <f t="shared" si="57"/>
        <v>163.84913591779542</v>
      </c>
      <c r="C49" s="1476">
        <f t="shared" si="57"/>
        <v>145.0283378746594</v>
      </c>
      <c r="D49" s="1476">
        <f t="shared" si="35"/>
        <v>145.0283378746594</v>
      </c>
      <c r="E49" s="1476">
        <f t="shared" si="58"/>
        <v>204.95180722891567</v>
      </c>
      <c r="F49" s="1476">
        <f t="shared" si="58"/>
        <v>125.95920303605313</v>
      </c>
      <c r="G49" s="3333">
        <v>2007</v>
      </c>
      <c r="H49" s="1463">
        <v>1</v>
      </c>
      <c r="I49" s="1463">
        <v>3.58</v>
      </c>
      <c r="J49" s="1463">
        <v>3.08</v>
      </c>
      <c r="K49" s="1463">
        <v>4.34</v>
      </c>
      <c r="L49" s="1477">
        <v>3.21</v>
      </c>
      <c r="N49" s="1526">
        <f t="shared" si="55"/>
        <v>3.0497710174814063E-2</v>
      </c>
      <c r="O49" s="1527">
        <f t="shared" si="55"/>
        <v>2.8569772160704998E-2</v>
      </c>
      <c r="P49" s="1527">
        <f t="shared" si="56"/>
        <v>5.1034908866234296E-2</v>
      </c>
      <c r="Q49" s="1527">
        <f t="shared" si="56"/>
        <v>3.245248390207478E-2</v>
      </c>
      <c r="R49" s="1473"/>
      <c r="S49" s="1479">
        <f>B49/B50-1</f>
        <v>3.0497710174814063E-2</v>
      </c>
      <c r="T49" s="1480">
        <f>C49/C50-1</f>
        <v>2.8569772160704998E-2</v>
      </c>
      <c r="U49" s="1480">
        <f>E49/E50-1</f>
        <v>5.1034908866234296E-2</v>
      </c>
      <c r="V49" s="1480">
        <f>F49/F50-1</f>
        <v>3.245248390207478E-2</v>
      </c>
      <c r="X49" s="1525"/>
      <c r="Y49" s="1525"/>
      <c r="Z49" s="1525"/>
    </row>
    <row r="50" spans="1:26" ht="13.5" thickBot="1">
      <c r="A50" s="1460" t="s">
        <v>1191</v>
      </c>
      <c r="B50" s="1489">
        <v>159</v>
      </c>
      <c r="C50" s="1489">
        <v>141</v>
      </c>
      <c r="D50" s="1489">
        <f t="shared" si="35"/>
        <v>141</v>
      </c>
      <c r="E50" s="1489">
        <v>195</v>
      </c>
      <c r="F50" s="1490">
        <v>122</v>
      </c>
      <c r="G50" s="3331">
        <v>2006</v>
      </c>
      <c r="H50" s="1481">
        <v>4</v>
      </c>
      <c r="I50" s="1481">
        <v>3.79</v>
      </c>
      <c r="J50" s="1481">
        <v>2.21</v>
      </c>
      <c r="K50" s="1481">
        <v>5.65</v>
      </c>
      <c r="L50" s="1482">
        <v>5.41</v>
      </c>
      <c r="N50" s="1523">
        <f t="shared" ref="N50:O53" si="59">I50/SUM(I$50:I$53)*(B$50/B$54-1)</f>
        <v>7.245466462748526E-2</v>
      </c>
      <c r="O50" s="1524">
        <f t="shared" si="59"/>
        <v>2.3237230038062766E-2</v>
      </c>
      <c r="P50" s="1524">
        <f t="shared" ref="P50:Q53" si="60">K50/SUM(K$50:K$53)*(E$50/E$54-1)</f>
        <v>0.16146893866323722</v>
      </c>
      <c r="Q50" s="1524">
        <f t="shared" si="60"/>
        <v>5.0755230321793784E-2</v>
      </c>
      <c r="R50" s="1473"/>
      <c r="S50" s="1474"/>
      <c r="T50" s="1475"/>
      <c r="U50" s="1475"/>
      <c r="V50" s="1475"/>
      <c r="X50" s="1525"/>
      <c r="Y50" s="1525"/>
      <c r="Z50" s="1525"/>
    </row>
    <row r="51" spans="1:26">
      <c r="A51" s="1460" t="s">
        <v>1192</v>
      </c>
      <c r="B51" s="1476">
        <f t="shared" ref="B51:C53" si="61">B52+(B$50-B$54)*I51/SUM(I$50:I$53)</f>
        <v>149.00125628140702</v>
      </c>
      <c r="C51" s="1476">
        <f t="shared" si="61"/>
        <v>137.95592286501378</v>
      </c>
      <c r="D51" s="1476">
        <f t="shared" si="35"/>
        <v>137.95592286501378</v>
      </c>
      <c r="E51" s="1476">
        <f t="shared" ref="E51:F53" si="62">E52+(E$50-E$54)*K51/SUM(K$50:K$53)</f>
        <v>169.97231450719823</v>
      </c>
      <c r="F51" s="1476">
        <f t="shared" si="62"/>
        <v>116.21390374331551</v>
      </c>
      <c r="G51" s="3332">
        <v>2006</v>
      </c>
      <c r="H51" s="1486">
        <v>3</v>
      </c>
      <c r="I51" s="1486">
        <v>0.92</v>
      </c>
      <c r="J51" s="1486">
        <v>1.08</v>
      </c>
      <c r="K51" s="1486">
        <v>0.73</v>
      </c>
      <c r="L51" s="1487">
        <v>1.08</v>
      </c>
      <c r="N51" s="1523">
        <f t="shared" si="59"/>
        <v>1.7587939698492462E-2</v>
      </c>
      <c r="O51" s="1524">
        <f t="shared" si="59"/>
        <v>1.1355750425840628E-2</v>
      </c>
      <c r="P51" s="1524">
        <f t="shared" si="60"/>
        <v>2.0862358446754544E-2</v>
      </c>
      <c r="Q51" s="1524">
        <f t="shared" si="60"/>
        <v>1.0132282578103011E-2</v>
      </c>
      <c r="R51" s="1473"/>
      <c r="S51" s="1471"/>
      <c r="T51" s="1472"/>
      <c r="U51" s="1472"/>
      <c r="V51" s="1472"/>
      <c r="X51" s="1525"/>
      <c r="Y51" s="1525"/>
      <c r="Z51" s="1525"/>
    </row>
    <row r="52" spans="1:26">
      <c r="A52" s="1460" t="s">
        <v>1193</v>
      </c>
      <c r="B52" s="1476">
        <f t="shared" si="61"/>
        <v>146.57412060301507</v>
      </c>
      <c r="C52" s="1476">
        <f t="shared" si="61"/>
        <v>136.46831955922866</v>
      </c>
      <c r="D52" s="1476">
        <f t="shared" si="35"/>
        <v>136.46831955922866</v>
      </c>
      <c r="E52" s="1476">
        <f t="shared" si="62"/>
        <v>166.73864894795128</v>
      </c>
      <c r="F52" s="1476">
        <f t="shared" si="62"/>
        <v>115.05882352941177</v>
      </c>
      <c r="G52" s="3332">
        <v>2006</v>
      </c>
      <c r="H52" s="1464">
        <v>2</v>
      </c>
      <c r="I52" s="1464">
        <v>0.96</v>
      </c>
      <c r="J52" s="1464">
        <v>0.25</v>
      </c>
      <c r="K52" s="1464">
        <v>1.9</v>
      </c>
      <c r="L52" s="1478">
        <v>0.95</v>
      </c>
      <c r="N52" s="1523">
        <f t="shared" si="59"/>
        <v>1.8352632728861701E-2</v>
      </c>
      <c r="O52" s="1524">
        <f t="shared" si="59"/>
        <v>2.6286459319075526E-3</v>
      </c>
      <c r="P52" s="1524">
        <f t="shared" si="60"/>
        <v>5.4299289107991269E-2</v>
      </c>
      <c r="Q52" s="1524">
        <f t="shared" si="60"/>
        <v>8.9126559714794995E-3</v>
      </c>
      <c r="R52" s="1473"/>
      <c r="S52" s="1471"/>
      <c r="T52" s="1472"/>
      <c r="U52" s="1472"/>
      <c r="V52" s="1472"/>
      <c r="X52" s="1525"/>
      <c r="Y52" s="1525"/>
      <c r="Z52" s="1525"/>
    </row>
    <row r="53" spans="1:26">
      <c r="A53" s="1460" t="s">
        <v>1194</v>
      </c>
      <c r="B53" s="1476">
        <f t="shared" si="61"/>
        <v>144.04145728643215</v>
      </c>
      <c r="C53" s="1476">
        <f t="shared" si="61"/>
        <v>136.12396694214877</v>
      </c>
      <c r="D53" s="1476">
        <f t="shared" si="35"/>
        <v>136.12396694214877</v>
      </c>
      <c r="E53" s="1476">
        <f t="shared" si="62"/>
        <v>158.32225913621264</v>
      </c>
      <c r="F53" s="1476">
        <f t="shared" si="62"/>
        <v>114.04278074866311</v>
      </c>
      <c r="G53" s="3333">
        <v>2006</v>
      </c>
      <c r="H53" s="1463">
        <v>1</v>
      </c>
      <c r="I53" s="1463">
        <v>2.29</v>
      </c>
      <c r="J53" s="1463">
        <v>3.72</v>
      </c>
      <c r="K53" s="1463">
        <v>0.75</v>
      </c>
      <c r="L53" s="1477">
        <v>0.04</v>
      </c>
      <c r="N53" s="1526">
        <f t="shared" si="59"/>
        <v>4.3778675988638847E-2</v>
      </c>
      <c r="O53" s="1527">
        <f t="shared" si="59"/>
        <v>3.9114251466784385E-2</v>
      </c>
      <c r="P53" s="1527">
        <f t="shared" si="60"/>
        <v>2.1433929911049188E-2</v>
      </c>
      <c r="Q53" s="1527">
        <f t="shared" si="60"/>
        <v>3.7526972511492629E-4</v>
      </c>
      <c r="R53" s="1473"/>
      <c r="S53" s="1479">
        <f>B53/B54-1</f>
        <v>4.3778675988638716E-2</v>
      </c>
      <c r="T53" s="1480">
        <f>C53/C54-1</f>
        <v>3.91142514667846E-2</v>
      </c>
      <c r="U53" s="1480">
        <f>E53/E54-1</f>
        <v>2.143392991104931E-2</v>
      </c>
      <c r="V53" s="1480">
        <f>F53/F54-1</f>
        <v>3.7526972511492396E-4</v>
      </c>
      <c r="X53" s="1525"/>
      <c r="Y53" s="1525"/>
      <c r="Z53" s="1525"/>
    </row>
    <row r="54" spans="1:26" ht="13.5" thickBot="1">
      <c r="A54" s="1460" t="s">
        <v>1195</v>
      </c>
      <c r="B54" s="1489">
        <v>138</v>
      </c>
      <c r="C54" s="1489">
        <v>131</v>
      </c>
      <c r="D54" s="1489">
        <f t="shared" si="35"/>
        <v>131</v>
      </c>
      <c r="E54" s="1489">
        <v>155</v>
      </c>
      <c r="F54" s="1490">
        <v>114</v>
      </c>
      <c r="G54" s="3331">
        <v>2005</v>
      </c>
      <c r="H54" s="1481">
        <v>4</v>
      </c>
      <c r="I54" s="1481">
        <v>3.29</v>
      </c>
      <c r="J54" s="1481">
        <v>1.44</v>
      </c>
      <c r="K54" s="1481">
        <v>0.66</v>
      </c>
      <c r="L54" s="1482">
        <v>7.78</v>
      </c>
      <c r="N54" s="1523">
        <f t="shared" ref="N54:O57" si="63">I54/SUM(I$54:I$57)*(B$54/B$58-1)</f>
        <v>9.9404603216919935E-2</v>
      </c>
      <c r="O54" s="1524">
        <f t="shared" si="63"/>
        <v>4.7636550760861554E-2</v>
      </c>
      <c r="P54" s="1524">
        <f t="shared" ref="P54:Q57" si="64">K54/SUM(K$54:K$57)*(E$54/E$58-1)</f>
        <v>8.3756345177664976E-2</v>
      </c>
      <c r="Q54" s="1524">
        <f t="shared" si="64"/>
        <v>5.2148766661559584E-2</v>
      </c>
      <c r="R54" s="1473"/>
      <c r="S54" s="1474"/>
      <c r="T54" s="1475"/>
      <c r="U54" s="1475"/>
      <c r="V54" s="1475"/>
      <c r="X54" s="1525"/>
      <c r="Y54" s="1525"/>
      <c r="Z54" s="1525"/>
    </row>
    <row r="55" spans="1:26">
      <c r="A55" s="1460" t="s">
        <v>1196</v>
      </c>
      <c r="B55" s="1476">
        <f t="shared" ref="B55:C57" si="65">B56+(B$54-B$58)*I55/SUM(I$54:I$57)</f>
        <v>125.9720430107527</v>
      </c>
      <c r="C55" s="1476">
        <f t="shared" si="65"/>
        <v>125.1883408071749</v>
      </c>
      <c r="D55" s="1476">
        <f t="shared" si="35"/>
        <v>125.1883408071749</v>
      </c>
      <c r="E55" s="1476">
        <f t="shared" ref="E55:F57" si="66">E56+(E$54-E$58)*K55/SUM(K$54:K$57)</f>
        <v>144.61421319796952</v>
      </c>
      <c r="F55" s="1476">
        <f t="shared" si="66"/>
        <v>108.42008196721311</v>
      </c>
      <c r="G55" s="3332">
        <v>2005</v>
      </c>
      <c r="H55" s="1486">
        <v>3</v>
      </c>
      <c r="I55" s="1486">
        <v>0.46</v>
      </c>
      <c r="J55" s="1486">
        <v>0.32</v>
      </c>
      <c r="K55" s="1486">
        <v>0.42</v>
      </c>
      <c r="L55" s="1487">
        <v>0.64</v>
      </c>
      <c r="N55" s="1523">
        <f t="shared" si="63"/>
        <v>1.3898515951301874E-2</v>
      </c>
      <c r="O55" s="1524">
        <f t="shared" si="63"/>
        <v>1.0585900169080346E-2</v>
      </c>
      <c r="P55" s="1524">
        <f t="shared" si="64"/>
        <v>5.3299492385786795E-2</v>
      </c>
      <c r="Q55" s="1524">
        <f t="shared" si="64"/>
        <v>4.2898728359123568E-3</v>
      </c>
      <c r="R55" s="1473"/>
      <c r="S55" s="1471"/>
      <c r="T55" s="1472"/>
      <c r="U55" s="1472"/>
      <c r="V55" s="1472"/>
      <c r="X55" s="1525"/>
      <c r="Y55" s="1525"/>
      <c r="Z55" s="1525"/>
    </row>
    <row r="56" spans="1:26">
      <c r="A56" s="1460" t="s">
        <v>1197</v>
      </c>
      <c r="B56" s="1476">
        <f t="shared" si="65"/>
        <v>124.29032258064517</v>
      </c>
      <c r="C56" s="1476">
        <f t="shared" si="65"/>
        <v>123.8968609865471</v>
      </c>
      <c r="D56" s="1476">
        <f t="shared" si="35"/>
        <v>123.8968609865471</v>
      </c>
      <c r="E56" s="1476">
        <f t="shared" si="66"/>
        <v>138.00507614213197</v>
      </c>
      <c r="F56" s="1476">
        <f t="shared" si="66"/>
        <v>107.96106557377048</v>
      </c>
      <c r="G56" s="3332">
        <v>2005</v>
      </c>
      <c r="H56" s="1464">
        <v>2</v>
      </c>
      <c r="I56" s="1464">
        <v>0.47</v>
      </c>
      <c r="J56" s="1464">
        <v>0.1</v>
      </c>
      <c r="K56" s="1464">
        <v>0.52</v>
      </c>
      <c r="L56" s="1478">
        <v>0.79</v>
      </c>
      <c r="N56" s="1523">
        <f t="shared" si="63"/>
        <v>1.420065760241713E-2</v>
      </c>
      <c r="O56" s="1524">
        <f t="shared" si="63"/>
        <v>3.3080938028376083E-3</v>
      </c>
      <c r="P56" s="1524">
        <f t="shared" si="64"/>
        <v>6.598984771573603E-2</v>
      </c>
      <c r="Q56" s="1524">
        <f t="shared" si="64"/>
        <v>5.2953117818293153E-3</v>
      </c>
      <c r="R56" s="1473"/>
      <c r="S56" s="1471"/>
      <c r="T56" s="1472"/>
      <c r="U56" s="1472"/>
      <c r="V56" s="1472"/>
      <c r="X56" s="1525"/>
      <c r="Y56" s="1525"/>
      <c r="Z56" s="1525"/>
    </row>
    <row r="57" spans="1:26">
      <c r="A57" s="1460" t="s">
        <v>1198</v>
      </c>
      <c r="B57" s="1476">
        <f t="shared" si="65"/>
        <v>122.57204301075269</v>
      </c>
      <c r="C57" s="1476">
        <f t="shared" si="65"/>
        <v>123.4932735426009</v>
      </c>
      <c r="D57" s="1476">
        <f t="shared" si="35"/>
        <v>123.4932735426009</v>
      </c>
      <c r="E57" s="1476">
        <f t="shared" si="66"/>
        <v>129.82233502538071</v>
      </c>
      <c r="F57" s="1476">
        <f t="shared" si="66"/>
        <v>107.39446721311475</v>
      </c>
      <c r="G57" s="3333">
        <v>2005</v>
      </c>
      <c r="H57" s="1463">
        <v>1</v>
      </c>
      <c r="I57" s="1463">
        <v>0.43</v>
      </c>
      <c r="J57" s="1463">
        <v>0.37</v>
      </c>
      <c r="K57" s="1463">
        <v>0.37</v>
      </c>
      <c r="L57" s="1477">
        <v>0.55000000000000004</v>
      </c>
      <c r="N57" s="1526">
        <f t="shared" si="63"/>
        <v>1.2992090997956099E-2</v>
      </c>
      <c r="O57" s="1527">
        <f t="shared" si="63"/>
        <v>1.2239947070499151E-2</v>
      </c>
      <c r="P57" s="1527">
        <f t="shared" si="64"/>
        <v>4.6954314720812178E-2</v>
      </c>
      <c r="Q57" s="1527">
        <f t="shared" si="64"/>
        <v>3.6866094683621815E-3</v>
      </c>
      <c r="R57" s="1473"/>
      <c r="S57" s="1479">
        <f>B57/B58-1</f>
        <v>1.2992090997956174E-2</v>
      </c>
      <c r="T57" s="1480">
        <f>C57/C58-1</f>
        <v>1.2239947070499246E-2</v>
      </c>
      <c r="U57" s="1480">
        <f>E57/E58-1</f>
        <v>4.695431472081224E-2</v>
      </c>
      <c r="V57" s="1480">
        <f>F57/F58-1</f>
        <v>3.6866094683620787E-3</v>
      </c>
      <c r="X57" s="1525"/>
      <c r="Y57" s="1525"/>
      <c r="Z57" s="1525"/>
    </row>
    <row r="58" spans="1:26" ht="13.5" thickBot="1">
      <c r="A58" s="1460" t="s">
        <v>1199</v>
      </c>
      <c r="B58" s="1510">
        <v>121</v>
      </c>
      <c r="C58" s="1510">
        <v>122</v>
      </c>
      <c r="D58" s="1510">
        <f t="shared" si="35"/>
        <v>122</v>
      </c>
      <c r="E58" s="1510">
        <v>124</v>
      </c>
      <c r="F58" s="1511">
        <v>107</v>
      </c>
      <c r="G58" s="3331">
        <v>2004</v>
      </c>
      <c r="H58" s="1481">
        <v>4</v>
      </c>
      <c r="I58" s="1481">
        <v>0.33</v>
      </c>
      <c r="J58" s="1481">
        <v>0.5</v>
      </c>
      <c r="K58" s="1481">
        <v>0.5</v>
      </c>
      <c r="L58" s="1482">
        <v>0</v>
      </c>
      <c r="N58" s="1523">
        <f t="shared" ref="N58:O61" si="67">I58/SUM(I$58:I$61)*(B$58/B$62-1)</f>
        <v>1.3391770148526898E-2</v>
      </c>
      <c r="O58" s="1524">
        <f t="shared" si="67"/>
        <v>1.063264221158958E-2</v>
      </c>
      <c r="P58" s="1524">
        <f t="shared" ref="P58:Q61" si="68">K58/SUM(K$58:K$61)*(E$58/E$62-1)</f>
        <v>2.2244466688911134E-2</v>
      </c>
      <c r="Q58" s="1524">
        <f t="shared" si="68"/>
        <v>0</v>
      </c>
      <c r="R58" s="1473"/>
      <c r="S58" s="1474"/>
      <c r="T58" s="1475"/>
      <c r="U58" s="1475"/>
      <c r="V58" s="1475"/>
      <c r="X58" s="1525"/>
      <c r="Y58" s="1525"/>
      <c r="Z58" s="1525"/>
    </row>
    <row r="59" spans="1:26">
      <c r="A59" s="1460" t="s">
        <v>1200</v>
      </c>
      <c r="B59" s="1476">
        <f t="shared" ref="B59:C61" si="69">B60+(B$58-B$62)*I59/SUM(I$58:I$61)</f>
        <v>119.51351351351352</v>
      </c>
      <c r="C59" s="1476">
        <f t="shared" si="69"/>
        <v>120.7878787878788</v>
      </c>
      <c r="D59" s="1476">
        <f t="shared" si="35"/>
        <v>120.7878787878788</v>
      </c>
      <c r="E59" s="1476">
        <f t="shared" ref="E59:F61" si="70">E60+(E$58-E$62)*K59/SUM(K$58:K$61)</f>
        <v>121.5975975975976</v>
      </c>
      <c r="F59" s="1476">
        <f t="shared" si="70"/>
        <v>107</v>
      </c>
      <c r="G59" s="3332">
        <v>2004</v>
      </c>
      <c r="H59" s="1486">
        <v>3</v>
      </c>
      <c r="I59" s="1486">
        <v>0.56000000000000005</v>
      </c>
      <c r="J59" s="1486">
        <v>0.8</v>
      </c>
      <c r="K59" s="1486">
        <v>0.83</v>
      </c>
      <c r="L59" s="1487">
        <v>0.06</v>
      </c>
      <c r="N59" s="1523">
        <f t="shared" si="67"/>
        <v>2.2725428130833527E-2</v>
      </c>
      <c r="O59" s="1524">
        <f t="shared" si="67"/>
        <v>1.7012227538543329E-2</v>
      </c>
      <c r="P59" s="1524">
        <f t="shared" si="68"/>
        <v>3.6925814703592477E-2</v>
      </c>
      <c r="Q59" s="1524">
        <f t="shared" si="68"/>
        <v>2.8846153846153744E-2</v>
      </c>
      <c r="R59" s="1473"/>
      <c r="S59" s="1471"/>
      <c r="T59" s="1472"/>
      <c r="U59" s="1472"/>
      <c r="V59" s="1472"/>
      <c r="X59" s="1525"/>
      <c r="Y59" s="1525"/>
      <c r="Z59" s="1525"/>
    </row>
    <row r="60" spans="1:26">
      <c r="A60" s="1460" t="s">
        <v>1201</v>
      </c>
      <c r="B60" s="1476">
        <f t="shared" si="69"/>
        <v>116.99099099099099</v>
      </c>
      <c r="C60" s="1476">
        <f t="shared" si="69"/>
        <v>118.84848484848486</v>
      </c>
      <c r="D60" s="1476">
        <f t="shared" si="35"/>
        <v>118.84848484848486</v>
      </c>
      <c r="E60" s="1476">
        <f t="shared" si="70"/>
        <v>117.60960960960961</v>
      </c>
      <c r="F60" s="1476">
        <f t="shared" si="70"/>
        <v>104</v>
      </c>
      <c r="G60" s="3332">
        <v>2004</v>
      </c>
      <c r="H60" s="1464">
        <v>2</v>
      </c>
      <c r="I60" s="1464">
        <v>1</v>
      </c>
      <c r="J60" s="1464">
        <v>1.5</v>
      </c>
      <c r="K60" s="1464">
        <v>1.5</v>
      </c>
      <c r="L60" s="1478">
        <v>0</v>
      </c>
      <c r="N60" s="1523">
        <f t="shared" si="67"/>
        <v>4.0581121662202721E-2</v>
      </c>
      <c r="O60" s="1524">
        <f t="shared" si="67"/>
        <v>3.1897926634768738E-2</v>
      </c>
      <c r="P60" s="1524">
        <f t="shared" si="68"/>
        <v>6.6733400066733395E-2</v>
      </c>
      <c r="Q60" s="1524">
        <f t="shared" si="68"/>
        <v>0</v>
      </c>
      <c r="R60" s="1473"/>
      <c r="S60" s="1471"/>
      <c r="T60" s="1472"/>
      <c r="U60" s="1472"/>
      <c r="V60" s="1472"/>
      <c r="X60" s="1525"/>
      <c r="Y60" s="1525"/>
      <c r="Z60" s="1525"/>
    </row>
    <row r="61" spans="1:26" s="1516" customFormat="1" ht="13.5" thickBot="1">
      <c r="A61" s="1460" t="s">
        <v>1202</v>
      </c>
      <c r="B61" s="1513">
        <f t="shared" si="69"/>
        <v>112.48648648648648</v>
      </c>
      <c r="C61" s="1513">
        <f t="shared" si="69"/>
        <v>115.21212121212122</v>
      </c>
      <c r="D61" s="1513">
        <f t="shared" si="35"/>
        <v>115.21212121212122</v>
      </c>
      <c r="E61" s="1513">
        <f t="shared" si="70"/>
        <v>110.4024024024024</v>
      </c>
      <c r="F61" s="1513">
        <f t="shared" si="70"/>
        <v>104</v>
      </c>
      <c r="G61" s="3333">
        <v>2004</v>
      </c>
      <c r="H61" s="1514">
        <v>1</v>
      </c>
      <c r="I61" s="1514">
        <v>0.33</v>
      </c>
      <c r="J61" s="1514">
        <v>0.5</v>
      </c>
      <c r="K61" s="1514">
        <v>0.5</v>
      </c>
      <c r="L61" s="1515">
        <v>0</v>
      </c>
      <c r="N61" s="1528">
        <f t="shared" si="67"/>
        <v>1.3391770148526898E-2</v>
      </c>
      <c r="O61" s="1529">
        <f t="shared" si="67"/>
        <v>1.063264221158958E-2</v>
      </c>
      <c r="P61" s="1529">
        <f t="shared" si="68"/>
        <v>2.2244466688911134E-2</v>
      </c>
      <c r="Q61" s="1529">
        <f t="shared" si="68"/>
        <v>0</v>
      </c>
      <c r="R61" s="1519"/>
      <c r="S61" s="1517">
        <f>B61/B62-1</f>
        <v>1.3391770148526883E-2</v>
      </c>
      <c r="T61" s="1518">
        <f>C61/C62-1</f>
        <v>1.063264221158966E-2</v>
      </c>
      <c r="U61" s="1518">
        <f>E61/E62-1</f>
        <v>2.2244466688911224E-2</v>
      </c>
      <c r="V61" s="1518">
        <f>F61/F62-1</f>
        <v>0</v>
      </c>
      <c r="X61" s="1530"/>
      <c r="Y61" s="1530"/>
      <c r="Z61" s="1530"/>
    </row>
    <row r="62" spans="1:26" ht="13.5" thickBot="1">
      <c r="A62" s="1460" t="s">
        <v>1203</v>
      </c>
      <c r="B62" s="1531">
        <v>111</v>
      </c>
      <c r="C62" s="1531">
        <v>114</v>
      </c>
      <c r="D62" s="1531">
        <f t="shared" si="35"/>
        <v>114</v>
      </c>
      <c r="E62" s="1531">
        <v>108</v>
      </c>
      <c r="F62" s="1532">
        <v>104</v>
      </c>
      <c r="G62" s="3331">
        <v>2003</v>
      </c>
      <c r="H62" s="1521">
        <v>4</v>
      </c>
      <c r="I62" s="1533"/>
      <c r="J62" s="1533"/>
      <c r="K62" s="1533"/>
      <c r="L62" s="1533"/>
      <c r="N62" s="1534"/>
      <c r="O62" s="1533"/>
      <c r="P62" s="1533"/>
      <c r="Q62" s="1533"/>
      <c r="S62" s="1534"/>
      <c r="T62" s="1533"/>
      <c r="U62" s="1533"/>
      <c r="V62" s="1533"/>
      <c r="X62" s="1525"/>
      <c r="Y62" s="1525"/>
      <c r="Z62" s="1525"/>
    </row>
    <row r="63" spans="1:26">
      <c r="A63" s="1460" t="s">
        <v>1204</v>
      </c>
      <c r="B63" s="1535">
        <f t="shared" ref="B63:C65" si="71">B64+(B$62-B$66)/4</f>
        <v>109.75</v>
      </c>
      <c r="C63" s="1535">
        <f t="shared" si="71"/>
        <v>112.25</v>
      </c>
      <c r="D63" s="1535">
        <f t="shared" si="35"/>
        <v>112.25</v>
      </c>
      <c r="E63" s="1535">
        <f t="shared" ref="E63:F65" si="72">E64+(E$62-E$66)/4</f>
        <v>107.25</v>
      </c>
      <c r="F63" s="1535">
        <f t="shared" si="72"/>
        <v>103.5</v>
      </c>
      <c r="G63" s="3332">
        <v>2003</v>
      </c>
      <c r="H63" s="1486">
        <v>3</v>
      </c>
      <c r="I63" s="1533"/>
      <c r="J63" s="1533"/>
      <c r="K63" s="1533"/>
      <c r="L63" s="1533"/>
      <c r="X63" s="1525"/>
      <c r="Y63" s="1525"/>
      <c r="Z63" s="1525"/>
    </row>
    <row r="64" spans="1:26">
      <c r="A64" s="1460" t="s">
        <v>1205</v>
      </c>
      <c r="B64" s="1535">
        <f t="shared" si="71"/>
        <v>108.5</v>
      </c>
      <c r="C64" s="1535">
        <f t="shared" si="71"/>
        <v>110.5</v>
      </c>
      <c r="D64" s="1535">
        <f t="shared" si="35"/>
        <v>110.5</v>
      </c>
      <c r="E64" s="1535">
        <f t="shared" si="72"/>
        <v>106.5</v>
      </c>
      <c r="F64" s="1535">
        <f t="shared" si="72"/>
        <v>103</v>
      </c>
      <c r="G64" s="3332">
        <v>2003</v>
      </c>
      <c r="H64" s="1464">
        <v>2</v>
      </c>
      <c r="I64" s="1533"/>
      <c r="J64" s="1533"/>
      <c r="K64" s="1533"/>
      <c r="L64" s="1533"/>
      <c r="X64" s="1525"/>
      <c r="Y64" s="1525"/>
      <c r="Z64" s="1525"/>
    </row>
    <row r="65" spans="1:26" ht="13.5" thickBot="1">
      <c r="A65" s="1460" t="s">
        <v>1206</v>
      </c>
      <c r="B65" s="1535">
        <f t="shared" si="71"/>
        <v>107.25</v>
      </c>
      <c r="C65" s="1535">
        <f t="shared" si="71"/>
        <v>108.75</v>
      </c>
      <c r="D65" s="1535">
        <f t="shared" si="35"/>
        <v>108.75</v>
      </c>
      <c r="E65" s="1535">
        <f t="shared" si="72"/>
        <v>105.75</v>
      </c>
      <c r="F65" s="1535">
        <f t="shared" si="72"/>
        <v>102.5</v>
      </c>
      <c r="G65" s="3333">
        <v>2003</v>
      </c>
      <c r="H65" s="1536">
        <v>1</v>
      </c>
      <c r="I65" s="1533"/>
      <c r="J65" s="1533"/>
      <c r="K65" s="1533"/>
      <c r="L65" s="1533"/>
      <c r="S65" s="1471"/>
      <c r="T65" s="1472"/>
      <c r="U65" s="1472"/>
      <c r="X65" s="1525"/>
      <c r="Y65" s="1525"/>
      <c r="Z65" s="1525"/>
    </row>
    <row r="66" spans="1:26" ht="13.5" thickBot="1">
      <c r="A66" s="1460" t="s">
        <v>1207</v>
      </c>
      <c r="B66" s="1537">
        <v>106</v>
      </c>
      <c r="C66" s="1537">
        <v>107</v>
      </c>
      <c r="D66" s="1537">
        <f t="shared" si="35"/>
        <v>107</v>
      </c>
      <c r="E66" s="1537">
        <v>105</v>
      </c>
      <c r="F66" s="1538">
        <v>102</v>
      </c>
      <c r="G66" s="3331">
        <v>2002</v>
      </c>
      <c r="H66" s="1481">
        <v>4</v>
      </c>
      <c r="I66" s="1533"/>
      <c r="J66" s="1533"/>
      <c r="K66" s="1533"/>
      <c r="L66" s="1533"/>
      <c r="N66" s="1534"/>
      <c r="O66" s="1533"/>
      <c r="P66" s="1533"/>
      <c r="Q66" s="1533"/>
      <c r="S66" s="1534"/>
      <c r="T66" s="1533"/>
      <c r="U66" s="1533"/>
      <c r="V66" s="1533"/>
      <c r="X66" s="1525"/>
      <c r="Y66" s="1525"/>
      <c r="Z66" s="1525"/>
    </row>
    <row r="67" spans="1:26">
      <c r="A67" s="1460" t="s">
        <v>1208</v>
      </c>
      <c r="B67" s="1535">
        <f t="shared" ref="B67:C69" si="73">B68+(B$66-B$70)/4</f>
        <v>105</v>
      </c>
      <c r="C67" s="1535">
        <f t="shared" si="73"/>
        <v>106</v>
      </c>
      <c r="D67" s="1535">
        <f t="shared" si="35"/>
        <v>106</v>
      </c>
      <c r="E67" s="1535">
        <f t="shared" ref="E67:F69" si="74">E68+(E$66-E$70)/4</f>
        <v>104.5</v>
      </c>
      <c r="F67" s="1535">
        <f t="shared" si="74"/>
        <v>101.5</v>
      </c>
      <c r="G67" s="3332">
        <v>2002</v>
      </c>
      <c r="H67" s="1486">
        <v>3</v>
      </c>
      <c r="I67" s="1533"/>
      <c r="J67" s="1533"/>
      <c r="K67" s="1533"/>
      <c r="L67" s="1533"/>
      <c r="X67" s="1525"/>
      <c r="Y67" s="1525"/>
      <c r="Z67" s="1525"/>
    </row>
    <row r="68" spans="1:26">
      <c r="A68" s="1460" t="s">
        <v>1209</v>
      </c>
      <c r="B68" s="1535">
        <f t="shared" si="73"/>
        <v>104</v>
      </c>
      <c r="C68" s="1535">
        <f t="shared" si="73"/>
        <v>105</v>
      </c>
      <c r="D68" s="1535">
        <f t="shared" si="35"/>
        <v>105</v>
      </c>
      <c r="E68" s="1535">
        <f t="shared" si="74"/>
        <v>104</v>
      </c>
      <c r="F68" s="1535">
        <f t="shared" si="74"/>
        <v>101</v>
      </c>
      <c r="G68" s="3332">
        <v>2002</v>
      </c>
      <c r="H68" s="1464">
        <v>2</v>
      </c>
      <c r="I68" s="1533"/>
      <c r="J68" s="1533"/>
      <c r="K68" s="1533"/>
      <c r="L68" s="1533"/>
      <c r="X68" s="1525"/>
      <c r="Y68" s="1525"/>
      <c r="Z68" s="1525"/>
    </row>
    <row r="69" spans="1:26" s="1497" customFormat="1" ht="13.5" thickBot="1">
      <c r="A69" s="1493" t="s">
        <v>1210</v>
      </c>
      <c r="B69" s="1539">
        <f t="shared" si="73"/>
        <v>103</v>
      </c>
      <c r="C69" s="1539">
        <f t="shared" si="73"/>
        <v>104</v>
      </c>
      <c r="D69" s="1539">
        <f t="shared" si="35"/>
        <v>104</v>
      </c>
      <c r="E69" s="1539">
        <f t="shared" si="74"/>
        <v>103.5</v>
      </c>
      <c r="F69" s="1539">
        <f t="shared" si="74"/>
        <v>100.5</v>
      </c>
      <c r="G69" s="3333">
        <v>2002</v>
      </c>
      <c r="H69" s="1540">
        <v>1</v>
      </c>
      <c r="I69" s="1541"/>
      <c r="J69" s="1541"/>
      <c r="K69" s="1541"/>
      <c r="L69" s="1541"/>
      <c r="N69" s="1542"/>
      <c r="S69" s="1542"/>
      <c r="X69" s="1543"/>
      <c r="Y69" s="1543"/>
      <c r="Z69" s="1543"/>
    </row>
    <row r="70" spans="1:26" ht="13.5" thickBot="1">
      <c r="B70" s="1544">
        <v>102</v>
      </c>
      <c r="C70" s="1545">
        <v>103</v>
      </c>
      <c r="D70" s="1545">
        <f t="shared" si="35"/>
        <v>103</v>
      </c>
      <c r="E70" s="1545">
        <v>103</v>
      </c>
      <c r="F70" s="1546">
        <v>100</v>
      </c>
      <c r="I70" s="1533"/>
      <c r="J70" s="1533"/>
      <c r="K70" s="1533"/>
      <c r="L70" s="1533"/>
      <c r="N70" s="1534"/>
      <c r="O70" s="1533"/>
      <c r="P70" s="1533"/>
      <c r="Q70" s="1533"/>
      <c r="S70" s="1534"/>
      <c r="T70" s="1533"/>
      <c r="U70" s="1533"/>
      <c r="V70" s="1533"/>
      <c r="X70" s="1475"/>
      <c r="Y70" s="1475"/>
      <c r="Z70" s="1475"/>
    </row>
    <row r="72" spans="1:26" s="1548" customFormat="1">
      <c r="A72" s="1547" t="s">
        <v>1211</v>
      </c>
      <c r="G72" s="1549"/>
      <c r="N72" s="1549"/>
      <c r="S72" s="1549"/>
    </row>
    <row r="73" spans="1:26" s="1548" customFormat="1">
      <c r="A73" s="1548" t="s">
        <v>1212</v>
      </c>
      <c r="G73" s="1549"/>
      <c r="N73" s="1549"/>
      <c r="S73" s="1549"/>
    </row>
    <row r="74" spans="1:26" s="1548" customFormat="1">
      <c r="A74" s="1548" t="s">
        <v>1213</v>
      </c>
      <c r="G74" s="1549"/>
      <c r="I74" s="1550"/>
      <c r="J74" s="1550"/>
      <c r="K74" s="1550"/>
      <c r="L74" s="1550"/>
      <c r="N74" s="1551"/>
      <c r="O74" s="1550"/>
      <c r="P74" s="1550"/>
      <c r="Q74" s="1550"/>
      <c r="S74" s="1551"/>
      <c r="T74" s="1550"/>
      <c r="U74" s="1550"/>
      <c r="V74" s="1550"/>
    </row>
    <row r="75" spans="1:26" s="1548" customFormat="1">
      <c r="A75" s="1548" t="s">
        <v>1214</v>
      </c>
      <c r="G75" s="1549"/>
      <c r="N75" s="1549"/>
      <c r="S75" s="1549"/>
    </row>
    <row r="82" spans="7:22" ht="13.5" thickBot="1"/>
    <row r="83" spans="7:22">
      <c r="G83" s="1470"/>
      <c r="S83" s="1552" t="s">
        <v>1215</v>
      </c>
      <c r="T83" s="1553" t="s">
        <v>1216</v>
      </c>
      <c r="U83" s="1553" t="s">
        <v>1217</v>
      </c>
      <c r="V83" s="1553" t="s">
        <v>1218</v>
      </c>
    </row>
    <row r="84" spans="7:22">
      <c r="G84" s="1470"/>
      <c r="N84" s="1474"/>
      <c r="O84" s="1475"/>
      <c r="P84" s="1475"/>
      <c r="Q84" s="1475"/>
      <c r="S84" s="1554">
        <v>2006</v>
      </c>
      <c r="T84" s="1555">
        <v>15.1</v>
      </c>
      <c r="U84" s="1555">
        <v>7.43</v>
      </c>
      <c r="V84" s="1555">
        <v>26.26</v>
      </c>
    </row>
    <row r="85" spans="7:22">
      <c r="G85" s="1470"/>
      <c r="N85" s="1474"/>
      <c r="O85" s="1475"/>
      <c r="P85" s="1475"/>
      <c r="Q85" s="1475"/>
      <c r="S85" s="1556">
        <v>2005</v>
      </c>
      <c r="T85" s="1557">
        <v>13.9</v>
      </c>
      <c r="U85" s="1557">
        <v>7.49</v>
      </c>
      <c r="V85" s="1557">
        <v>24.92</v>
      </c>
    </row>
    <row r="86" spans="7:22">
      <c r="G86" s="1470"/>
      <c r="N86" s="1474"/>
      <c r="O86" s="1475"/>
      <c r="P86" s="1475"/>
      <c r="Q86" s="1475"/>
      <c r="S86" s="1554">
        <v>2004</v>
      </c>
      <c r="T86" s="1555">
        <v>9.48</v>
      </c>
      <c r="U86" s="1555">
        <v>7.2</v>
      </c>
      <c r="V86" s="1555">
        <v>14.68</v>
      </c>
    </row>
    <row r="87" spans="7:22">
      <c r="G87" s="1470"/>
      <c r="N87" s="1474"/>
      <c r="O87" s="1475"/>
      <c r="P87" s="1475"/>
      <c r="Q87" s="1475"/>
      <c r="S87" s="1556">
        <v>2003</v>
      </c>
      <c r="T87" s="1557">
        <v>4.5</v>
      </c>
      <c r="U87" s="1557">
        <v>6.12</v>
      </c>
      <c r="V87" s="1557">
        <v>2.34</v>
      </c>
    </row>
    <row r="88" spans="7:22" ht="13.5" thickBot="1">
      <c r="G88" s="1470"/>
      <c r="N88" s="1474"/>
      <c r="O88" s="1475"/>
      <c r="P88" s="1475"/>
      <c r="Q88" s="1475"/>
      <c r="S88" s="1558">
        <v>2002</v>
      </c>
      <c r="T88" s="1559">
        <v>3.59</v>
      </c>
      <c r="U88" s="1559">
        <v>4.54</v>
      </c>
      <c r="V88" s="1559">
        <v>2.5499999999999998</v>
      </c>
    </row>
    <row r="89" spans="7:22">
      <c r="G89" s="1470"/>
      <c r="N89" s="1474"/>
      <c r="O89" s="1475"/>
      <c r="P89" s="1475"/>
      <c r="Q89" s="1475"/>
    </row>
    <row r="90" spans="7:22">
      <c r="G90" s="1470"/>
      <c r="N90" s="1474"/>
      <c r="O90" s="1475"/>
      <c r="P90" s="1475"/>
      <c r="Q90" s="1475"/>
    </row>
    <row r="91" spans="7:22">
      <c r="G91" s="1470"/>
      <c r="N91" s="1474"/>
      <c r="O91" s="1475"/>
      <c r="P91" s="1475"/>
      <c r="Q91" s="1475"/>
    </row>
    <row r="92" spans="7:22">
      <c r="G92" s="1470"/>
      <c r="N92" s="1474"/>
      <c r="O92" s="1475"/>
      <c r="P92" s="1475"/>
      <c r="Q92" s="1475"/>
    </row>
    <row r="93" spans="7:22">
      <c r="G93" s="1470"/>
      <c r="N93" s="1474"/>
      <c r="O93" s="1475"/>
      <c r="P93" s="1475"/>
      <c r="Q93" s="1475"/>
    </row>
    <row r="94" spans="7:22">
      <c r="G94" s="1470"/>
      <c r="N94" s="1474"/>
      <c r="O94" s="1475"/>
      <c r="P94" s="1475"/>
      <c r="Q94" s="1475"/>
    </row>
    <row r="95" spans="7:22">
      <c r="G95" s="1470"/>
      <c r="N95" s="1474"/>
      <c r="O95" s="1475"/>
      <c r="P95" s="1475"/>
      <c r="Q95" s="1475"/>
    </row>
    <row r="96" spans="7:22">
      <c r="G96" s="1470"/>
      <c r="N96" s="1474"/>
      <c r="O96" s="1475"/>
      <c r="P96" s="1475"/>
      <c r="Q96" s="1475"/>
    </row>
    <row r="97" spans="7:19">
      <c r="G97" s="1470"/>
      <c r="N97" s="1474"/>
      <c r="O97" s="1475"/>
      <c r="P97" s="1475"/>
      <c r="Q97" s="1475"/>
    </row>
    <row r="98" spans="7:19">
      <c r="G98" s="1470"/>
      <c r="N98" s="1474"/>
      <c r="O98" s="1475"/>
      <c r="P98" s="1475"/>
      <c r="Q98" s="1475"/>
    </row>
    <row r="99" spans="7:19">
      <c r="G99" s="1470"/>
      <c r="N99" s="1474"/>
      <c r="O99" s="1475"/>
      <c r="P99" s="1475"/>
      <c r="Q99" s="1475"/>
      <c r="S99" s="1470"/>
    </row>
    <row r="100" spans="7:19">
      <c r="G100" s="1470"/>
      <c r="N100" s="1474"/>
      <c r="O100" s="1475"/>
      <c r="P100" s="1475"/>
      <c r="Q100" s="1475"/>
      <c r="S100" s="1470"/>
    </row>
    <row r="101" spans="7:19">
      <c r="G101" s="1470"/>
      <c r="N101" s="1474"/>
      <c r="O101" s="1475"/>
      <c r="P101" s="1475"/>
      <c r="Q101" s="1475"/>
      <c r="S101" s="1470"/>
    </row>
    <row r="102" spans="7:19">
      <c r="G102" s="1470"/>
      <c r="N102" s="1474"/>
      <c r="O102" s="1475"/>
      <c r="P102" s="1475"/>
      <c r="Q102" s="1475"/>
      <c r="S102" s="1470"/>
    </row>
    <row r="103" spans="7:19">
      <c r="G103" s="1470"/>
      <c r="N103" s="1474"/>
      <c r="O103" s="1475"/>
      <c r="P103" s="1475"/>
      <c r="Q103" s="1475"/>
      <c r="S103" s="1470"/>
    </row>
    <row r="104" spans="7:19">
      <c r="G104" s="1470"/>
      <c r="N104" s="1474"/>
      <c r="O104" s="1475"/>
      <c r="P104" s="1475"/>
      <c r="Q104" s="1475"/>
      <c r="S104" s="1470"/>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F31" zoomScale="90" zoomScaleNormal="90" zoomScaleSheetLayoutView="90" workbookViewId="0">
      <selection activeCell="J56" sqref="J5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1589</v>
      </c>
      <c r="B1" s="781"/>
      <c r="C1" s="1835" t="s">
        <v>3182</v>
      </c>
      <c r="D1" s="1818" t="s">
        <v>70</v>
      </c>
      <c r="E1" s="1819" t="s">
        <v>1387</v>
      </c>
      <c r="F1" s="1282">
        <f ca="1">J53</f>
        <v>29.96</v>
      </c>
      <c r="G1" s="1834">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1515</v>
      </c>
      <c r="B2" s="1842">
        <f ca="1">C40+J29+L46</f>
        <v>4429</v>
      </c>
      <c r="C2" s="1843" t="s">
        <v>1516</v>
      </c>
      <c r="D2" s="1843"/>
      <c r="E2" s="1844"/>
      <c r="F2" s="1845"/>
      <c r="G2" s="1846"/>
      <c r="H2" s="1838"/>
      <c r="I2" s="1838"/>
      <c r="J2" s="1838"/>
      <c r="K2" s="1839"/>
      <c r="L2" s="1838"/>
      <c r="M2" s="1838"/>
    </row>
    <row r="3" spans="1:37" ht="18" customHeight="1" thickBot="1">
      <c r="A3" s="1847" t="s">
        <v>1517</v>
      </c>
      <c r="B3" s="1848">
        <f ca="1">IF(ISERROR(B2*10000/F43),0,ROUND(B2*10000/F43,0))</f>
        <v>29727</v>
      </c>
      <c r="C3" s="1843" t="s">
        <v>1518</v>
      </c>
      <c r="D3" s="1843"/>
      <c r="E3" s="1844"/>
      <c r="F3" s="1845"/>
      <c r="G3" s="1846"/>
      <c r="H3" s="743" t="s">
        <v>1588</v>
      </c>
      <c r="I3" s="1838"/>
      <c r="J3" s="1838"/>
      <c r="K3" s="1839"/>
      <c r="L3" s="1838"/>
      <c r="M3" s="1838"/>
    </row>
    <row r="4" spans="1:37" ht="18" customHeight="1">
      <c r="A4" s="340" t="s">
        <v>1396</v>
      </c>
      <c r="B4" s="341" t="s">
        <v>1397</v>
      </c>
      <c r="C4" s="341" t="s">
        <v>1398</v>
      </c>
      <c r="D4" s="341" t="s">
        <v>1399</v>
      </c>
      <c r="E4" s="342" t="s">
        <v>1400</v>
      </c>
      <c r="F4" s="343"/>
      <c r="G4" s="1849"/>
      <c r="H4" s="340" t="s">
        <v>1396</v>
      </c>
      <c r="I4" s="341" t="s">
        <v>1397</v>
      </c>
      <c r="J4" s="341" t="s">
        <v>1398</v>
      </c>
      <c r="K4" s="341" t="s">
        <v>1399</v>
      </c>
      <c r="L4" s="342" t="s">
        <v>1400</v>
      </c>
      <c r="M4" s="343"/>
    </row>
    <row r="5" spans="1:37" ht="18" customHeight="1">
      <c r="A5" s="344">
        <v>1</v>
      </c>
      <c r="B5" s="345" t="s">
        <v>1401</v>
      </c>
      <c r="C5" s="1291">
        <f ca="1">C6+C10+C12</f>
        <v>137</v>
      </c>
      <c r="D5" s="1820" t="s">
        <v>1402</v>
      </c>
      <c r="E5" s="1292"/>
      <c r="F5" s="1293"/>
      <c r="G5" s="1849"/>
      <c r="H5" s="344">
        <v>1</v>
      </c>
      <c r="I5" s="345" t="s">
        <v>1401</v>
      </c>
      <c r="J5" s="1291">
        <f ca="1">J6+J10+J12</f>
        <v>308</v>
      </c>
      <c r="K5" s="1820" t="s">
        <v>1402</v>
      </c>
      <c r="L5" s="1292"/>
      <c r="M5" s="1293"/>
    </row>
    <row r="6" spans="1:37" ht="18" customHeight="1">
      <c r="A6" s="1290" t="s">
        <v>1035</v>
      </c>
      <c r="B6" s="3255" t="s">
        <v>1403</v>
      </c>
      <c r="C6" s="1295">
        <f ca="1">ROUND(F6*F8*F7*(1-F9)/10000,0)</f>
        <v>136</v>
      </c>
      <c r="D6" s="164" t="s">
        <v>3017</v>
      </c>
      <c r="E6" s="347" t="s">
        <v>1405</v>
      </c>
      <c r="F6" s="348">
        <f ca="1">INDIRECT("'数据-取费表'!u"&amp;$G$1)</f>
        <v>2.5</v>
      </c>
      <c r="G6" s="1849"/>
      <c r="H6" s="1290" t="s">
        <v>1035</v>
      </c>
      <c r="I6" s="3255" t="s">
        <v>1403</v>
      </c>
      <c r="J6" s="346">
        <f ca="1">ROUND(M6*M8*M7*(1-M9)/10000,0)</f>
        <v>308</v>
      </c>
      <c r="K6" s="164" t="s">
        <v>3016</v>
      </c>
      <c r="L6" s="347" t="s">
        <v>1405</v>
      </c>
      <c r="M6" s="348">
        <f ca="1">INDIRECT("'数据-取费表'!z"&amp;$G$1)</f>
        <v>6.3</v>
      </c>
    </row>
    <row r="7" spans="1:37" ht="18" customHeight="1">
      <c r="A7" s="1294"/>
      <c r="B7" s="3256"/>
      <c r="C7" s="1296"/>
      <c r="D7" s="352"/>
      <c r="E7" s="1297" t="s">
        <v>1406</v>
      </c>
      <c r="F7" s="348">
        <f ca="1">IF(INDIRECT("'数据-取费表'!ah"&amp;$G$1)="",INDIRECT("'数据-取费表'!k"&amp;$G$1),INDIRECT("'数据-取费表'!ah"&amp;$G$1))</f>
        <v>1489.8899999999999</v>
      </c>
      <c r="G7" s="1849"/>
      <c r="H7" s="349"/>
      <c r="I7" s="3256"/>
      <c r="J7" s="351"/>
      <c r="K7" s="352"/>
      <c r="L7" s="347" t="s">
        <v>1406</v>
      </c>
      <c r="M7" s="348">
        <f ca="1">F7</f>
        <v>1489.8899999999999</v>
      </c>
    </row>
    <row r="8" spans="1:37" ht="18" customHeight="1">
      <c r="A8" s="349"/>
      <c r="B8" s="3256"/>
      <c r="C8" s="351"/>
      <c r="D8" s="352"/>
      <c r="E8" s="347" t="s">
        <v>1407</v>
      </c>
      <c r="F8" s="348">
        <f ca="1">INDIRECT("'数据-取费表'!ai"&amp;$G$1)</f>
        <v>365</v>
      </c>
      <c r="G8" s="1849"/>
      <c r="H8" s="349"/>
      <c r="I8" s="3256"/>
      <c r="J8" s="351"/>
      <c r="K8" s="352"/>
      <c r="L8" s="347" t="s">
        <v>1407</v>
      </c>
      <c r="M8" s="348">
        <f ca="1">INDIRECT("'数据-取费表'!ai"&amp;$G$1)</f>
        <v>365</v>
      </c>
    </row>
    <row r="9" spans="1:37" ht="18" customHeight="1">
      <c r="A9" s="349"/>
      <c r="B9" s="3257"/>
      <c r="C9" s="351"/>
      <c r="D9" s="352"/>
      <c r="E9" s="347" t="s">
        <v>1408</v>
      </c>
      <c r="F9" s="357">
        <f ca="1">INDIRECT("'数据-取费表'!w"&amp;$G$1)</f>
        <v>0</v>
      </c>
      <c r="G9" s="1849"/>
      <c r="H9" s="349"/>
      <c r="I9" s="3257"/>
      <c r="J9" s="351"/>
      <c r="K9" s="352"/>
      <c r="L9" s="358" t="s">
        <v>1408</v>
      </c>
      <c r="M9" s="359">
        <f ca="1">INDIRECT("'数据-取费表'!ab"&amp;$G$1)</f>
        <v>0.1</v>
      </c>
    </row>
    <row r="10" spans="1:37" ht="18" customHeight="1">
      <c r="A10" s="1290" t="s">
        <v>1039</v>
      </c>
      <c r="B10" s="1821" t="s">
        <v>1409</v>
      </c>
      <c r="C10" s="361">
        <f ca="1">ROUND(IF(F10="押一",F6*F8*F7/12*F11,IF(F10="押二",F6*F8*F7/12*2*F11,IF(F10="押三",F6*F8*F7/12*3*F11,C11*F11)))/10000,0)</f>
        <v>1</v>
      </c>
      <c r="D10" s="1822" t="s">
        <v>3018</v>
      </c>
      <c r="E10" s="358" t="s">
        <v>1411</v>
      </c>
      <c r="F10" s="1365" t="s">
        <v>3217</v>
      </c>
      <c r="G10" s="1849"/>
      <c r="H10" s="1290" t="s">
        <v>1039</v>
      </c>
      <c r="I10" s="1821" t="s">
        <v>1409</v>
      </c>
      <c r="J10" s="346">
        <f ca="1">ROUND(IF(M10="押一",M6*M8*M7/12*M11,IF(M10="押二",M6*M8*M7/12*2*M11,IF(M10="押三",M6*M8*M7/12*3*M11,J11*M11)))/10000,0)</f>
        <v>0</v>
      </c>
      <c r="K10" s="1822" t="s">
        <v>3019</v>
      </c>
      <c r="L10" s="358" t="s">
        <v>1411</v>
      </c>
      <c r="M10" s="1365" t="s">
        <v>3105</v>
      </c>
    </row>
    <row r="11" spans="1:37" ht="18" customHeight="1">
      <c r="A11" s="353"/>
      <c r="B11" s="1823" t="s">
        <v>1388</v>
      </c>
      <c r="C11" s="1177"/>
      <c r="D11" s="1824"/>
      <c r="E11" s="358" t="s">
        <v>1412</v>
      </c>
      <c r="F11" s="359">
        <f ca="1">'数据-取费表'!B39</f>
        <v>1.4999999999999999E-2</v>
      </c>
      <c r="G11" s="1849"/>
      <c r="H11" s="1298"/>
      <c r="I11" s="1823" t="s">
        <v>1388</v>
      </c>
      <c r="J11" s="1177"/>
      <c r="K11" s="747"/>
      <c r="L11" s="358" t="s">
        <v>1412</v>
      </c>
      <c r="M11" s="1056">
        <f ca="1">'数据-取费表'!B39</f>
        <v>1.4999999999999999E-2</v>
      </c>
    </row>
    <row r="12" spans="1:37" ht="18" customHeight="1" thickBot="1">
      <c r="A12" s="1332" t="s">
        <v>1075</v>
      </c>
      <c r="B12" s="1825" t="s">
        <v>1413</v>
      </c>
      <c r="C12" s="1333"/>
      <c r="D12" s="1334"/>
      <c r="E12" s="1339"/>
      <c r="F12" s="1335"/>
      <c r="G12" s="1849"/>
      <c r="H12" s="1332" t="s">
        <v>1075</v>
      </c>
      <c r="I12" s="1825" t="s">
        <v>1413</v>
      </c>
      <c r="J12" s="1333"/>
      <c r="K12" s="1347"/>
      <c r="L12" s="1339"/>
      <c r="M12" s="1348"/>
    </row>
    <row r="13" spans="1:37" ht="18" customHeight="1" thickTop="1">
      <c r="A13" s="1328">
        <v>2</v>
      </c>
      <c r="B13" s="1329" t="s">
        <v>1414</v>
      </c>
      <c r="C13" s="355">
        <f ca="1">ROUND(C29*F13,0)</f>
        <v>593</v>
      </c>
      <c r="D13" s="1330" t="s">
        <v>1415</v>
      </c>
      <c r="E13" s="1330" t="s">
        <v>1416</v>
      </c>
      <c r="F13" s="1331">
        <f ca="1">INDIRECT("'数据-取费表'!y"&amp;$G$1)</f>
        <v>0.87</v>
      </c>
      <c r="G13" s="1849"/>
      <c r="H13" s="1328">
        <v>2</v>
      </c>
      <c r="I13" s="1329" t="s">
        <v>1414</v>
      </c>
      <c r="J13" s="1289">
        <f ca="1">ROUND(J14*J15,0)</f>
        <v>559</v>
      </c>
      <c r="K13" s="1336" t="s">
        <v>1415</v>
      </c>
      <c r="L13" s="1850"/>
      <c r="M13" s="1851"/>
    </row>
    <row r="14" spans="1:37" ht="18" customHeight="1">
      <c r="A14" s="1200" t="s">
        <v>1034</v>
      </c>
      <c r="B14" s="347" t="s">
        <v>1417</v>
      </c>
      <c r="C14" s="363">
        <f ca="1">INDIRECT("'数据-取费表'!m"&amp;$G$1)+INDIRECT("'数据-取费表'!t"&amp;$G$1)</f>
        <v>447</v>
      </c>
      <c r="D14" s="1798" t="s">
        <v>1418</v>
      </c>
      <c r="E14" s="1792"/>
      <c r="F14" s="364"/>
      <c r="G14" s="1849"/>
      <c r="H14" s="1200" t="s">
        <v>1035</v>
      </c>
      <c r="I14" s="347" t="s">
        <v>1419</v>
      </c>
      <c r="J14" s="24">
        <f ca="1">C29</f>
        <v>682</v>
      </c>
      <c r="K14" s="15"/>
      <c r="L14" s="981"/>
      <c r="M14" s="982"/>
    </row>
    <row r="15" spans="1:37" s="1856" customFormat="1" ht="18" customHeight="1" thickBot="1">
      <c r="A15" s="1200" t="s">
        <v>1036</v>
      </c>
      <c r="B15" s="347" t="s">
        <v>1420</v>
      </c>
      <c r="C15" s="24">
        <f ca="1">ROUND(C14*F15,0)</f>
        <v>22</v>
      </c>
      <c r="D15" s="365" t="s">
        <v>1421</v>
      </c>
      <c r="E15" s="365" t="s">
        <v>1422</v>
      </c>
      <c r="F15" s="366">
        <f>'数据-取费表'!B33</f>
        <v>0.05</v>
      </c>
      <c r="G15" s="1852"/>
      <c r="H15" s="1338" t="s">
        <v>1039</v>
      </c>
      <c r="I15" s="1339" t="s">
        <v>1416</v>
      </c>
      <c r="J15" s="1348">
        <f ca="1">INDIRECT("'数据-取费表'!ad"&amp;$G$1)</f>
        <v>0.82</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1389</v>
      </c>
      <c r="B16" s="347" t="s">
        <v>1423</v>
      </c>
      <c r="C16" s="24">
        <f ca="1">ROUND(INDIRECT("'数据-取费表'!m"&amp;$G$1)*F16,0)</f>
        <v>0</v>
      </c>
      <c r="D16" s="347" t="s">
        <v>1421</v>
      </c>
      <c r="E16" s="347" t="s">
        <v>1422</v>
      </c>
      <c r="F16" s="367">
        <f ca="1">IF(INDIRECT("'数据-取费表'!c"&amp;$G$1)="住宅",'数据-取费表'!B34,0)</f>
        <v>0</v>
      </c>
      <c r="G16" s="1849"/>
      <c r="H16" s="1328" t="s">
        <v>1030</v>
      </c>
      <c r="I16" s="1329" t="s">
        <v>1424</v>
      </c>
      <c r="J16" s="355">
        <f ca="1">ROUND(J17+J22+J23+J24,0)</f>
        <v>36</v>
      </c>
      <c r="K16" s="1336" t="s">
        <v>1425</v>
      </c>
      <c r="L16" s="1337"/>
      <c r="M16" s="1293"/>
    </row>
    <row r="17" spans="1:37" s="1856" customFormat="1" ht="18" customHeight="1">
      <c r="A17" s="1200" t="s">
        <v>1390</v>
      </c>
      <c r="B17" s="347" t="s">
        <v>1426</v>
      </c>
      <c r="C17" s="24">
        <f ca="1">ROUND(F17*(F43+INDIRECT("'数据-取费表'!S"&amp;$G$1))/10000,0)</f>
        <v>30</v>
      </c>
      <c r="D17" s="347" t="s">
        <v>1427</v>
      </c>
      <c r="E17" s="347" t="s">
        <v>1428</v>
      </c>
      <c r="F17" s="26">
        <f>'数据-取费表'!B35</f>
        <v>200</v>
      </c>
      <c r="G17" s="1852"/>
      <c r="H17" s="1200" t="s">
        <v>1035</v>
      </c>
      <c r="I17" s="347" t="s">
        <v>1429</v>
      </c>
      <c r="J17" s="24">
        <f ca="1">ROUND(IF(项目基本情况!B11="自然人",J5*M17,J18+J19+J20),1)</f>
        <v>22.3</v>
      </c>
      <c r="K17" s="1798" t="s">
        <v>1430</v>
      </c>
      <c r="L17" s="1796" t="s">
        <v>1431</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1391</v>
      </c>
      <c r="B18" s="347" t="s">
        <v>1432</v>
      </c>
      <c r="C18" s="24">
        <f ca="1">ROUND(C14*F18,0)</f>
        <v>7</v>
      </c>
      <c r="D18" s="347" t="s">
        <v>1421</v>
      </c>
      <c r="E18" s="347" t="s">
        <v>1422</v>
      </c>
      <c r="F18" s="367">
        <f>'数据-取费表'!B36</f>
        <v>1.4999999999999999E-2</v>
      </c>
      <c r="G18" s="1852"/>
      <c r="H18" s="1200" t="s">
        <v>1034</v>
      </c>
      <c r="I18" s="347" t="s">
        <v>1433</v>
      </c>
      <c r="J18" s="24">
        <f ca="1">ROUND(J5*M18/(1+'数据-取费表'!C42),2)</f>
        <v>16.43</v>
      </c>
      <c r="K18" s="1796" t="s">
        <v>1434</v>
      </c>
      <c r="L18" s="347" t="s">
        <v>1422</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1035</v>
      </c>
      <c r="B19" s="347" t="s">
        <v>1435</v>
      </c>
      <c r="C19" s="24">
        <f ca="1">SUM(C14:C18)</f>
        <v>506</v>
      </c>
      <c r="D19" s="140" t="s">
        <v>1436</v>
      </c>
      <c r="E19" s="1816"/>
      <c r="F19" s="26"/>
      <c r="G19" s="1849"/>
      <c r="H19" s="1200" t="s">
        <v>1036</v>
      </c>
      <c r="I19" s="347" t="s">
        <v>1437</v>
      </c>
      <c r="J19" s="24">
        <f ca="1">IF(K19="按租金收入计税",ROUND(J5*M19,2),ROUND(C29*M19*0.7,2))</f>
        <v>5.73</v>
      </c>
      <c r="K19" s="1826" t="s">
        <v>1438</v>
      </c>
      <c r="L19" s="347" t="s">
        <v>1422</v>
      </c>
      <c r="M19" s="367">
        <f>IF(K19="按租金收入计税",'数据-取费表'!B51,'数据-取费表'!B50)</f>
        <v>1.2E-2</v>
      </c>
    </row>
    <row r="20" spans="1:37" s="1856" customFormat="1" ht="18" customHeight="1">
      <c r="A20" s="1200" t="s">
        <v>1039</v>
      </c>
      <c r="B20" s="347" t="s">
        <v>1439</v>
      </c>
      <c r="C20" s="24">
        <f ca="1">ROUND(C19*F20,0)</f>
        <v>5</v>
      </c>
      <c r="D20" s="369" t="s">
        <v>1440</v>
      </c>
      <c r="E20" s="347" t="s">
        <v>1422</v>
      </c>
      <c r="F20" s="367">
        <f>'数据-取费表'!B37</f>
        <v>0.01</v>
      </c>
      <c r="G20" s="1852"/>
      <c r="H20" s="1200" t="s">
        <v>1389</v>
      </c>
      <c r="I20" s="164" t="s">
        <v>1441</v>
      </c>
      <c r="J20" s="25">
        <f ca="1">ROUND(M20*M21/10000,2)</f>
        <v>0.17</v>
      </c>
      <c r="K20" s="370" t="s">
        <v>1442</v>
      </c>
      <c r="L20" s="347" t="s">
        <v>1443</v>
      </c>
      <c r="M20" s="371">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1075</v>
      </c>
      <c r="B21" s="347" t="s">
        <v>1444</v>
      </c>
      <c r="C21" s="24" t="s">
        <v>18</v>
      </c>
      <c r="D21" s="369" t="s">
        <v>1445</v>
      </c>
      <c r="E21" s="347" t="s">
        <v>1446</v>
      </c>
      <c r="F21" s="367">
        <f>'数据-取费表'!B38</f>
        <v>0.01</v>
      </c>
      <c r="G21" s="1852"/>
      <c r="H21" s="372"/>
      <c r="I21" s="356"/>
      <c r="J21" s="29"/>
      <c r="K21" s="373"/>
      <c r="L21" s="347" t="s">
        <v>1447</v>
      </c>
      <c r="M21" s="348">
        <f ca="1">INDIRECT("'数据-取费表'!r"&amp;$G$1)</f>
        <v>574.94000000000005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1392</v>
      </c>
      <c r="B22" s="347" t="s">
        <v>1448</v>
      </c>
      <c r="C22" s="24"/>
      <c r="D22" s="140" t="str">
        <f>IF(F23&lt;=1,"单利计息。","复利计息。")&amp;"建造成本、管理费用、销售费用产生的利息。"</f>
        <v>复利计息。建造成本、管理费用、销售费用产生的利息。</v>
      </c>
      <c r="E22" s="1816"/>
      <c r="F22" s="26"/>
      <c r="G22" s="1849"/>
      <c r="H22" s="1200" t="s">
        <v>1039</v>
      </c>
      <c r="I22" s="347" t="s">
        <v>1449</v>
      </c>
      <c r="J22" s="24">
        <f ca="1">ROUND(J14*M22,1)</f>
        <v>10.199999999999999</v>
      </c>
      <c r="K22" s="1796" t="s">
        <v>1450</v>
      </c>
      <c r="L22" s="347" t="s">
        <v>1422</v>
      </c>
      <c r="M22" s="374">
        <f ca="1">INDIRECT("'数据-取费表'!Ak"&amp;$G$1)</f>
        <v>1.4999999999999999E-2</v>
      </c>
    </row>
    <row r="23" spans="1:37" s="1856" customFormat="1" ht="18" customHeight="1">
      <c r="A23" s="1200" t="s">
        <v>1034</v>
      </c>
      <c r="B23" s="347" t="s">
        <v>1451</v>
      </c>
      <c r="C23" s="24">
        <f ca="1">IF('数据-取费表'!B22&lt;=1,ROUND(C19*F24*F23/2,0)+ROUND(C20*F24*F23/2,0),ROUND(C19*(POWER((1+F24),F23/2)-1),0)+ROUND(C20*(POWER((1+F24),F23/2)-1),0))</f>
        <v>24</v>
      </c>
      <c r="D23" s="375" t="str">
        <f>IF(F23&lt;=1,"(建造成本+管理费用)×利率×(建设周期÷2)","(建造成本+管理费用)×((1+利率)^(建设周期÷2)-1)")</f>
        <v>(建造成本+管理费用)×((1+利率)^(建设周期÷2)-1)</v>
      </c>
      <c r="E23" s="347" t="s">
        <v>1452</v>
      </c>
      <c r="F23" s="371">
        <f>'数据-取费表'!B20</f>
        <v>2</v>
      </c>
      <c r="G23" s="1852"/>
      <c r="H23" s="1200" t="s">
        <v>1075</v>
      </c>
      <c r="I23" s="347" t="s">
        <v>1453</v>
      </c>
      <c r="J23" s="24">
        <f ca="1">ROUND(J13*M23,1)</f>
        <v>0.8</v>
      </c>
      <c r="K23" s="1796" t="s">
        <v>1454</v>
      </c>
      <c r="L23" s="347" t="s">
        <v>1455</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1456</v>
      </c>
      <c r="B24" s="347" t="s">
        <v>1457</v>
      </c>
      <c r="C24" s="24">
        <f ca="1">ROUND(IF('数据-取费表'!B22&lt;=1,F21*F24*F23/2,F21*(POWER((1+F24),F23/2)-1)),4)</f>
        <v>5.0000000000000001E-4</v>
      </c>
      <c r="D24" s="375" t="str">
        <f>IF(F23&lt;=1,"销售费用×利率×(建设周期÷2)","销售费用×((1+利率)^(建设周期÷2)-1)")</f>
        <v>销售费用×((1+利率)^(建设周期÷2)-1)</v>
      </c>
      <c r="E24" s="347" t="s">
        <v>1458</v>
      </c>
      <c r="F24" s="377">
        <f ca="1">'数据-取费表'!B40</f>
        <v>4.7500000000000001E-2</v>
      </c>
      <c r="G24" s="1852"/>
      <c r="H24" s="1338" t="s">
        <v>1393</v>
      </c>
      <c r="I24" s="1339" t="s">
        <v>1439</v>
      </c>
      <c r="J24" s="1340">
        <f ca="1">ROUND(J5*M24,1)</f>
        <v>3.1</v>
      </c>
      <c r="K24" s="1341" t="s">
        <v>1459</v>
      </c>
      <c r="L24" s="1339" t="s">
        <v>1455</v>
      </c>
      <c r="M24" s="1335">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0" t="s">
        <v>1460</v>
      </c>
      <c r="B25" s="347" t="s">
        <v>1461</v>
      </c>
      <c r="C25" s="24"/>
      <c r="D25" s="140" t="s">
        <v>1462</v>
      </c>
      <c r="E25" s="1816"/>
      <c r="F25" s="26"/>
      <c r="G25" s="1849"/>
      <c r="H25" s="1328" t="s">
        <v>1031</v>
      </c>
      <c r="I25" s="1343" t="s">
        <v>1463</v>
      </c>
      <c r="J25" s="355">
        <f ca="1">J5-J16</f>
        <v>272</v>
      </c>
      <c r="K25" s="1344" t="s">
        <v>1464</v>
      </c>
      <c r="L25" s="1345"/>
      <c r="M25" s="1346"/>
    </row>
    <row r="26" spans="1:37">
      <c r="A26" s="1200" t="s">
        <v>1034</v>
      </c>
      <c r="B26" s="347" t="s">
        <v>1465</v>
      </c>
      <c r="C26" s="24">
        <f ca="1">ROUND((C19+C20)*F26,0)</f>
        <v>102</v>
      </c>
      <c r="D26" s="369" t="s">
        <v>1466</v>
      </c>
      <c r="E26" s="358" t="s">
        <v>1467</v>
      </c>
      <c r="F26" s="357">
        <f ca="1">INDIRECT("'数据-取费表'!q"&amp;$G$1)</f>
        <v>0.2</v>
      </c>
      <c r="G26" s="1849"/>
      <c r="H26" s="344" t="s">
        <v>1032</v>
      </c>
      <c r="I26" s="345" t="s">
        <v>1468</v>
      </c>
      <c r="J26" s="346">
        <f ca="1">IF(J5&lt;&gt;0,ROUND(J25*(1-((1+M28)/(1+M26))^M27)/(M26-M28),0),0)</f>
        <v>4892</v>
      </c>
      <c r="K26" s="370" t="s">
        <v>1469</v>
      </c>
      <c r="L26" s="347" t="s">
        <v>1470</v>
      </c>
      <c r="M26" s="357">
        <f ca="1">INDIRECT("'数据-取费表'!I"&amp;$G$1)</f>
        <v>0.06</v>
      </c>
    </row>
    <row r="27" spans="1:37" ht="18" customHeight="1">
      <c r="A27" s="1200" t="s">
        <v>1036</v>
      </c>
      <c r="B27" s="347" t="s">
        <v>1471</v>
      </c>
      <c r="C27" s="24">
        <f ca="1">ROUND(F21*F26,4)</f>
        <v>2E-3</v>
      </c>
      <c r="D27" s="369" t="s">
        <v>1472</v>
      </c>
      <c r="E27" s="365"/>
      <c r="F27" s="366"/>
      <c r="G27" s="1849"/>
      <c r="H27" s="349"/>
      <c r="I27" s="350"/>
      <c r="J27" s="351"/>
      <c r="K27" s="378" t="s">
        <v>1473</v>
      </c>
      <c r="L27" s="347" t="s">
        <v>1474</v>
      </c>
      <c r="M27" s="379">
        <f ca="1">INDIRECT("'数据-取费表'!ag"&amp;$G$1)</f>
        <v>27.01</v>
      </c>
    </row>
    <row r="28" spans="1:37" s="1856" customFormat="1" ht="18" customHeight="1">
      <c r="A28" s="1200" t="s">
        <v>1037</v>
      </c>
      <c r="B28" s="347" t="s">
        <v>1475</v>
      </c>
      <c r="C28" s="24">
        <f>ROUND(F28/(1+'数据-取费表'!C42),4)</f>
        <v>5.33E-2</v>
      </c>
      <c r="D28" s="369" t="s">
        <v>1476</v>
      </c>
      <c r="E28" s="347" t="s">
        <v>1422</v>
      </c>
      <c r="F28" s="367">
        <f>'数据-取费表'!B41</f>
        <v>5.6000000000000001E-2</v>
      </c>
      <c r="G28" s="1852"/>
      <c r="H28" s="353"/>
      <c r="I28" s="354"/>
      <c r="J28" s="355"/>
      <c r="K28" s="373"/>
      <c r="L28" s="347" t="s">
        <v>1477</v>
      </c>
      <c r="M28" s="357">
        <f ca="1">INDIRECT("'数据-取费表'!aa"&amp;$G$1)</f>
        <v>0.03</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1478</v>
      </c>
      <c r="C29" s="1340">
        <f ca="1">ROUND((C19+C20+C23+C26)/(1-F21-C24-C27-C28),0)</f>
        <v>682</v>
      </c>
      <c r="D29" s="1341"/>
      <c r="E29" s="1339"/>
      <c r="F29" s="1342"/>
      <c r="G29" s="1852"/>
      <c r="H29" s="380" t="s">
        <v>1033</v>
      </c>
      <c r="I29" s="381" t="s">
        <v>1479</v>
      </c>
      <c r="J29" s="382">
        <f ca="1">ROUND(J26/(1+F40)^F41,0)</f>
        <v>4119</v>
      </c>
      <c r="K29" s="383" t="s">
        <v>1480</v>
      </c>
      <c r="L29" s="384"/>
      <c r="M29" s="385">
        <f ca="1">INDIRECT("'数据-取费表'!k"&amp;$G$1)</f>
        <v>1489.8899999999999</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1424</v>
      </c>
      <c r="C30" s="355">
        <f ca="1">ROUND(C31+C36+C37+C38,0)</f>
        <v>26</v>
      </c>
      <c r="D30" s="1336" t="s">
        <v>1425</v>
      </c>
      <c r="E30" s="1337"/>
      <c r="F30" s="1293"/>
      <c r="G30" s="1849"/>
      <c r="H30" s="744"/>
      <c r="I30" s="745"/>
      <c r="J30" s="746"/>
      <c r="K30" s="747"/>
      <c r="L30" s="748"/>
      <c r="M30" s="749"/>
    </row>
    <row r="31" spans="1:37" ht="18" customHeight="1">
      <c r="A31" s="1200" t="s">
        <v>1035</v>
      </c>
      <c r="B31" s="347" t="s">
        <v>1429</v>
      </c>
      <c r="C31" s="24">
        <f ca="1">ROUND(IF(项目基本情况!B11="自然人",C5*F31,C32+C33+C34),1)</f>
        <v>13.2</v>
      </c>
      <c r="D31" s="1798" t="s">
        <v>1430</v>
      </c>
      <c r="E31" s="1796" t="s">
        <v>1481</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1034</v>
      </c>
      <c r="B32" s="347" t="s">
        <v>1433</v>
      </c>
      <c r="C32" s="24">
        <f ca="1">IF(项目基本情况!B11="自然人","——",ROUND(C5*F32/(1+'数据-取费表'!C42),2))</f>
        <v>7.31</v>
      </c>
      <c r="D32" s="1796" t="s">
        <v>1434</v>
      </c>
      <c r="E32" s="347" t="s">
        <v>1422</v>
      </c>
      <c r="F32" s="377">
        <f>'数据-取费表'!B41</f>
        <v>5.6000000000000001E-2</v>
      </c>
      <c r="G32" s="1849"/>
      <c r="H32" s="744"/>
      <c r="I32" s="745"/>
      <c r="J32" s="746"/>
      <c r="K32" s="747"/>
      <c r="L32" s="748"/>
      <c r="M32" s="749"/>
    </row>
    <row r="33" spans="1:18" ht="18" customHeight="1">
      <c r="A33" s="1200" t="s">
        <v>1036</v>
      </c>
      <c r="B33" s="347" t="s">
        <v>1437</v>
      </c>
      <c r="C33" s="24">
        <f ca="1">IF(项目基本情况!B11="自然人","——",IF(D33="按租金收入计税",ROUND(C5*F33,2),IF(D33="按房产原值计税",ROUND(C29*F33*0.7,2),INDIRECT("'数据-取费表'!Aj"&amp;$G$1))))</f>
        <v>5.73</v>
      </c>
      <c r="D33" s="1826" t="s">
        <v>1438</v>
      </c>
      <c r="E33" s="347" t="s">
        <v>1422</v>
      </c>
      <c r="F33" s="367">
        <f>IF(D33="按票据","——",IF(D33="按租金收入计税",'数据-取费表'!B51,'数据-取费表'!B50))</f>
        <v>1.2E-2</v>
      </c>
      <c r="G33" s="1849"/>
      <c r="H33" s="1857"/>
      <c r="I33" s="1858"/>
      <c r="J33" s="1859"/>
      <c r="K33" s="1860"/>
      <c r="L33" s="1857"/>
      <c r="M33" s="1857"/>
    </row>
    <row r="34" spans="1:18" ht="18" customHeight="1">
      <c r="A34" s="1290" t="s">
        <v>1389</v>
      </c>
      <c r="B34" s="164" t="s">
        <v>1441</v>
      </c>
      <c r="C34" s="25">
        <f ca="1">IF(项目基本情况!B11="自然人","——",ROUND(F34*F35/10000,2))</f>
        <v>0.17</v>
      </c>
      <c r="D34" s="370" t="s">
        <v>1442</v>
      </c>
      <c r="E34" s="347" t="s">
        <v>1443</v>
      </c>
      <c r="F34" s="371">
        <f>'数据-取费表'!B52</f>
        <v>3</v>
      </c>
      <c r="G34" s="1849"/>
      <c r="H34" s="744"/>
      <c r="I34" s="1858"/>
      <c r="J34" s="1859"/>
      <c r="K34" s="1861"/>
      <c r="L34" s="1862"/>
      <c r="M34" s="1862"/>
    </row>
    <row r="35" spans="1:18" ht="18" customHeight="1">
      <c r="A35" s="1352"/>
      <c r="B35" s="1350"/>
      <c r="C35" s="29"/>
      <c r="D35" s="373"/>
      <c r="E35" s="347" t="s">
        <v>1447</v>
      </c>
      <c r="F35" s="348">
        <f ca="1">INDIRECT("'数据-取费表'!r"&amp;$G$1)</f>
        <v>574.94000000000005</v>
      </c>
      <c r="G35" s="1849"/>
      <c r="H35" s="744"/>
      <c r="I35" s="1858"/>
      <c r="J35" s="1859"/>
      <c r="K35" s="1860"/>
      <c r="L35" s="1857"/>
      <c r="M35" s="1857"/>
    </row>
    <row r="36" spans="1:18" ht="18" customHeight="1">
      <c r="A36" s="1351" t="s">
        <v>1039</v>
      </c>
      <c r="B36" s="347" t="s">
        <v>1449</v>
      </c>
      <c r="C36" s="24">
        <f ca="1">ROUND(C29*F36,1)</f>
        <v>10.199999999999999</v>
      </c>
      <c r="D36" s="1796" t="s">
        <v>1482</v>
      </c>
      <c r="E36" s="347" t="s">
        <v>1422</v>
      </c>
      <c r="F36" s="374">
        <f ca="1">INDIRECT("'数据-取费表'!Ak"&amp;$G$1)</f>
        <v>1.4999999999999999E-2</v>
      </c>
      <c r="G36" s="1849"/>
      <c r="H36" s="1857"/>
      <c r="I36" s="1858"/>
      <c r="J36" s="1859"/>
      <c r="K36" s="750"/>
      <c r="L36" s="1857"/>
      <c r="M36" s="1857"/>
    </row>
    <row r="37" spans="1:18" ht="18" customHeight="1">
      <c r="A37" s="1200" t="s">
        <v>1075</v>
      </c>
      <c r="B37" s="347" t="s">
        <v>1453</v>
      </c>
      <c r="C37" s="24">
        <f ca="1">ROUND(C13*F37,1)</f>
        <v>0.9</v>
      </c>
      <c r="D37" s="1796" t="s">
        <v>1454</v>
      </c>
      <c r="E37" s="347" t="s">
        <v>1455</v>
      </c>
      <c r="F37" s="376">
        <f ca="1">INDIRECT("'数据-取费表'!Al"&amp;$G$1)</f>
        <v>1.5E-3</v>
      </c>
      <c r="G37" s="1849"/>
      <c r="H37" s="1857"/>
      <c r="I37" s="1858"/>
      <c r="J37" s="1859"/>
      <c r="K37" s="750"/>
      <c r="L37" s="1857"/>
      <c r="M37" s="1857"/>
    </row>
    <row r="38" spans="1:18" ht="18" customHeight="1" thickBot="1">
      <c r="A38" s="1338" t="s">
        <v>1393</v>
      </c>
      <c r="B38" s="1339" t="s">
        <v>1439</v>
      </c>
      <c r="C38" s="1340">
        <f ca="1">ROUND(C5*F38,1)</f>
        <v>1.4</v>
      </c>
      <c r="D38" s="1341" t="s">
        <v>1459</v>
      </c>
      <c r="E38" s="1339" t="s">
        <v>1455</v>
      </c>
      <c r="F38" s="1335">
        <f ca="1">INDIRECT("'数据-取费表'!Am"&amp;$G$1)</f>
        <v>0.01</v>
      </c>
      <c r="G38" s="1849"/>
      <c r="H38" s="1857"/>
      <c r="I38" s="1858"/>
      <c r="J38" s="1859"/>
      <c r="K38" s="1863"/>
      <c r="L38" s="1857"/>
      <c r="M38" s="1857"/>
    </row>
    <row r="39" spans="1:18" ht="24.6" customHeight="1" thickTop="1">
      <c r="A39" s="1328" t="s">
        <v>1031</v>
      </c>
      <c r="B39" s="1343" t="s">
        <v>1483</v>
      </c>
      <c r="C39" s="355">
        <f ca="1">C5-C30</f>
        <v>111</v>
      </c>
      <c r="D39" s="1344" t="s">
        <v>1484</v>
      </c>
      <c r="E39" s="1345"/>
      <c r="F39" s="1346"/>
      <c r="G39" s="1849"/>
      <c r="H39" s="1857"/>
      <c r="I39" s="1858"/>
      <c r="J39" s="1859"/>
      <c r="K39" s="1863"/>
      <c r="L39" s="1857"/>
      <c r="M39" s="1857"/>
    </row>
    <row r="40" spans="1:18" ht="18" customHeight="1">
      <c r="A40" s="344" t="s">
        <v>1032</v>
      </c>
      <c r="B40" s="345" t="s">
        <v>1485</v>
      </c>
      <c r="C40" s="346">
        <f ca="1">ROUND(C39*(1-((1+F42)/(1+F40))^F41)/(F40-F42),0)</f>
        <v>292</v>
      </c>
      <c r="D40" s="370" t="s">
        <v>1469</v>
      </c>
      <c r="E40" s="347" t="s">
        <v>1470</v>
      </c>
      <c r="F40" s="357">
        <f ca="1">INDIRECT("'数据-取费表'!I"&amp;$G$1)</f>
        <v>0.06</v>
      </c>
      <c r="G40" s="1849"/>
      <c r="H40" s="1837"/>
      <c r="I40" s="1858"/>
      <c r="J40" s="1859"/>
      <c r="K40" s="1863"/>
      <c r="L40" s="1837"/>
      <c r="M40" s="1837"/>
    </row>
    <row r="41" spans="1:18" ht="18" customHeight="1">
      <c r="A41" s="349"/>
      <c r="B41" s="350"/>
      <c r="C41" s="351"/>
      <c r="D41" s="378" t="s">
        <v>1486</v>
      </c>
      <c r="E41" s="347" t="s">
        <v>1474</v>
      </c>
      <c r="F41" s="379">
        <f ca="1">IF(INDIRECT("'数据-取费表'!af"&amp;$G$1)=0,INDIRECT("'数据-取费表'!ae"&amp;$G$1),INDIRECT("'数据-取费表'!af"&amp;$G$1))</f>
        <v>2.95</v>
      </c>
      <c r="G41" s="1849"/>
      <c r="H41" s="731"/>
      <c r="I41" s="1858"/>
      <c r="J41" s="1859"/>
      <c r="K41" s="750"/>
      <c r="L41" s="731"/>
      <c r="M41" s="731"/>
    </row>
    <row r="42" spans="1:18" ht="18" customHeight="1">
      <c r="A42" s="353"/>
      <c r="B42" s="354"/>
      <c r="C42" s="355"/>
      <c r="D42" s="373"/>
      <c r="E42" s="347" t="s">
        <v>1477</v>
      </c>
      <c r="F42" s="357">
        <f ca="1">INDIRECT("'数据-取费表'!v"&amp;$G$1)</f>
        <v>0</v>
      </c>
      <c r="G42" s="1849"/>
      <c r="H42" s="731"/>
      <c r="I42" s="1858"/>
      <c r="J42" s="1859"/>
      <c r="K42" s="750"/>
      <c r="L42" s="731"/>
      <c r="M42" s="731"/>
    </row>
    <row r="43" spans="1:18" ht="18" customHeight="1" thickBot="1">
      <c r="A43" s="380" t="s">
        <v>1033</v>
      </c>
      <c r="B43" s="381" t="s">
        <v>1487</v>
      </c>
      <c r="C43" s="382">
        <f ca="1">ROUND(C40*10000/F43,0)</f>
        <v>1960</v>
      </c>
      <c r="D43" s="383" t="s">
        <v>1488</v>
      </c>
      <c r="E43" s="384" t="s">
        <v>1489</v>
      </c>
      <c r="F43" s="385">
        <f ca="1">INDIRECT("'数据-取费表'!k"&amp;$G$1)</f>
        <v>1489.8899999999999</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1519</v>
      </c>
      <c r="P45" s="1837"/>
      <c r="Q45" s="1837"/>
      <c r="R45" s="1837"/>
    </row>
    <row r="46" spans="1:18" s="1840" customFormat="1" ht="13.5" thickBot="1">
      <c r="A46" s="1868" t="s">
        <v>1520</v>
      </c>
      <c r="C46" s="1869">
        <f ca="1">C68-C40</f>
        <v>382</v>
      </c>
      <c r="D46" s="1870" t="str">
        <f>C2</f>
        <v>万元</v>
      </c>
      <c r="E46" s="1864"/>
      <c r="F46" s="1864"/>
      <c r="I46" s="1871" t="s">
        <v>1521</v>
      </c>
      <c r="J46" s="1872"/>
      <c r="K46" s="1873"/>
      <c r="L46" s="1874">
        <f ca="1">IF(M47="住宅",0,IF(L48&gt;J51,L60,J60))</f>
        <v>18</v>
      </c>
      <c r="O46" s="1875" t="s">
        <v>1522</v>
      </c>
      <c r="P46" s="1876" t="s">
        <v>1523</v>
      </c>
      <c r="Q46" s="1877" t="s">
        <v>1524</v>
      </c>
      <c r="R46" s="1877" t="s">
        <v>1525</v>
      </c>
    </row>
    <row r="47" spans="1:18" s="1840" customFormat="1" ht="13.5" thickBot="1">
      <c r="A47" s="1164" t="s">
        <v>1396</v>
      </c>
      <c r="B47" s="1196" t="s">
        <v>1397</v>
      </c>
      <c r="C47" s="1366" t="s">
        <v>1398</v>
      </c>
      <c r="D47" s="1196" t="s">
        <v>1399</v>
      </c>
      <c r="E47" s="1278" t="s">
        <v>1400</v>
      </c>
      <c r="F47" s="1279"/>
      <c r="G47" s="791"/>
      <c r="I47" s="1878" t="s">
        <v>1526</v>
      </c>
      <c r="J47" s="1879" t="s">
        <v>3075</v>
      </c>
      <c r="K47" s="1880" t="s">
        <v>1527</v>
      </c>
      <c r="L47" s="1881">
        <f ca="1">INDIRECT("'数据-取费表'!d"&amp;$G$1)</f>
        <v>40</v>
      </c>
      <c r="M47" s="1836" t="str">
        <f>IF(ISNUMBER(FIND("住宅",C1)),"住宅","非住宅")</f>
        <v>非住宅</v>
      </c>
      <c r="O47" s="1882" t="s">
        <v>1040</v>
      </c>
      <c r="P47" s="1883" t="s">
        <v>1528</v>
      </c>
      <c r="Q47" s="1884">
        <f ca="1">C40+J29</f>
        <v>4411</v>
      </c>
      <c r="R47" s="1884" t="s">
        <v>1529</v>
      </c>
    </row>
    <row r="48" spans="1:18" s="1840" customFormat="1" ht="28.5" thickBot="1">
      <c r="A48" s="1359" t="s">
        <v>1135</v>
      </c>
      <c r="B48" s="345" t="s">
        <v>1401</v>
      </c>
      <c r="C48" s="1815">
        <f ca="1">C49+C53+C55</f>
        <v>284</v>
      </c>
      <c r="D48" s="1361"/>
      <c r="E48" s="1362"/>
      <c r="F48" s="1180"/>
      <c r="G48" s="791"/>
      <c r="H48" s="792"/>
      <c r="I48" s="1885" t="s">
        <v>1530</v>
      </c>
      <c r="J48" s="1886" t="s">
        <v>3106</v>
      </c>
      <c r="K48" s="1887" t="s">
        <v>1531</v>
      </c>
      <c r="L48" s="1888">
        <f ca="1">INDIRECT("'数据-取费表'!f"&amp;$G$1)</f>
        <v>29.96</v>
      </c>
      <c r="O48" s="1882" t="s">
        <v>1041</v>
      </c>
      <c r="P48" s="1883" t="s">
        <v>1532</v>
      </c>
      <c r="Q48" s="1884">
        <f ca="1">J60</f>
        <v>18</v>
      </c>
      <c r="R48" s="1884" t="s">
        <v>1533</v>
      </c>
    </row>
    <row r="49" spans="1:18" s="1840" customFormat="1" ht="13.5" thickBot="1">
      <c r="A49" s="1193" t="s">
        <v>1136</v>
      </c>
      <c r="B49" s="1827" t="s">
        <v>1490</v>
      </c>
      <c r="C49" s="1363">
        <f ca="1">ROUND(F49*F51*F50*(1-F52)/10000,0)</f>
        <v>284</v>
      </c>
      <c r="D49" s="1275" t="s">
        <v>3020</v>
      </c>
      <c r="E49" s="1828" t="s">
        <v>1491</v>
      </c>
      <c r="F49" s="1280">
        <f>租赁情况!D19</f>
        <v>5.8</v>
      </c>
      <c r="G49" s="1889"/>
      <c r="H49" s="792"/>
      <c r="I49" s="1885" t="s">
        <v>1534</v>
      </c>
      <c r="J49" s="1890">
        <v>2010</v>
      </c>
      <c r="K49" s="1887" t="s">
        <v>1535</v>
      </c>
      <c r="L49" s="1891"/>
      <c r="O49" s="1892" t="s">
        <v>1042</v>
      </c>
      <c r="P49" s="1883" t="s">
        <v>1536</v>
      </c>
      <c r="Q49" s="1884">
        <f ca="1">C29</f>
        <v>682</v>
      </c>
      <c r="R49" s="1884" t="s">
        <v>1529</v>
      </c>
    </row>
    <row r="50" spans="1:18" s="1840" customFormat="1" ht="13.5" thickBot="1">
      <c r="A50" s="1194"/>
      <c r="B50" s="1197"/>
      <c r="C50" s="1367"/>
      <c r="D50" s="1171"/>
      <c r="E50" s="1276" t="s">
        <v>1406</v>
      </c>
      <c r="F50" s="1277">
        <f ca="1">F7</f>
        <v>1489.8899999999999</v>
      </c>
      <c r="H50" s="792"/>
      <c r="I50" s="1885" t="s">
        <v>1537</v>
      </c>
      <c r="J50" s="1893">
        <f>SUMPRODUCT((I63:I65=J47)*(J62:L62=J48)*(J63:L65))</f>
        <v>60</v>
      </c>
      <c r="K50" s="1887" t="s">
        <v>1538</v>
      </c>
      <c r="L50" s="1891"/>
      <c r="M50" s="1894"/>
      <c r="O50" s="1892" t="s">
        <v>1043</v>
      </c>
      <c r="P50" s="1883" t="s">
        <v>1539</v>
      </c>
      <c r="Q50" s="1895">
        <f ca="1">J58</f>
        <v>0.4</v>
      </c>
      <c r="R50" s="1884"/>
    </row>
    <row r="51" spans="1:18" s="1840" customFormat="1" ht="13.5" thickBot="1">
      <c r="A51" s="1195"/>
      <c r="B51" s="1197"/>
      <c r="C51" s="1198"/>
      <c r="D51" s="1171"/>
      <c r="E51" s="1199" t="s">
        <v>1407</v>
      </c>
      <c r="F51" s="348">
        <f ca="1">F8</f>
        <v>365</v>
      </c>
      <c r="I51" s="1896" t="s">
        <v>1540</v>
      </c>
      <c r="J51" s="1897">
        <f>IF(J49="",J50,J49+J50-YEAR('数据-取费表'!B2))</f>
        <v>52</v>
      </c>
      <c r="K51" s="1898" t="s">
        <v>1541</v>
      </c>
      <c r="L51" s="1899">
        <f ca="1">ROUND(-PV(INDIRECT("'数据-取费表'!h"&amp;$G$1),L48,(C39-C13*C76),0),0)</f>
        <v>986</v>
      </c>
      <c r="M51" s="1900"/>
      <c r="O51" s="1892" t="s">
        <v>1044</v>
      </c>
      <c r="P51" s="1883" t="s">
        <v>1542</v>
      </c>
      <c r="Q51" s="1895">
        <f>J52</f>
        <v>9.5000000000000001E-2</v>
      </c>
      <c r="R51" s="1884"/>
    </row>
    <row r="52" spans="1:18" s="1840" customFormat="1" ht="13.5" thickBot="1">
      <c r="A52" s="1195"/>
      <c r="B52" s="1197"/>
      <c r="C52" s="1198"/>
      <c r="D52" s="1171"/>
      <c r="E52" s="1199" t="s">
        <v>1408</v>
      </c>
      <c r="F52" s="1274">
        <f>'数据-取费表'!AB6</f>
        <v>0.1</v>
      </c>
      <c r="I52" s="1901" t="s">
        <v>1543</v>
      </c>
      <c r="J52" s="1902">
        <v>9.5000000000000001E-2</v>
      </c>
      <c r="K52" s="1901" t="s">
        <v>1544</v>
      </c>
      <c r="L52" s="1902"/>
      <c r="O52" s="1892" t="s">
        <v>1045</v>
      </c>
      <c r="P52" s="1883" t="s">
        <v>1545</v>
      </c>
      <c r="Q52" s="1884">
        <f ca="1">J53</f>
        <v>29.96</v>
      </c>
      <c r="R52" s="1884" t="s">
        <v>1546</v>
      </c>
    </row>
    <row r="53" spans="1:18" s="1840" customFormat="1" ht="24.75" thickBot="1">
      <c r="A53" s="1404" t="s">
        <v>1137</v>
      </c>
      <c r="B53" s="1829" t="s">
        <v>1409</v>
      </c>
      <c r="C53" s="361">
        <f ca="1">ROUND(IF(F53="押一",F49*F51*F50/12*F11,IF(F53="押二",F49*F51*F50/12*2*F11,IF(F53="押三",F49*F51*F50/12*3*F11,C54*F11)))/10000,0)</f>
        <v>0</v>
      </c>
      <c r="D53" s="1822" t="s">
        <v>3018</v>
      </c>
      <c r="E53" s="358" t="s">
        <v>1411</v>
      </c>
      <c r="F53" s="1365" t="s">
        <v>3105</v>
      </c>
      <c r="I53" s="1903" t="s">
        <v>1547</v>
      </c>
      <c r="J53" s="1904">
        <f ca="1">IF(M47="住宅",J51,IF(D1="——",MIN(J51,L48),IF(D1="在建（套用方法）",MIN(J51,L48-'数据-取费表'!B24),IF(D1="土地（套用方法）",MIN(J51,L48-'数据-取费表'!B20)))))</f>
        <v>29.96</v>
      </c>
      <c r="K53" s="3258" t="s">
        <v>1548</v>
      </c>
      <c r="L53" s="3259"/>
      <c r="O53" s="1882" t="s">
        <v>1046</v>
      </c>
      <c r="P53" s="1883" t="s">
        <v>1549</v>
      </c>
      <c r="Q53" s="1884">
        <f ca="1">Q47+Q48</f>
        <v>4429</v>
      </c>
      <c r="R53" s="1884" t="s">
        <v>1047</v>
      </c>
    </row>
    <row r="54" spans="1:18" s="1840" customFormat="1" ht="13.5" thickBot="1">
      <c r="A54" s="1405"/>
      <c r="B54" s="1823" t="s">
        <v>1388</v>
      </c>
      <c r="C54" s="1177"/>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2" t="s">
        <v>1075</v>
      </c>
      <c r="B55" s="1825" t="s">
        <v>1413</v>
      </c>
      <c r="C55" s="1333"/>
      <c r="D55" s="1822"/>
      <c r="E55" s="1830"/>
      <c r="F55" s="1905"/>
      <c r="I55" s="1908" t="s">
        <v>1551</v>
      </c>
      <c r="J55" s="1909">
        <f ca="1">ROUND(IF(J47="钢混",J57/J50,1-(1-2%)*(J50-J57)/J50),3)</f>
        <v>0.36699999999999999</v>
      </c>
      <c r="K55" s="1910" t="s">
        <v>1552</v>
      </c>
      <c r="L55" s="1911" t="s">
        <v>1553</v>
      </c>
      <c r="O55" s="1875" t="s">
        <v>1522</v>
      </c>
      <c r="P55" s="1876" t="s">
        <v>1523</v>
      </c>
      <c r="Q55" s="1877" t="s">
        <v>1524</v>
      </c>
      <c r="R55" s="1877" t="s">
        <v>1525</v>
      </c>
    </row>
    <row r="56" spans="1:18" s="1840" customFormat="1" ht="25.5" thickTop="1" thickBot="1">
      <c r="A56" s="1175">
        <v>2</v>
      </c>
      <c r="B56" s="1176" t="s">
        <v>1414</v>
      </c>
      <c r="C56" s="276">
        <f ca="1">C13</f>
        <v>593</v>
      </c>
      <c r="D56" s="1912"/>
      <c r="E56" s="1913"/>
      <c r="F56" s="1905"/>
      <c r="I56" s="1914" t="s">
        <v>1554</v>
      </c>
      <c r="J56" s="1915" t="s">
        <v>3041</v>
      </c>
      <c r="K56" s="1885" t="s">
        <v>1555</v>
      </c>
      <c r="L56" s="1888" t="str">
        <f ca="1">IF(L48&lt;J51,"——",L48-J53)</f>
        <v>——</v>
      </c>
      <c r="O56" s="1882" t="s">
        <v>1040</v>
      </c>
      <c r="P56" s="1883" t="s">
        <v>1528</v>
      </c>
      <c r="Q56" s="1884">
        <f ca="1">C40+J29</f>
        <v>4411</v>
      </c>
      <c r="R56" s="1884" t="s">
        <v>1529</v>
      </c>
    </row>
    <row r="57" spans="1:18" s="1840" customFormat="1" ht="24.75" thickBot="1">
      <c r="A57" s="1916"/>
      <c r="B57" s="1168" t="s">
        <v>1478</v>
      </c>
      <c r="C57" s="282">
        <f ca="1">C29</f>
        <v>682</v>
      </c>
      <c r="D57" s="1917"/>
      <c r="E57" s="1918"/>
      <c r="F57" s="1919"/>
      <c r="I57" s="1920" t="s">
        <v>1556</v>
      </c>
      <c r="J57" s="1921">
        <f ca="1">IF(OR(M47="住宅",J51&lt;L48,J56="是"),"——",J51-L48)</f>
        <v>22.04</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60" t="s">
        <v>1030</v>
      </c>
      <c r="B58" s="1176" t="s">
        <v>1424</v>
      </c>
      <c r="C58" s="361">
        <f ca="1">ROUND(C59+C64+C65+C66,0)</f>
        <v>35</v>
      </c>
      <c r="D58" s="1178" t="s">
        <v>1425</v>
      </c>
      <c r="E58" s="1179"/>
      <c r="F58" s="1180"/>
      <c r="I58" s="1920" t="s">
        <v>1560</v>
      </c>
      <c r="J58" s="1922">
        <f ca="1">IF(J55&lt;0.4,0.4,J55)</f>
        <v>0.4</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200" t="s">
        <v>1035</v>
      </c>
      <c r="B59" s="1168" t="s">
        <v>1429</v>
      </c>
      <c r="C59" s="24">
        <f ca="1">ROUND(IF(项目基本情况!B11="自然人",C48*F59,C60+C61+C62),1)</f>
        <v>21.1</v>
      </c>
      <c r="D59" s="1181" t="s">
        <v>1430</v>
      </c>
      <c r="E59" s="1182" t="s">
        <v>1431</v>
      </c>
      <c r="F59" s="368" t="str">
        <f ca="1">IF(项目基本情况!B11="企业","",IF(INDIRECT("'数据-取费表'!c"&amp;$G$1)="住宅",5%,IF(F49*F50*F51/12/(1+'数据-取费表'!C42)&gt;20000,12%,7%)))</f>
        <v/>
      </c>
      <c r="I59" s="1920" t="s">
        <v>1563</v>
      </c>
      <c r="J59" s="1921">
        <f ca="1">IF(OR(M47="住宅",J51&lt;L48,J56="是"),"——",ROUND(C29*J58,0))</f>
        <v>273</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200" t="s">
        <v>1034</v>
      </c>
      <c r="B60" s="1168" t="s">
        <v>1433</v>
      </c>
      <c r="C60" s="24">
        <f ca="1">IF(项目基本情况!B11="自然人","——",ROUND(C48*F60/(1+'数据-取费表'!C42),2))</f>
        <v>15.15</v>
      </c>
      <c r="D60" s="1182" t="s">
        <v>1434</v>
      </c>
      <c r="E60" s="1168" t="s">
        <v>1422</v>
      </c>
      <c r="F60" s="377">
        <f t="shared" ref="F60:F66" si="0">F32</f>
        <v>5.6000000000000001E-2</v>
      </c>
      <c r="I60" s="1923" t="s">
        <v>1565</v>
      </c>
      <c r="J60" s="1924">
        <f ca="1">IF(OR(M47="住宅",J51&lt;L48,J56="是"),"0",ROUND(J59/(1+J52)^J53,0))</f>
        <v>18</v>
      </c>
      <c r="K60" s="1925" t="s">
        <v>1566</v>
      </c>
      <c r="L60" s="1924">
        <f ca="1">IF(OR(M47="住宅",L48&lt;J51),0,ROUND(L57*(L58/L59-1),0))</f>
        <v>0</v>
      </c>
      <c r="O60" s="1892" t="s">
        <v>1044</v>
      </c>
      <c r="P60" s="1883" t="s">
        <v>1567</v>
      </c>
      <c r="Q60" s="1884" t="e">
        <f ca="1">L58</f>
        <v>#DIV/0!</v>
      </c>
      <c r="R60" s="1884" t="s">
        <v>1568</v>
      </c>
    </row>
    <row r="61" spans="1:18" s="1840" customFormat="1" ht="13.5" thickBot="1">
      <c r="A61" s="1200" t="s">
        <v>1492</v>
      </c>
      <c r="B61" s="1168" t="s">
        <v>1493</v>
      </c>
      <c r="C61" s="24">
        <f ca="1">IF(项目基本情况!B11="自然人","——",IF(D61="按租金收入计税",ROUND(C48*F61,2),IF(D61="按房产原值计税",ROUND(C57*F61*0.7,2),INDIRECT("'数据-取费表'!Aj"&amp;$G$1))))</f>
        <v>5.73</v>
      </c>
      <c r="D61" s="1826" t="s">
        <v>1438</v>
      </c>
      <c r="E61" s="1168" t="s">
        <v>1494</v>
      </c>
      <c r="F61" s="367">
        <f t="shared" si="0"/>
        <v>1.2E-2</v>
      </c>
      <c r="I61" s="1926"/>
      <c r="J61" s="1926"/>
      <c r="K61" s="1926"/>
      <c r="L61" s="1926"/>
      <c r="O61" s="1892" t="s">
        <v>1045</v>
      </c>
      <c r="P61" s="1883" t="str">
        <f>K59</f>
        <v>建筑物剩余耐用年限下的土地年期修正系数Kn</v>
      </c>
      <c r="Q61" s="1884" t="e">
        <f ca="1">L59</f>
        <v>#DIV/0!</v>
      </c>
      <c r="R61" s="1884" t="s">
        <v>1569</v>
      </c>
    </row>
    <row r="62" spans="1:18" s="1840" customFormat="1" ht="13.5" thickBot="1">
      <c r="A62" s="1200" t="s">
        <v>1495</v>
      </c>
      <c r="B62" s="1167" t="s">
        <v>1496</v>
      </c>
      <c r="C62" s="25">
        <f ca="1">IF(项目基本情况!B11="自然人","——",ROUND(F62*F63/10000,2))</f>
        <v>0.17</v>
      </c>
      <c r="D62" s="1183" t="s">
        <v>1497</v>
      </c>
      <c r="E62" s="1168" t="s">
        <v>1498</v>
      </c>
      <c r="F62" s="371">
        <f t="shared" si="0"/>
        <v>3</v>
      </c>
      <c r="I62" s="1927" t="s">
        <v>1570</v>
      </c>
      <c r="J62" s="1928" t="s">
        <v>1571</v>
      </c>
      <c r="K62" s="1928" t="s">
        <v>1572</v>
      </c>
      <c r="L62" s="1928" t="s">
        <v>1573</v>
      </c>
      <c r="M62" s="1929" t="s">
        <v>1574</v>
      </c>
      <c r="O62" s="1882" t="s">
        <v>1046</v>
      </c>
      <c r="P62" s="1883" t="s">
        <v>1575</v>
      </c>
      <c r="Q62" s="1884">
        <f ca="1">Q56+Q57</f>
        <v>4411</v>
      </c>
      <c r="R62" s="1884" t="s">
        <v>1047</v>
      </c>
    </row>
    <row r="63" spans="1:18" s="1840" customFormat="1" ht="13.5" thickBot="1">
      <c r="A63" s="372"/>
      <c r="B63" s="1174"/>
      <c r="C63" s="29"/>
      <c r="D63" s="1184"/>
      <c r="E63" s="1168" t="s">
        <v>1499</v>
      </c>
      <c r="F63" s="348">
        <f t="shared" ca="1" si="0"/>
        <v>574.94000000000005</v>
      </c>
      <c r="I63" s="1927" t="s">
        <v>1576</v>
      </c>
      <c r="J63" s="1928">
        <v>70</v>
      </c>
      <c r="K63" s="1928">
        <v>50</v>
      </c>
      <c r="L63" s="1928">
        <v>80</v>
      </c>
      <c r="M63" s="1930">
        <v>0.02</v>
      </c>
      <c r="O63" s="1867" t="s">
        <v>1577</v>
      </c>
      <c r="P63" s="1837"/>
      <c r="Q63" s="1837"/>
      <c r="R63" s="1837"/>
    </row>
    <row r="64" spans="1:18" s="1840" customFormat="1" ht="13.5" thickBot="1">
      <c r="A64" s="1200" t="s">
        <v>1500</v>
      </c>
      <c r="B64" s="1168" t="s">
        <v>1501</v>
      </c>
      <c r="C64" s="24">
        <f ca="1">ROUND(C57*F64,1)</f>
        <v>10.199999999999999</v>
      </c>
      <c r="D64" s="1182" t="s">
        <v>1502</v>
      </c>
      <c r="E64" s="1168" t="s">
        <v>1494</v>
      </c>
      <c r="F64" s="374">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200" t="s">
        <v>1503</v>
      </c>
      <c r="B65" s="1168" t="s">
        <v>1453</v>
      </c>
      <c r="C65" s="24">
        <f ca="1">ROUND(C56*F65,1)</f>
        <v>0.9</v>
      </c>
      <c r="D65" s="1182" t="s">
        <v>1454</v>
      </c>
      <c r="E65" s="1168" t="s">
        <v>1455</v>
      </c>
      <c r="F65" s="376">
        <f t="shared" ca="1" si="0"/>
        <v>1.5E-3</v>
      </c>
      <c r="I65" s="1927" t="s">
        <v>1579</v>
      </c>
      <c r="J65" s="1928">
        <v>40</v>
      </c>
      <c r="K65" s="1928">
        <v>30</v>
      </c>
      <c r="L65" s="1928">
        <v>50</v>
      </c>
      <c r="M65" s="1930">
        <v>0.02</v>
      </c>
      <c r="O65" s="1882" t="s">
        <v>1040</v>
      </c>
      <c r="P65" s="1883" t="s">
        <v>1580</v>
      </c>
      <c r="Q65" s="1884">
        <f ca="1">C40+J29</f>
        <v>4411</v>
      </c>
      <c r="R65" s="1884" t="s">
        <v>1529</v>
      </c>
    </row>
    <row r="66" spans="1:18" s="1840" customFormat="1" ht="16.5" thickBot="1">
      <c r="A66" s="1200" t="s">
        <v>1504</v>
      </c>
      <c r="B66" s="1168" t="s">
        <v>1439</v>
      </c>
      <c r="C66" s="24">
        <f ca="1">ROUND(C48*F66,1)</f>
        <v>2.8</v>
      </c>
      <c r="D66" s="1182" t="s">
        <v>1505</v>
      </c>
      <c r="E66" s="1168" t="s">
        <v>1422</v>
      </c>
      <c r="F66" s="357">
        <f t="shared" ca="1" si="0"/>
        <v>0.01</v>
      </c>
      <c r="O66" s="1882" t="s">
        <v>1041</v>
      </c>
      <c r="P66" s="1883" t="s">
        <v>1558</v>
      </c>
      <c r="Q66" s="1884">
        <f ca="1">L60</f>
        <v>0</v>
      </c>
      <c r="R66" s="1884" t="s">
        <v>1581</v>
      </c>
    </row>
    <row r="67" spans="1:18" s="1840" customFormat="1" ht="16.5" thickBot="1">
      <c r="A67" s="1175" t="s">
        <v>1031</v>
      </c>
      <c r="B67" s="1185" t="s">
        <v>1463</v>
      </c>
      <c r="C67" s="361">
        <f ca="1">C48-C58</f>
        <v>249</v>
      </c>
      <c r="D67" s="1181" t="s">
        <v>1464</v>
      </c>
      <c r="E67" s="1186"/>
      <c r="F67" s="1187"/>
      <c r="O67" s="1892" t="s">
        <v>1042</v>
      </c>
      <c r="P67" s="1883" t="s">
        <v>1562</v>
      </c>
      <c r="Q67" s="1931">
        <f ca="1">L51</f>
        <v>986</v>
      </c>
      <c r="R67" s="1884" t="s">
        <v>1582</v>
      </c>
    </row>
    <row r="68" spans="1:18" s="1840" customFormat="1" ht="16.5" thickBot="1">
      <c r="A68" s="1165" t="s">
        <v>1032</v>
      </c>
      <c r="B68" s="1166" t="s">
        <v>1485</v>
      </c>
      <c r="C68" s="346">
        <f ca="1">ROUND(C67*(1-((1+F70)/(1+F68))^F69)/(F68-F70),0)</f>
        <v>674</v>
      </c>
      <c r="D68" s="1183" t="s">
        <v>1469</v>
      </c>
      <c r="E68" s="1168" t="s">
        <v>1470</v>
      </c>
      <c r="F68" s="357">
        <f ca="1">F40</f>
        <v>0.06</v>
      </c>
      <c r="O68" s="1892" t="s">
        <v>1043</v>
      </c>
      <c r="P68" s="1932" t="s">
        <v>1583</v>
      </c>
      <c r="Q68" s="1884">
        <f ca="1">ROUND(Q69-Q70*Q71,0)</f>
        <v>61</v>
      </c>
      <c r="R68" s="1884" t="s">
        <v>1051</v>
      </c>
    </row>
    <row r="69" spans="1:18" s="1840" customFormat="1" ht="13.5" thickBot="1">
      <c r="A69" s="1169"/>
      <c r="B69" s="1170"/>
      <c r="C69" s="351"/>
      <c r="D69" s="1188" t="s">
        <v>1473</v>
      </c>
      <c r="E69" s="1168" t="s">
        <v>1474</v>
      </c>
      <c r="F69" s="379">
        <f ca="1">F41</f>
        <v>2.95</v>
      </c>
      <c r="O69" s="1892" t="s">
        <v>1048</v>
      </c>
      <c r="P69" s="1932" t="s">
        <v>1584</v>
      </c>
      <c r="Q69" s="1884">
        <f ca="1">C39</f>
        <v>111</v>
      </c>
      <c r="R69" s="1884" t="s">
        <v>1529</v>
      </c>
    </row>
    <row r="70" spans="1:18" s="1840" customFormat="1" ht="13.5" thickBot="1">
      <c r="A70" s="1172"/>
      <c r="B70" s="1173"/>
      <c r="C70" s="355"/>
      <c r="D70" s="1184"/>
      <c r="E70" s="1168" t="s">
        <v>1477</v>
      </c>
      <c r="F70" s="1274">
        <f>'数据-取费表'!AA6</f>
        <v>0.03</v>
      </c>
      <c r="O70" s="1892" t="s">
        <v>1049</v>
      </c>
      <c r="P70" s="1932" t="s">
        <v>1585</v>
      </c>
      <c r="Q70" s="1884">
        <f ca="1">C13</f>
        <v>593</v>
      </c>
      <c r="R70" s="1884" t="s">
        <v>1529</v>
      </c>
    </row>
    <row r="71" spans="1:18" s="1840" customFormat="1" ht="13.5" thickBot="1">
      <c r="A71" s="1189" t="s">
        <v>1033</v>
      </c>
      <c r="B71" s="1190" t="s">
        <v>1487</v>
      </c>
      <c r="C71" s="382">
        <f ca="1">ROUND(C68*10000/F71,0)</f>
        <v>4524</v>
      </c>
      <c r="D71" s="1191" t="s">
        <v>1488</v>
      </c>
      <c r="E71" s="1192" t="s">
        <v>1489</v>
      </c>
      <c r="F71" s="385">
        <f ca="1">F43</f>
        <v>1489.8899999999999</v>
      </c>
      <c r="O71" s="1892" t="s">
        <v>1050</v>
      </c>
      <c r="P71" s="1932" t="s">
        <v>1586</v>
      </c>
      <c r="Q71" s="1895">
        <f ca="1">C76</f>
        <v>8.5000000000000006E-2</v>
      </c>
      <c r="R71" s="1884"/>
    </row>
    <row r="72" spans="1:18" s="1840" customFormat="1" ht="13.5" thickBot="1">
      <c r="B72" s="795"/>
      <c r="C72" s="795"/>
      <c r="O72" s="1892" t="s">
        <v>1044</v>
      </c>
      <c r="P72" s="1883" t="s">
        <v>1564</v>
      </c>
      <c r="Q72" s="1895">
        <f>L52</f>
        <v>0</v>
      </c>
      <c r="R72" s="1884"/>
    </row>
    <row r="73" spans="1:18" ht="16.5" thickBot="1">
      <c r="A73" s="1840"/>
      <c r="B73" s="795"/>
      <c r="C73" s="795"/>
      <c r="D73" s="1840"/>
      <c r="E73" s="1840"/>
      <c r="F73" s="1840"/>
      <c r="O73" s="1892" t="s">
        <v>1045</v>
      </c>
      <c r="P73" s="1883" t="s">
        <v>1567</v>
      </c>
      <c r="Q73" s="1884" t="e">
        <f ca="1">L58</f>
        <v>#DIV/0!</v>
      </c>
      <c r="R73" s="1884" t="s">
        <v>1568</v>
      </c>
    </row>
    <row r="74" spans="1:18" ht="13.5" thickBot="1">
      <c r="A74" s="1840"/>
      <c r="B74" s="317" t="s">
        <v>1587</v>
      </c>
      <c r="C74" s="1934"/>
      <c r="D74" s="1840"/>
      <c r="E74" s="1840"/>
      <c r="F74" s="1840"/>
      <c r="O74" s="1892" t="s">
        <v>1052</v>
      </c>
      <c r="P74" s="1883" t="str">
        <f>K59</f>
        <v>建筑物剩余耐用年限下的土地年期修正系数Kn</v>
      </c>
      <c r="Q74" s="1884" t="e">
        <f ca="1">L59</f>
        <v>#DIV/0!</v>
      </c>
      <c r="R74" s="1884" t="s">
        <v>1569</v>
      </c>
    </row>
    <row r="75" spans="1:18" ht="13.5" thickBot="1">
      <c r="A75" s="1840"/>
      <c r="B75" s="386" t="s">
        <v>1506</v>
      </c>
      <c r="C75" s="387">
        <f ca="1">ROUND(C13*C76,0)</f>
        <v>50</v>
      </c>
      <c r="D75" s="1840"/>
      <c r="E75" s="1840"/>
      <c r="F75" s="1840"/>
      <c r="K75" s="1866"/>
      <c r="L75" s="1840"/>
      <c r="O75" s="1882" t="s">
        <v>1046</v>
      </c>
      <c r="P75" s="1883" t="s">
        <v>1549</v>
      </c>
      <c r="Q75" s="1884">
        <f ca="1">Q65+Q66</f>
        <v>4411</v>
      </c>
      <c r="R75" s="1884" t="s">
        <v>1047</v>
      </c>
    </row>
    <row r="76" spans="1:18">
      <c r="B76" s="388" t="s">
        <v>1507</v>
      </c>
      <c r="C76" s="389">
        <f ca="1">INDIRECT("'数据-取费表'!j"&amp;$G$1)</f>
        <v>8.5000000000000006E-2</v>
      </c>
      <c r="I76" s="1840"/>
      <c r="J76" s="1840"/>
      <c r="K76" s="1866"/>
      <c r="L76" s="1840"/>
    </row>
    <row r="77" spans="1:18">
      <c r="B77" s="390" t="s">
        <v>1508</v>
      </c>
      <c r="C77" s="391"/>
      <c r="I77" s="1840"/>
      <c r="J77" s="1840"/>
      <c r="K77" s="1866"/>
      <c r="L77" s="1840"/>
    </row>
    <row r="78" spans="1:18">
      <c r="B78" s="314" t="s">
        <v>1509</v>
      </c>
      <c r="C78" s="392"/>
    </row>
    <row r="79" spans="1:18">
      <c r="B79" s="386" t="s">
        <v>1510</v>
      </c>
      <c r="C79" s="318">
        <f ca="1">1-C80</f>
        <v>0.55000000000000004</v>
      </c>
    </row>
    <row r="80" spans="1:18">
      <c r="B80" s="386" t="s">
        <v>1511</v>
      </c>
      <c r="C80" s="318">
        <f ca="1">ROUND(C75/C39,3)</f>
        <v>0.45</v>
      </c>
    </row>
    <row r="81" spans="2:3">
      <c r="B81" s="314" t="s">
        <v>1512</v>
      </c>
      <c r="C81" s="282"/>
    </row>
    <row r="82" spans="2:3">
      <c r="B82" s="317" t="s">
        <v>1513</v>
      </c>
      <c r="C82" s="319">
        <f ca="1">1-C83</f>
        <v>-1.0310000000000001</v>
      </c>
    </row>
    <row r="83" spans="2:3">
      <c r="B83" s="317" t="s">
        <v>1514</v>
      </c>
      <c r="C83" s="318">
        <f ca="1">ROUND(C13/C40,3)</f>
        <v>2.0310000000000001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25" priority="56">
      <formula>$L$48&gt;$J$51</formula>
    </cfRule>
  </conditionalFormatting>
  <conditionalFormatting sqref="I55 I60">
    <cfRule type="expression" dxfId="24" priority="57">
      <formula>$J$51&gt;$L$48</formula>
    </cfRule>
  </conditionalFormatting>
  <conditionalFormatting sqref="C11">
    <cfRule type="expression" dxfId="23" priority="3">
      <formula>$F$10="自定义"</formula>
    </cfRule>
  </conditionalFormatting>
  <conditionalFormatting sqref="J11">
    <cfRule type="expression" dxfId="22" priority="2">
      <formula>$M$10="自定义"</formula>
    </cfRule>
  </conditionalFormatting>
  <conditionalFormatting sqref="C54">
    <cfRule type="expression" dxfId="2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1621</v>
      </c>
      <c r="B1" s="1957"/>
      <c r="C1" s="1957"/>
      <c r="D1" s="1957"/>
      <c r="E1" s="1957"/>
    </row>
    <row r="2" spans="1:5" ht="78" customHeight="1">
      <c r="A2" s="302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21"/>
      <c r="C2" s="3021"/>
      <c r="D2" s="3021"/>
      <c r="E2" s="3021"/>
    </row>
    <row r="3" spans="1:5" ht="18">
      <c r="A3" s="3022" t="str">
        <f>IF(项目基本情况!B9="房地产市场价值","估价结果一览表（市场价值不需“结果表-1”）","估价结果一览表")</f>
        <v>估价结果一览表</v>
      </c>
      <c r="B3" s="3022"/>
      <c r="C3" s="3022"/>
      <c r="D3" s="3022"/>
      <c r="E3" s="3022"/>
    </row>
    <row r="4" spans="1:5" ht="19.5" thickBot="1">
      <c r="A4" s="1959"/>
      <c r="B4" s="3020" t="s">
        <v>1630</v>
      </c>
      <c r="C4" s="3020"/>
      <c r="D4" s="3020"/>
      <c r="E4" s="1959"/>
    </row>
    <row r="5" spans="1:5" ht="16.5" thickTop="1">
      <c r="A5" s="1957"/>
      <c r="B5" s="3018" t="s">
        <v>1622</v>
      </c>
      <c r="C5" s="1960" t="s">
        <v>1623</v>
      </c>
      <c r="D5" s="1041">
        <f ca="1">结果表!H101</f>
        <v>16817</v>
      </c>
      <c r="E5" s="1957"/>
    </row>
    <row r="6" spans="1:5" ht="15.75">
      <c r="A6" s="1957"/>
      <c r="B6" s="3018"/>
      <c r="C6" s="1960" t="s">
        <v>1624</v>
      </c>
      <c r="D6" s="1041" t="str">
        <f ca="1">NUMBERSTRING(INT(D5*10000),2)&amp;"元整"</f>
        <v>壹亿陆仟捌佰壹拾柒万元整</v>
      </c>
      <c r="E6" s="1957"/>
    </row>
    <row r="7" spans="1:5" ht="15.75">
      <c r="A7" s="1957"/>
      <c r="B7" s="3023"/>
      <c r="C7" s="1961" t="s">
        <v>1625</v>
      </c>
      <c r="D7" s="1042">
        <f ca="1">结果表!H102</f>
        <v>40392</v>
      </c>
      <c r="E7" s="1957"/>
    </row>
    <row r="8" spans="1:5" ht="15.75">
      <c r="A8" s="1957"/>
      <c r="B8" s="3024" t="str">
        <f>结果表!E103</f>
        <v>2.估价师知悉的法定优先受偿款</v>
      </c>
      <c r="C8" s="1962" t="s">
        <v>1626</v>
      </c>
      <c r="D8" s="1042">
        <f>结果表!H103</f>
        <v>0</v>
      </c>
      <c r="E8" s="1957"/>
    </row>
    <row r="9" spans="1:5" ht="15.75">
      <c r="A9" s="1957"/>
      <c r="B9" s="3026"/>
      <c r="C9" s="1960" t="s">
        <v>1624</v>
      </c>
      <c r="D9" s="1041" t="str">
        <f>NUMBERSTRING(INT(D8*10000),2)&amp;"元整"</f>
        <v>零元整</v>
      </c>
      <c r="E9" s="1957"/>
    </row>
    <row r="10" spans="1:5" ht="15">
      <c r="A10" s="1957"/>
      <c r="B10" s="1963" t="s">
        <v>1629</v>
      </c>
      <c r="C10" s="1964" t="s">
        <v>1627</v>
      </c>
      <c r="D10" s="1043">
        <f>结果表!H104</f>
        <v>0</v>
      </c>
      <c r="E10" s="1957"/>
    </row>
    <row r="11" spans="1:5" ht="15">
      <c r="A11" s="1957"/>
      <c r="B11" s="1963" t="s">
        <v>1631</v>
      </c>
      <c r="C11" s="1964" t="s">
        <v>1632</v>
      </c>
      <c r="D11" s="1043">
        <f>结果表!H105</f>
        <v>0</v>
      </c>
      <c r="E11" s="1957"/>
    </row>
    <row r="12" spans="1:5" ht="15">
      <c r="A12" s="1957"/>
      <c r="B12" s="1963" t="s">
        <v>1633</v>
      </c>
      <c r="C12" s="1964" t="s">
        <v>1632</v>
      </c>
      <c r="D12" s="1043">
        <f>结果表!H106</f>
        <v>0</v>
      </c>
      <c r="E12" s="1957"/>
    </row>
    <row r="13" spans="1:5" ht="15.75">
      <c r="A13" s="1957"/>
      <c r="B13" s="3017" t="str">
        <f>结果表!E107</f>
        <v>3.房地产抵押价值</v>
      </c>
      <c r="C13" s="1965" t="s">
        <v>1623</v>
      </c>
      <c r="D13" s="1044">
        <f ca="1">结果表!H107</f>
        <v>16817</v>
      </c>
      <c r="E13" s="1957"/>
    </row>
    <row r="14" spans="1:5" ht="15.75">
      <c r="A14" s="1957"/>
      <c r="B14" s="3018"/>
      <c r="C14" s="1960" t="s">
        <v>1624</v>
      </c>
      <c r="D14" s="1041" t="str">
        <f ca="1">NUMBERSTRING(INT(D13*10000),2)&amp;"元整"</f>
        <v>壹亿陆仟捌佰壹拾柒万元整</v>
      </c>
      <c r="E14" s="1957"/>
    </row>
    <row r="15" spans="1:5" ht="15">
      <c r="A15" s="1957"/>
      <c r="B15" s="3023"/>
      <c r="C15" s="1961" t="s">
        <v>1634</v>
      </c>
      <c r="D15" s="1052">
        <f ca="1">结果表!H108</f>
        <v>40392</v>
      </c>
      <c r="E15" s="1957"/>
    </row>
    <row r="16" spans="1:5" ht="15">
      <c r="A16" s="1957"/>
      <c r="B16" s="3024" t="str">
        <f>结果表!E109</f>
        <v>——</v>
      </c>
      <c r="C16" s="1965" t="s">
        <v>1635</v>
      </c>
      <c r="D16" s="1966" t="str">
        <f>结果表!H109</f>
        <v>——</v>
      </c>
      <c r="E16" s="1957"/>
    </row>
    <row r="17" spans="1:5" ht="15.75">
      <c r="A17" s="1957"/>
      <c r="B17" s="3025"/>
      <c r="C17" s="1960" t="s">
        <v>1636</v>
      </c>
      <c r="D17" s="1041" t="e">
        <f>NUMBERSTRING(INT(D16*10000),2)&amp;"元整"</f>
        <v>#VALUE!</v>
      </c>
      <c r="E17" s="1957"/>
    </row>
    <row r="18" spans="1:5" ht="15">
      <c r="A18" s="1957"/>
      <c r="B18" s="3026"/>
      <c r="C18" s="1961" t="s">
        <v>1625</v>
      </c>
      <c r="D18" s="1052" t="str">
        <f>结果表!H110</f>
        <v>——</v>
      </c>
      <c r="E18" s="1957"/>
    </row>
    <row r="19" spans="1:5" ht="15.75">
      <c r="A19" s="1957"/>
      <c r="B19" s="3017" t="str">
        <f>结果表!E111</f>
        <v>——</v>
      </c>
      <c r="C19" s="1965" t="s">
        <v>1623</v>
      </c>
      <c r="D19" s="1042" t="str">
        <f>结果表!H111</f>
        <v>——</v>
      </c>
      <c r="E19" s="1957"/>
    </row>
    <row r="20" spans="1:5" ht="15.75">
      <c r="A20" s="1957"/>
      <c r="B20" s="3018"/>
      <c r="C20" s="1960" t="s">
        <v>1636</v>
      </c>
      <c r="D20" s="1041" t="e">
        <f>NUMBERSTRING(INT(D19*10000),2)&amp;"元整"</f>
        <v>#VALUE!</v>
      </c>
      <c r="E20" s="1957"/>
    </row>
    <row r="21" spans="1:5" ht="15.75" thickBot="1">
      <c r="A21" s="1957"/>
      <c r="B21" s="3019"/>
      <c r="C21" s="1967" t="s">
        <v>1634</v>
      </c>
      <c r="D21" s="1053" t="str">
        <f>结果表!H112</f>
        <v>——</v>
      </c>
      <c r="E21" s="1957"/>
    </row>
    <row r="22" spans="1:5" ht="15" thickTop="1">
      <c r="A22" s="1957"/>
      <c r="B22" s="1968" t="s">
        <v>1637</v>
      </c>
      <c r="C22" s="1957"/>
      <c r="D22" s="1957"/>
      <c r="E22" s="1957"/>
    </row>
    <row r="23" spans="1:5">
      <c r="A23" s="1957"/>
      <c r="B23" s="1957"/>
      <c r="C23" s="1957"/>
      <c r="D23" s="1957"/>
      <c r="E23" s="1957"/>
    </row>
    <row r="24" spans="1:5" ht="18.75">
      <c r="A24" s="1969"/>
      <c r="B24" s="1970" t="s">
        <v>1628</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31" zoomScale="90" zoomScaleNormal="90" zoomScaleSheetLayoutView="90" workbookViewId="0">
      <selection activeCell="K58" sqref="K5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1589</v>
      </c>
      <c r="B1" s="781"/>
      <c r="C1" s="1835" t="s">
        <v>3181</v>
      </c>
      <c r="D1" s="1818" t="s">
        <v>70</v>
      </c>
      <c r="E1" s="1819" t="s">
        <v>1387</v>
      </c>
      <c r="F1" s="1282">
        <f ca="1">J53</f>
        <v>29.96</v>
      </c>
      <c r="G1" s="1834">
        <f>MATCH(C1,'数据-取费表'!A6:A16,0)+5</f>
        <v>7</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1515</v>
      </c>
      <c r="B2" s="1842">
        <f ca="1">C40+J29+L46</f>
        <v>9109</v>
      </c>
      <c r="C2" s="1843" t="s">
        <v>1516</v>
      </c>
      <c r="D2" s="1843"/>
      <c r="E2" s="1844"/>
      <c r="F2" s="1845"/>
      <c r="G2" s="1846"/>
      <c r="H2" s="1838"/>
      <c r="I2" s="1838"/>
      <c r="J2" s="1838"/>
      <c r="K2" s="1839"/>
      <c r="L2" s="1838"/>
      <c r="M2" s="1838"/>
    </row>
    <row r="3" spans="1:37" ht="18" customHeight="1" thickBot="1">
      <c r="A3" s="1847" t="s">
        <v>1517</v>
      </c>
      <c r="B3" s="1848">
        <f ca="1">IF(ISERROR(B2*10000/F43),0,ROUND(B2*10000/F43,0))</f>
        <v>34070</v>
      </c>
      <c r="C3" s="1843" t="s">
        <v>1518</v>
      </c>
      <c r="D3" s="1843"/>
      <c r="E3" s="1844"/>
      <c r="F3" s="1845"/>
      <c r="G3" s="1846"/>
      <c r="H3" s="743" t="s">
        <v>1588</v>
      </c>
      <c r="I3" s="1838"/>
      <c r="J3" s="1838"/>
      <c r="K3" s="1839"/>
      <c r="L3" s="1838"/>
      <c r="M3" s="1838"/>
    </row>
    <row r="4" spans="1:37" ht="18" customHeight="1">
      <c r="A4" s="340" t="s">
        <v>1396</v>
      </c>
      <c r="B4" s="341" t="s">
        <v>1397</v>
      </c>
      <c r="C4" s="341" t="s">
        <v>1398</v>
      </c>
      <c r="D4" s="341" t="s">
        <v>1399</v>
      </c>
      <c r="E4" s="342" t="s">
        <v>1400</v>
      </c>
      <c r="F4" s="343"/>
      <c r="G4" s="1849"/>
      <c r="H4" s="340" t="s">
        <v>1396</v>
      </c>
      <c r="I4" s="341" t="s">
        <v>1397</v>
      </c>
      <c r="J4" s="341" t="s">
        <v>1398</v>
      </c>
      <c r="K4" s="341" t="s">
        <v>1399</v>
      </c>
      <c r="L4" s="342" t="s">
        <v>1400</v>
      </c>
      <c r="M4" s="343"/>
    </row>
    <row r="5" spans="1:37" ht="18" customHeight="1">
      <c r="A5" s="344">
        <v>1</v>
      </c>
      <c r="B5" s="345" t="s">
        <v>1401</v>
      </c>
      <c r="C5" s="1291">
        <f ca="1">C6+C10+C12</f>
        <v>537</v>
      </c>
      <c r="D5" s="1820" t="s">
        <v>1402</v>
      </c>
      <c r="E5" s="1292"/>
      <c r="F5" s="1293"/>
      <c r="G5" s="1849"/>
      <c r="H5" s="344">
        <v>1</v>
      </c>
      <c r="I5" s="345" t="s">
        <v>1401</v>
      </c>
      <c r="J5" s="1291">
        <f ca="1">J6+J10+J12</f>
        <v>0</v>
      </c>
      <c r="K5" s="1820" t="s">
        <v>1402</v>
      </c>
      <c r="L5" s="1292"/>
      <c r="M5" s="1293"/>
    </row>
    <row r="6" spans="1:37" ht="18" customHeight="1">
      <c r="A6" s="1290" t="s">
        <v>1035</v>
      </c>
      <c r="B6" s="3255" t="s">
        <v>1403</v>
      </c>
      <c r="C6" s="1295">
        <f ca="1">ROUND(F6*F8*F7*(1-F9)/10000,0)</f>
        <v>536</v>
      </c>
      <c r="D6" s="164" t="s">
        <v>3017</v>
      </c>
      <c r="E6" s="347" t="s">
        <v>1405</v>
      </c>
      <c r="F6" s="348">
        <f ca="1">INDIRECT("'数据-取费表'!u"&amp;$G$1)</f>
        <v>6.1</v>
      </c>
      <c r="G6" s="1849"/>
      <c r="H6" s="1290" t="s">
        <v>1035</v>
      </c>
      <c r="I6" s="3255" t="s">
        <v>1403</v>
      </c>
      <c r="J6" s="346">
        <f ca="1">ROUND(M6*M8*M7*(1-M9)/10000,0)</f>
        <v>0</v>
      </c>
      <c r="K6" s="164" t="s">
        <v>3016</v>
      </c>
      <c r="L6" s="347" t="s">
        <v>1405</v>
      </c>
      <c r="M6" s="348">
        <f ca="1">INDIRECT("'数据-取费表'!z"&amp;$G$1)</f>
        <v>0</v>
      </c>
    </row>
    <row r="7" spans="1:37" ht="18" customHeight="1">
      <c r="A7" s="1294"/>
      <c r="B7" s="3256"/>
      <c r="C7" s="1296"/>
      <c r="D7" s="352"/>
      <c r="E7" s="2986" t="s">
        <v>1406</v>
      </c>
      <c r="F7" s="348">
        <f ca="1">IF(INDIRECT("'数据-取费表'!ah"&amp;$G$1)="",INDIRECT("'数据-取费表'!k"&amp;$G$1),INDIRECT("'数据-取费表'!ah"&amp;$G$1))</f>
        <v>2673.5800000000004</v>
      </c>
      <c r="G7" s="1849"/>
      <c r="H7" s="349"/>
      <c r="I7" s="3256"/>
      <c r="J7" s="351"/>
      <c r="K7" s="352"/>
      <c r="L7" s="347" t="s">
        <v>1406</v>
      </c>
      <c r="M7" s="348">
        <f ca="1">F7</f>
        <v>2673.5800000000004</v>
      </c>
    </row>
    <row r="8" spans="1:37" ht="18" customHeight="1">
      <c r="A8" s="349"/>
      <c r="B8" s="3256"/>
      <c r="C8" s="351"/>
      <c r="D8" s="352"/>
      <c r="E8" s="347" t="s">
        <v>1407</v>
      </c>
      <c r="F8" s="348">
        <f ca="1">INDIRECT("'数据-取费表'!ai"&amp;$G$1)</f>
        <v>365</v>
      </c>
      <c r="G8" s="1849"/>
      <c r="H8" s="349"/>
      <c r="I8" s="3256"/>
      <c r="J8" s="351"/>
      <c r="K8" s="352"/>
      <c r="L8" s="347" t="s">
        <v>1407</v>
      </c>
      <c r="M8" s="348">
        <f ca="1">INDIRECT("'数据-取费表'!ai"&amp;$G$1)</f>
        <v>365</v>
      </c>
    </row>
    <row r="9" spans="1:37" ht="18" customHeight="1">
      <c r="A9" s="349"/>
      <c r="B9" s="3257"/>
      <c r="C9" s="351"/>
      <c r="D9" s="352"/>
      <c r="E9" s="347" t="s">
        <v>1408</v>
      </c>
      <c r="F9" s="357">
        <f ca="1">INDIRECT("'数据-取费表'!w"&amp;$G$1)</f>
        <v>0.1</v>
      </c>
      <c r="G9" s="1849"/>
      <c r="H9" s="349"/>
      <c r="I9" s="3257"/>
      <c r="J9" s="351"/>
      <c r="K9" s="352"/>
      <c r="L9" s="358" t="s">
        <v>1408</v>
      </c>
      <c r="M9" s="359">
        <f ca="1">INDIRECT("'数据-取费表'!ab"&amp;$G$1)</f>
        <v>0</v>
      </c>
    </row>
    <row r="10" spans="1:37" ht="18" customHeight="1">
      <c r="A10" s="1290" t="s">
        <v>1039</v>
      </c>
      <c r="B10" s="1821" t="s">
        <v>1409</v>
      </c>
      <c r="C10" s="361">
        <f ca="1">ROUND(IF(F10="押一",F6*F8*F7/12*F11,IF(F10="押二",F6*F8*F7/12*2*F11,IF(F10="押三",F6*F8*F7/12*3*F11,C11*F11)))/10000,0)</f>
        <v>1</v>
      </c>
      <c r="D10" s="1822" t="s">
        <v>3013</v>
      </c>
      <c r="E10" s="358" t="s">
        <v>1411</v>
      </c>
      <c r="F10" s="1365" t="s">
        <v>3105</v>
      </c>
      <c r="G10" s="1849"/>
      <c r="H10" s="1290" t="s">
        <v>1039</v>
      </c>
      <c r="I10" s="1821" t="s">
        <v>1409</v>
      </c>
      <c r="J10" s="346">
        <f ca="1">ROUND(IF(M10="押一",M6*M8*M7/12*M11,IF(M10="押二",M6*M8*M7/12*2*M11,IF(M10="押三",M6*M8*M7/12*3*M11,J11*M11)))/10000,0)</f>
        <v>0</v>
      </c>
      <c r="K10" s="1822" t="s">
        <v>3013</v>
      </c>
      <c r="L10" s="358" t="s">
        <v>1411</v>
      </c>
      <c r="M10" s="1365" t="s">
        <v>3105</v>
      </c>
    </row>
    <row r="11" spans="1:37" ht="18" customHeight="1">
      <c r="A11" s="353"/>
      <c r="B11" s="1823" t="s">
        <v>1388</v>
      </c>
      <c r="C11" s="1177"/>
      <c r="D11" s="1824"/>
      <c r="E11" s="358" t="s">
        <v>1412</v>
      </c>
      <c r="F11" s="359">
        <f ca="1">'数据-取费表'!B39</f>
        <v>1.4999999999999999E-2</v>
      </c>
      <c r="G11" s="1849"/>
      <c r="H11" s="1298"/>
      <c r="I11" s="1823" t="s">
        <v>1388</v>
      </c>
      <c r="J11" s="1177"/>
      <c r="K11" s="747"/>
      <c r="L11" s="358" t="s">
        <v>1412</v>
      </c>
      <c r="M11" s="1056">
        <f ca="1">'数据-取费表'!B39</f>
        <v>1.4999999999999999E-2</v>
      </c>
    </row>
    <row r="12" spans="1:37" ht="18" customHeight="1" thickBot="1">
      <c r="A12" s="1332" t="s">
        <v>1075</v>
      </c>
      <c r="B12" s="1825" t="s">
        <v>1413</v>
      </c>
      <c r="C12" s="1333"/>
      <c r="D12" s="1334"/>
      <c r="E12" s="1339"/>
      <c r="F12" s="1335"/>
      <c r="G12" s="1849"/>
      <c r="H12" s="1332" t="s">
        <v>1075</v>
      </c>
      <c r="I12" s="1825" t="s">
        <v>1413</v>
      </c>
      <c r="J12" s="1333"/>
      <c r="K12" s="1347"/>
      <c r="L12" s="1339"/>
      <c r="M12" s="1348"/>
    </row>
    <row r="13" spans="1:37" ht="18" customHeight="1" thickTop="1">
      <c r="A13" s="1328">
        <v>2</v>
      </c>
      <c r="B13" s="1329" t="s">
        <v>1414</v>
      </c>
      <c r="C13" s="355">
        <f ca="1">ROUND(C29*F13,0)</f>
        <v>1063</v>
      </c>
      <c r="D13" s="1330" t="s">
        <v>1415</v>
      </c>
      <c r="E13" s="1330" t="s">
        <v>1416</v>
      </c>
      <c r="F13" s="1331">
        <f ca="1">INDIRECT("'数据-取费表'!y"&amp;$G$1)</f>
        <v>0.87</v>
      </c>
      <c r="G13" s="1849"/>
      <c r="H13" s="1328">
        <v>2</v>
      </c>
      <c r="I13" s="1329" t="s">
        <v>1414</v>
      </c>
      <c r="J13" s="1289">
        <f ca="1">ROUND(J14*J15,0)</f>
        <v>0</v>
      </c>
      <c r="K13" s="1336" t="s">
        <v>1415</v>
      </c>
      <c r="L13" s="1850"/>
      <c r="M13" s="1851"/>
    </row>
    <row r="14" spans="1:37" ht="18" customHeight="1">
      <c r="A14" s="1200" t="s">
        <v>1034</v>
      </c>
      <c r="B14" s="347" t="s">
        <v>1417</v>
      </c>
      <c r="C14" s="363">
        <f ca="1">INDIRECT("'数据-取费表'!m"&amp;$G$1)+INDIRECT("'数据-取费表'!t"&amp;$G$1)</f>
        <v>802</v>
      </c>
      <c r="D14" s="2980" t="s">
        <v>1418</v>
      </c>
      <c r="E14" s="2978"/>
      <c r="F14" s="364"/>
      <c r="G14" s="1849"/>
      <c r="H14" s="1200" t="s">
        <v>1035</v>
      </c>
      <c r="I14" s="347" t="s">
        <v>1419</v>
      </c>
      <c r="J14" s="24">
        <f ca="1">C29</f>
        <v>1222</v>
      </c>
      <c r="K14" s="2985"/>
      <c r="L14" s="981"/>
      <c r="M14" s="982"/>
    </row>
    <row r="15" spans="1:37" s="1856" customFormat="1" ht="18" customHeight="1" thickBot="1">
      <c r="A15" s="1200" t="s">
        <v>1036</v>
      </c>
      <c r="B15" s="347" t="s">
        <v>1420</v>
      </c>
      <c r="C15" s="24">
        <f ca="1">ROUND(C14*F15,0)</f>
        <v>40</v>
      </c>
      <c r="D15" s="365" t="s">
        <v>1421</v>
      </c>
      <c r="E15" s="365" t="s">
        <v>1422</v>
      </c>
      <c r="F15" s="366">
        <f>'数据-取费表'!B33</f>
        <v>0.05</v>
      </c>
      <c r="G15" s="1852"/>
      <c r="H15" s="1338" t="s">
        <v>1039</v>
      </c>
      <c r="I15" s="1339" t="s">
        <v>1416</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1389</v>
      </c>
      <c r="B16" s="347" t="s">
        <v>1423</v>
      </c>
      <c r="C16" s="24">
        <f ca="1">ROUND(INDIRECT("'数据-取费表'!m"&amp;$G$1)*F16,0)</f>
        <v>0</v>
      </c>
      <c r="D16" s="347" t="s">
        <v>1421</v>
      </c>
      <c r="E16" s="347" t="s">
        <v>1422</v>
      </c>
      <c r="F16" s="367">
        <f ca="1">IF(INDIRECT("'数据-取费表'!c"&amp;$G$1)="住宅",'数据-取费表'!B34,0)</f>
        <v>0</v>
      </c>
      <c r="G16" s="1849"/>
      <c r="H16" s="1328" t="s">
        <v>1030</v>
      </c>
      <c r="I16" s="1329" t="s">
        <v>1424</v>
      </c>
      <c r="J16" s="355">
        <f ca="1">ROUND(J17+J22+J23+J24,0)</f>
        <v>29</v>
      </c>
      <c r="K16" s="1336" t="s">
        <v>1425</v>
      </c>
      <c r="L16" s="2981"/>
      <c r="M16" s="1293"/>
    </row>
    <row r="17" spans="1:37" s="1856" customFormat="1" ht="18" customHeight="1">
      <c r="A17" s="1200" t="s">
        <v>1390</v>
      </c>
      <c r="B17" s="347" t="s">
        <v>1426</v>
      </c>
      <c r="C17" s="24">
        <f ca="1">ROUND(F17*(F43+INDIRECT("'数据-取费表'!S"&amp;$G$1))/10000,0)</f>
        <v>53</v>
      </c>
      <c r="D17" s="347" t="s">
        <v>1427</v>
      </c>
      <c r="E17" s="347" t="s">
        <v>1428</v>
      </c>
      <c r="F17" s="26">
        <f>'数据-取费表'!B35</f>
        <v>200</v>
      </c>
      <c r="G17" s="1852"/>
      <c r="H17" s="1200" t="s">
        <v>1035</v>
      </c>
      <c r="I17" s="347" t="s">
        <v>1429</v>
      </c>
      <c r="J17" s="24">
        <f ca="1">ROUND(IF(项目基本情况!B11="自然人",J5*M17,J18+J19+J20),1)</f>
        <v>10.6</v>
      </c>
      <c r="K17" s="2980" t="s">
        <v>1430</v>
      </c>
      <c r="L17" s="2979" t="s">
        <v>1431</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1391</v>
      </c>
      <c r="B18" s="347" t="s">
        <v>1432</v>
      </c>
      <c r="C18" s="24">
        <f ca="1">ROUND(C14*F18,0)</f>
        <v>12</v>
      </c>
      <c r="D18" s="347" t="s">
        <v>1421</v>
      </c>
      <c r="E18" s="347" t="s">
        <v>1422</v>
      </c>
      <c r="F18" s="367">
        <f>'数据-取费表'!B36</f>
        <v>1.4999999999999999E-2</v>
      </c>
      <c r="G18" s="1852"/>
      <c r="H18" s="1200" t="s">
        <v>1034</v>
      </c>
      <c r="I18" s="347" t="s">
        <v>1433</v>
      </c>
      <c r="J18" s="24">
        <f ca="1">ROUND(J5*M18/(1+'数据-取费表'!C42),2)</f>
        <v>0</v>
      </c>
      <c r="K18" s="2979" t="s">
        <v>1434</v>
      </c>
      <c r="L18" s="347" t="s">
        <v>1422</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1035</v>
      </c>
      <c r="B19" s="347" t="s">
        <v>1435</v>
      </c>
      <c r="C19" s="24">
        <f ca="1">SUM(C14:C18)</f>
        <v>907</v>
      </c>
      <c r="D19" s="140" t="s">
        <v>1436</v>
      </c>
      <c r="E19" s="2984"/>
      <c r="F19" s="26"/>
      <c r="G19" s="1849"/>
      <c r="H19" s="1200" t="s">
        <v>1036</v>
      </c>
      <c r="I19" s="347" t="s">
        <v>1437</v>
      </c>
      <c r="J19" s="24">
        <f ca="1">IF(K19="按租金收入计税",ROUND(J5*M19,2),ROUND(C29*M19*0.7,2))</f>
        <v>10.26</v>
      </c>
      <c r="K19" s="1826" t="s">
        <v>1438</v>
      </c>
      <c r="L19" s="347" t="s">
        <v>1422</v>
      </c>
      <c r="M19" s="367">
        <f>IF(K19="按租金收入计税",'数据-取费表'!B51,'数据-取费表'!B50)</f>
        <v>1.2E-2</v>
      </c>
    </row>
    <row r="20" spans="1:37" s="1856" customFormat="1" ht="18" customHeight="1">
      <c r="A20" s="1200" t="s">
        <v>1039</v>
      </c>
      <c r="B20" s="347" t="s">
        <v>1439</v>
      </c>
      <c r="C20" s="24">
        <f ca="1">ROUND(C19*F20,0)</f>
        <v>9</v>
      </c>
      <c r="D20" s="369" t="s">
        <v>1440</v>
      </c>
      <c r="E20" s="347" t="s">
        <v>1422</v>
      </c>
      <c r="F20" s="367">
        <f>'数据-取费表'!B37</f>
        <v>0.01</v>
      </c>
      <c r="G20" s="1852"/>
      <c r="H20" s="1200" t="s">
        <v>1389</v>
      </c>
      <c r="I20" s="164" t="s">
        <v>1441</v>
      </c>
      <c r="J20" s="25">
        <f ca="1">ROUND(M20*M21/10000,2)</f>
        <v>0.31</v>
      </c>
      <c r="K20" s="370" t="s">
        <v>1442</v>
      </c>
      <c r="L20" s="347" t="s">
        <v>1443</v>
      </c>
      <c r="M20" s="371">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1075</v>
      </c>
      <c r="B21" s="347" t="s">
        <v>1444</v>
      </c>
      <c r="C21" s="24" t="s">
        <v>18</v>
      </c>
      <c r="D21" s="369" t="s">
        <v>1445</v>
      </c>
      <c r="E21" s="347" t="s">
        <v>1446</v>
      </c>
      <c r="F21" s="367">
        <f>'数据-取费表'!B38</f>
        <v>0.01</v>
      </c>
      <c r="G21" s="1852"/>
      <c r="H21" s="372"/>
      <c r="I21" s="356"/>
      <c r="J21" s="29"/>
      <c r="K21" s="373"/>
      <c r="L21" s="347" t="s">
        <v>1447</v>
      </c>
      <c r="M21" s="348">
        <f ca="1">INDIRECT("'数据-取费表'!r"&amp;$G$1)</f>
        <v>1031.72</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1392</v>
      </c>
      <c r="B22" s="347" t="s">
        <v>1448</v>
      </c>
      <c r="C22" s="24"/>
      <c r="D22" s="140" t="str">
        <f>IF(F23&lt;=1,"单利计息。","复利计息。")&amp;"建造成本、管理费用、销售费用产生的利息。"</f>
        <v>复利计息。建造成本、管理费用、销售费用产生的利息。</v>
      </c>
      <c r="E22" s="2984"/>
      <c r="F22" s="26"/>
      <c r="G22" s="1849"/>
      <c r="H22" s="1200" t="s">
        <v>1039</v>
      </c>
      <c r="I22" s="347" t="s">
        <v>1449</v>
      </c>
      <c r="J22" s="24">
        <f ca="1">ROUND(J14*M22,1)</f>
        <v>18.3</v>
      </c>
      <c r="K22" s="2979" t="s">
        <v>1450</v>
      </c>
      <c r="L22" s="347" t="s">
        <v>1422</v>
      </c>
      <c r="M22" s="374">
        <f ca="1">INDIRECT("'数据-取费表'!Ak"&amp;$G$1)</f>
        <v>1.4999999999999999E-2</v>
      </c>
    </row>
    <row r="23" spans="1:37" s="1856" customFormat="1" ht="18" customHeight="1">
      <c r="A23" s="1200" t="s">
        <v>1034</v>
      </c>
      <c r="B23" s="347" t="s">
        <v>1451</v>
      </c>
      <c r="C23" s="24">
        <f ca="1">IF('数据-取费表'!B22&lt;=1,ROUND(C19*F24*F23/2,0)+ROUND(C20*F24*F23/2,0),ROUND(C19*(POWER((1+F24),F23/2)-1),0)+ROUND(C20*(POWER((1+F24),F23/2)-1),0))</f>
        <v>43</v>
      </c>
      <c r="D23" s="375" t="str">
        <f>IF(F23&lt;=1,"(建造成本+管理费用)×利率×(建设周期÷2)","(建造成本+管理费用)×((1+利率)^(建设周期÷2)-1)")</f>
        <v>(建造成本+管理费用)×((1+利率)^(建设周期÷2)-1)</v>
      </c>
      <c r="E23" s="347" t="s">
        <v>1452</v>
      </c>
      <c r="F23" s="371">
        <f>'数据-取费表'!B20</f>
        <v>2</v>
      </c>
      <c r="G23" s="1852"/>
      <c r="H23" s="1200" t="s">
        <v>1075</v>
      </c>
      <c r="I23" s="347" t="s">
        <v>1453</v>
      </c>
      <c r="J23" s="24">
        <f ca="1">ROUND(J13*M23,1)</f>
        <v>0</v>
      </c>
      <c r="K23" s="2979" t="s">
        <v>1454</v>
      </c>
      <c r="L23" s="347" t="s">
        <v>1455</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1456</v>
      </c>
      <c r="B24" s="347" t="s">
        <v>1457</v>
      </c>
      <c r="C24" s="24">
        <f ca="1">ROUND(IF('数据-取费表'!B22&lt;=1,F21*F24*F23/2,F21*(POWER((1+F24),F23/2)-1)),4)</f>
        <v>5.0000000000000001E-4</v>
      </c>
      <c r="D24" s="375" t="str">
        <f>IF(F23&lt;=1,"销售费用×利率×(建设周期÷2)","销售费用×((1+利率)^(建设周期÷2)-1)")</f>
        <v>销售费用×((1+利率)^(建设周期÷2)-1)</v>
      </c>
      <c r="E24" s="347" t="s">
        <v>1458</v>
      </c>
      <c r="F24" s="377">
        <f ca="1">'数据-取费表'!B40</f>
        <v>4.7500000000000001E-2</v>
      </c>
      <c r="G24" s="1852"/>
      <c r="H24" s="1338" t="s">
        <v>1393</v>
      </c>
      <c r="I24" s="1339" t="s">
        <v>1439</v>
      </c>
      <c r="J24" s="1340">
        <f ca="1">ROUND(J5*M24,1)</f>
        <v>0</v>
      </c>
      <c r="K24" s="1341" t="s">
        <v>1459</v>
      </c>
      <c r="L24" s="1339" t="s">
        <v>1455</v>
      </c>
      <c r="M24" s="1335">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0" t="s">
        <v>1460</v>
      </c>
      <c r="B25" s="347" t="s">
        <v>1461</v>
      </c>
      <c r="C25" s="24"/>
      <c r="D25" s="140" t="s">
        <v>1462</v>
      </c>
      <c r="E25" s="2984"/>
      <c r="F25" s="26"/>
      <c r="G25" s="1849"/>
      <c r="H25" s="1328" t="s">
        <v>1031</v>
      </c>
      <c r="I25" s="1343" t="s">
        <v>1463</v>
      </c>
      <c r="J25" s="355">
        <f ca="1">J5-J16</f>
        <v>-29</v>
      </c>
      <c r="K25" s="1344" t="s">
        <v>1464</v>
      </c>
      <c r="L25" s="1345"/>
      <c r="M25" s="1346"/>
    </row>
    <row r="26" spans="1:37">
      <c r="A26" s="1200" t="s">
        <v>1034</v>
      </c>
      <c r="B26" s="347" t="s">
        <v>1465</v>
      </c>
      <c r="C26" s="24">
        <f ca="1">ROUND((C19+C20)*F26,0)</f>
        <v>183</v>
      </c>
      <c r="D26" s="369" t="s">
        <v>1466</v>
      </c>
      <c r="E26" s="358" t="s">
        <v>1467</v>
      </c>
      <c r="F26" s="357">
        <f ca="1">INDIRECT("'数据-取费表'!q"&amp;$G$1)</f>
        <v>0.2</v>
      </c>
      <c r="G26" s="1849"/>
      <c r="H26" s="344" t="s">
        <v>1032</v>
      </c>
      <c r="I26" s="345" t="s">
        <v>1468</v>
      </c>
      <c r="J26" s="346">
        <f ca="1">IF(J5&lt;&gt;0,ROUND(J25*(1-((1+M28)/(1+M26))^M27)/(M26-M28),0),0)</f>
        <v>0</v>
      </c>
      <c r="K26" s="370" t="s">
        <v>1469</v>
      </c>
      <c r="L26" s="347" t="s">
        <v>1470</v>
      </c>
      <c r="M26" s="357">
        <f ca="1">INDIRECT("'数据-取费表'!I"&amp;$G$1)</f>
        <v>0.06</v>
      </c>
    </row>
    <row r="27" spans="1:37" ht="18" customHeight="1">
      <c r="A27" s="1200" t="s">
        <v>1036</v>
      </c>
      <c r="B27" s="347" t="s">
        <v>1471</v>
      </c>
      <c r="C27" s="24">
        <f ca="1">ROUND(F21*F26,4)</f>
        <v>2E-3</v>
      </c>
      <c r="D27" s="369" t="s">
        <v>1472</v>
      </c>
      <c r="E27" s="365"/>
      <c r="F27" s="366"/>
      <c r="G27" s="1849"/>
      <c r="H27" s="349"/>
      <c r="I27" s="350"/>
      <c r="J27" s="351"/>
      <c r="K27" s="378" t="s">
        <v>1473</v>
      </c>
      <c r="L27" s="347" t="s">
        <v>1474</v>
      </c>
      <c r="M27" s="379">
        <f ca="1">INDIRECT("'数据-取费表'!ag"&amp;$G$1)</f>
        <v>0</v>
      </c>
    </row>
    <row r="28" spans="1:37" s="1856" customFormat="1" ht="18" customHeight="1">
      <c r="A28" s="1200" t="s">
        <v>1037</v>
      </c>
      <c r="B28" s="347" t="s">
        <v>1475</v>
      </c>
      <c r="C28" s="24">
        <f>ROUND(F28/(1+'数据-取费表'!C42),4)</f>
        <v>5.33E-2</v>
      </c>
      <c r="D28" s="369" t="s">
        <v>1476</v>
      </c>
      <c r="E28" s="347" t="s">
        <v>1422</v>
      </c>
      <c r="F28" s="367">
        <f>'数据-取费表'!B41</f>
        <v>5.6000000000000001E-2</v>
      </c>
      <c r="G28" s="1852"/>
      <c r="H28" s="353"/>
      <c r="I28" s="354"/>
      <c r="J28" s="355"/>
      <c r="K28" s="373"/>
      <c r="L28" s="347" t="s">
        <v>1477</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1478</v>
      </c>
      <c r="C29" s="1340">
        <f ca="1">ROUND((C19+C20+C23+C26)/(1-F21-C24-C27-C28),0)</f>
        <v>1222</v>
      </c>
      <c r="D29" s="1341"/>
      <c r="E29" s="1339"/>
      <c r="F29" s="1342"/>
      <c r="G29" s="1852"/>
      <c r="H29" s="380" t="s">
        <v>1033</v>
      </c>
      <c r="I29" s="381" t="s">
        <v>1479</v>
      </c>
      <c r="J29" s="382">
        <f ca="1">ROUND(J26/(1+F40)^F41,0)</f>
        <v>0</v>
      </c>
      <c r="K29" s="383" t="s">
        <v>1480</v>
      </c>
      <c r="L29" s="384"/>
      <c r="M29" s="385">
        <f ca="1">INDIRECT("'数据-取费表'!k"&amp;$G$1)</f>
        <v>2673.5800000000004</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1424</v>
      </c>
      <c r="C30" s="355">
        <f ca="1">ROUND(C31+C36+C37+C38,0)</f>
        <v>65</v>
      </c>
      <c r="D30" s="1336" t="s">
        <v>1425</v>
      </c>
      <c r="E30" s="2981"/>
      <c r="F30" s="1293"/>
      <c r="G30" s="1849"/>
      <c r="H30" s="744"/>
      <c r="I30" s="745"/>
      <c r="J30" s="746"/>
      <c r="K30" s="747"/>
      <c r="L30" s="748"/>
      <c r="M30" s="749"/>
    </row>
    <row r="31" spans="1:37" ht="18" customHeight="1">
      <c r="A31" s="1200" t="s">
        <v>1035</v>
      </c>
      <c r="B31" s="347" t="s">
        <v>1429</v>
      </c>
      <c r="C31" s="24">
        <f ca="1">ROUND(IF(项目基本情况!B11="自然人",C5*F31,C32+C33+C34),1)</f>
        <v>39.200000000000003</v>
      </c>
      <c r="D31" s="2980" t="s">
        <v>1430</v>
      </c>
      <c r="E31" s="2979" t="s">
        <v>1481</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1034</v>
      </c>
      <c r="B32" s="347" t="s">
        <v>1433</v>
      </c>
      <c r="C32" s="24">
        <f ca="1">IF(项目基本情况!B11="自然人","——",ROUND(C5*F32/(1+'数据-取费表'!C42),2))</f>
        <v>28.64</v>
      </c>
      <c r="D32" s="2979" t="s">
        <v>1434</v>
      </c>
      <c r="E32" s="347" t="s">
        <v>1422</v>
      </c>
      <c r="F32" s="377">
        <f>'数据-取费表'!B41</f>
        <v>5.6000000000000001E-2</v>
      </c>
      <c r="G32" s="1849"/>
      <c r="H32" s="744"/>
      <c r="I32" s="745"/>
      <c r="J32" s="746"/>
      <c r="K32" s="747"/>
      <c r="L32" s="748"/>
      <c r="M32" s="749"/>
    </row>
    <row r="33" spans="1:18" ht="18" customHeight="1">
      <c r="A33" s="1200" t="s">
        <v>1036</v>
      </c>
      <c r="B33" s="347" t="s">
        <v>1437</v>
      </c>
      <c r="C33" s="24">
        <f ca="1">IF(项目基本情况!B11="自然人","——",IF(D33="按租金收入计税",ROUND(C5*F33,2),IF(D33="按房产原值计税",ROUND(C29*F33*0.7,2),INDIRECT("'数据-取费表'!Aj"&amp;$G$1))))</f>
        <v>10.26</v>
      </c>
      <c r="D33" s="1826" t="s">
        <v>1438</v>
      </c>
      <c r="E33" s="347" t="s">
        <v>1422</v>
      </c>
      <c r="F33" s="367">
        <f>IF(D33="按票据","——",IF(D33="按租金收入计税",'数据-取费表'!B51,'数据-取费表'!B50))</f>
        <v>1.2E-2</v>
      </c>
      <c r="G33" s="1849"/>
      <c r="H33" s="1857"/>
      <c r="I33" s="1858"/>
      <c r="J33" s="1859"/>
      <c r="K33" s="1860"/>
      <c r="L33" s="1857"/>
      <c r="M33" s="1857"/>
    </row>
    <row r="34" spans="1:18" ht="18" customHeight="1">
      <c r="A34" s="1290" t="s">
        <v>1389</v>
      </c>
      <c r="B34" s="164" t="s">
        <v>1441</v>
      </c>
      <c r="C34" s="25">
        <f ca="1">IF(项目基本情况!B11="自然人","——",ROUND(F34*F35/10000,2))</f>
        <v>0.31</v>
      </c>
      <c r="D34" s="370" t="s">
        <v>1442</v>
      </c>
      <c r="E34" s="347" t="s">
        <v>1443</v>
      </c>
      <c r="F34" s="371">
        <f>'数据-取费表'!B52</f>
        <v>3</v>
      </c>
      <c r="G34" s="1849"/>
      <c r="H34" s="744"/>
      <c r="I34" s="1858"/>
      <c r="J34" s="1859"/>
      <c r="K34" s="1861"/>
      <c r="L34" s="1862"/>
      <c r="M34" s="1862"/>
    </row>
    <row r="35" spans="1:18" ht="18" customHeight="1">
      <c r="A35" s="1352"/>
      <c r="B35" s="1350"/>
      <c r="C35" s="29"/>
      <c r="D35" s="373"/>
      <c r="E35" s="347" t="s">
        <v>1447</v>
      </c>
      <c r="F35" s="348">
        <f ca="1">INDIRECT("'数据-取费表'!r"&amp;$G$1)</f>
        <v>1031.72</v>
      </c>
      <c r="G35" s="1849"/>
      <c r="H35" s="744"/>
      <c r="I35" s="1858"/>
      <c r="J35" s="1859"/>
      <c r="K35" s="1860"/>
      <c r="L35" s="1857"/>
      <c r="M35" s="1857"/>
    </row>
    <row r="36" spans="1:18" ht="18" customHeight="1">
      <c r="A36" s="1351" t="s">
        <v>1039</v>
      </c>
      <c r="B36" s="347" t="s">
        <v>1449</v>
      </c>
      <c r="C36" s="24">
        <f ca="1">ROUND(C29*F36,1)</f>
        <v>18.3</v>
      </c>
      <c r="D36" s="2979" t="s">
        <v>1482</v>
      </c>
      <c r="E36" s="347" t="s">
        <v>1422</v>
      </c>
      <c r="F36" s="374">
        <f ca="1">INDIRECT("'数据-取费表'!Ak"&amp;$G$1)</f>
        <v>1.4999999999999999E-2</v>
      </c>
      <c r="G36" s="1849"/>
      <c r="H36" s="1857"/>
      <c r="I36" s="1858"/>
      <c r="J36" s="1859"/>
      <c r="K36" s="750"/>
      <c r="L36" s="1857"/>
      <c r="M36" s="1857"/>
    </row>
    <row r="37" spans="1:18" ht="18" customHeight="1">
      <c r="A37" s="1200" t="s">
        <v>1075</v>
      </c>
      <c r="B37" s="347" t="s">
        <v>1453</v>
      </c>
      <c r="C37" s="24">
        <f ca="1">ROUND(C13*F37,1)</f>
        <v>1.6</v>
      </c>
      <c r="D37" s="2979" t="s">
        <v>1454</v>
      </c>
      <c r="E37" s="347" t="s">
        <v>1455</v>
      </c>
      <c r="F37" s="376">
        <f ca="1">INDIRECT("'数据-取费表'!Al"&amp;$G$1)</f>
        <v>1.5E-3</v>
      </c>
      <c r="G37" s="1849"/>
      <c r="H37" s="1857"/>
      <c r="I37" s="1858"/>
      <c r="J37" s="1859"/>
      <c r="K37" s="750"/>
      <c r="L37" s="1857"/>
      <c r="M37" s="1857"/>
    </row>
    <row r="38" spans="1:18" ht="18" customHeight="1" thickBot="1">
      <c r="A38" s="1338" t="s">
        <v>1393</v>
      </c>
      <c r="B38" s="1339" t="s">
        <v>1439</v>
      </c>
      <c r="C38" s="1340">
        <f ca="1">ROUND(C5*F38,1)</f>
        <v>5.4</v>
      </c>
      <c r="D38" s="1341" t="s">
        <v>1459</v>
      </c>
      <c r="E38" s="1339" t="s">
        <v>1455</v>
      </c>
      <c r="F38" s="1335">
        <f ca="1">INDIRECT("'数据-取费表'!Am"&amp;$G$1)</f>
        <v>0.01</v>
      </c>
      <c r="G38" s="1849"/>
      <c r="H38" s="1857"/>
      <c r="I38" s="1858"/>
      <c r="J38" s="1859"/>
      <c r="K38" s="1863"/>
      <c r="L38" s="1857"/>
      <c r="M38" s="1857"/>
    </row>
    <row r="39" spans="1:18" ht="24.6" customHeight="1" thickTop="1">
      <c r="A39" s="1328" t="s">
        <v>1031</v>
      </c>
      <c r="B39" s="1343" t="s">
        <v>1483</v>
      </c>
      <c r="C39" s="355">
        <f ca="1">C5-C30</f>
        <v>472</v>
      </c>
      <c r="D39" s="1344" t="s">
        <v>1484</v>
      </c>
      <c r="E39" s="1345"/>
      <c r="F39" s="1346"/>
      <c r="G39" s="1849"/>
      <c r="H39" s="1857"/>
      <c r="I39" s="1858"/>
      <c r="J39" s="1859"/>
      <c r="K39" s="1863"/>
      <c r="L39" s="1857"/>
      <c r="M39" s="1857"/>
    </row>
    <row r="40" spans="1:18" ht="18" customHeight="1">
      <c r="A40" s="344" t="s">
        <v>1032</v>
      </c>
      <c r="B40" s="345" t="s">
        <v>1485</v>
      </c>
      <c r="C40" s="346">
        <f ca="1">ROUND(C39*(1-((1+F42)/(1+F40))^F41)/(F40-F42),0)</f>
        <v>9077</v>
      </c>
      <c r="D40" s="370" t="s">
        <v>1469</v>
      </c>
      <c r="E40" s="347" t="s">
        <v>1470</v>
      </c>
      <c r="F40" s="357">
        <f ca="1">INDIRECT("'数据-取费表'!I"&amp;$G$1)</f>
        <v>0.06</v>
      </c>
      <c r="G40" s="1849"/>
      <c r="H40" s="1837"/>
      <c r="I40" s="1858"/>
      <c r="J40" s="1859"/>
      <c r="K40" s="1863"/>
      <c r="L40" s="1837"/>
      <c r="M40" s="1837"/>
    </row>
    <row r="41" spans="1:18" ht="18" customHeight="1">
      <c r="A41" s="349"/>
      <c r="B41" s="350"/>
      <c r="C41" s="351"/>
      <c r="D41" s="378" t="s">
        <v>1486</v>
      </c>
      <c r="E41" s="347" t="s">
        <v>1474</v>
      </c>
      <c r="F41" s="379">
        <f ca="1">IF(INDIRECT("'数据-取费表'!af"&amp;$G$1)=0,INDIRECT("'数据-取费表'!ae"&amp;$G$1),INDIRECT("'数据-取费表'!af"&amp;$G$1))</f>
        <v>29.96</v>
      </c>
      <c r="G41" s="1849"/>
      <c r="H41" s="731"/>
      <c r="I41" s="1858"/>
      <c r="J41" s="1859"/>
      <c r="K41" s="750"/>
      <c r="L41" s="731"/>
      <c r="M41" s="731"/>
    </row>
    <row r="42" spans="1:18" ht="18" customHeight="1">
      <c r="A42" s="353"/>
      <c r="B42" s="354"/>
      <c r="C42" s="355"/>
      <c r="D42" s="373"/>
      <c r="E42" s="347" t="s">
        <v>1477</v>
      </c>
      <c r="F42" s="357">
        <f ca="1">INDIRECT("'数据-取费表'!v"&amp;$G$1)</f>
        <v>0.03</v>
      </c>
      <c r="G42" s="1849"/>
      <c r="H42" s="731"/>
      <c r="I42" s="1858"/>
      <c r="J42" s="1859"/>
      <c r="K42" s="750"/>
      <c r="L42" s="731"/>
      <c r="M42" s="731"/>
    </row>
    <row r="43" spans="1:18" ht="18" customHeight="1" thickBot="1">
      <c r="A43" s="380" t="s">
        <v>1033</v>
      </c>
      <c r="B43" s="381" t="s">
        <v>1487</v>
      </c>
      <c r="C43" s="382">
        <f ca="1">ROUND(C40*10000/F43,0)</f>
        <v>33951</v>
      </c>
      <c r="D43" s="383" t="s">
        <v>1488</v>
      </c>
      <c r="E43" s="384" t="s">
        <v>1489</v>
      </c>
      <c r="F43" s="385">
        <f ca="1">INDIRECT("'数据-取费表'!k"&amp;$G$1)</f>
        <v>2673.5800000000004</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1519</v>
      </c>
      <c r="P45" s="1837"/>
      <c r="Q45" s="1837"/>
      <c r="R45" s="1837"/>
    </row>
    <row r="46" spans="1:18" s="1840" customFormat="1" ht="13.5" thickBot="1">
      <c r="A46" s="1868" t="s">
        <v>1520</v>
      </c>
      <c r="C46" s="1869">
        <f ca="1">C68-C40</f>
        <v>-9503</v>
      </c>
      <c r="D46" s="1870" t="str">
        <f>C2</f>
        <v>万元</v>
      </c>
      <c r="E46" s="1864"/>
      <c r="F46" s="1864"/>
      <c r="I46" s="1871" t="s">
        <v>1521</v>
      </c>
      <c r="J46" s="1872"/>
      <c r="K46" s="1873"/>
      <c r="L46" s="1874">
        <f ca="1">IF(M47="住宅",0,IF(L48&gt;J51,L60,J60))</f>
        <v>32</v>
      </c>
      <c r="O46" s="1875" t="s">
        <v>1522</v>
      </c>
      <c r="P46" s="1876" t="s">
        <v>1523</v>
      </c>
      <c r="Q46" s="1877" t="s">
        <v>1524</v>
      </c>
      <c r="R46" s="1877" t="s">
        <v>1525</v>
      </c>
    </row>
    <row r="47" spans="1:18" s="1840" customFormat="1" ht="13.5" thickBot="1">
      <c r="A47" s="1164" t="s">
        <v>1396</v>
      </c>
      <c r="B47" s="1196" t="s">
        <v>1397</v>
      </c>
      <c r="C47" s="1366" t="s">
        <v>1398</v>
      </c>
      <c r="D47" s="1196" t="s">
        <v>1399</v>
      </c>
      <c r="E47" s="1278" t="s">
        <v>1400</v>
      </c>
      <c r="F47" s="1279"/>
      <c r="G47" s="791"/>
      <c r="I47" s="1878" t="s">
        <v>1526</v>
      </c>
      <c r="J47" s="1879" t="s">
        <v>3075</v>
      </c>
      <c r="K47" s="1880" t="s">
        <v>1527</v>
      </c>
      <c r="L47" s="1881">
        <f ca="1">INDIRECT("'数据-取费表'!d"&amp;$G$1)</f>
        <v>40</v>
      </c>
      <c r="M47" s="1836" t="str">
        <f>IF(ISNUMBER(FIND("住宅",C1)),"住宅","非住宅")</f>
        <v>非住宅</v>
      </c>
      <c r="O47" s="1882" t="s">
        <v>1040</v>
      </c>
      <c r="P47" s="1883" t="s">
        <v>1528</v>
      </c>
      <c r="Q47" s="1884">
        <f ca="1">C40+J29</f>
        <v>9077</v>
      </c>
      <c r="R47" s="1884" t="s">
        <v>1529</v>
      </c>
    </row>
    <row r="48" spans="1:18" s="1840" customFormat="1" ht="28.5" thickBot="1">
      <c r="A48" s="1359" t="s">
        <v>1135</v>
      </c>
      <c r="B48" s="345" t="s">
        <v>1401</v>
      </c>
      <c r="C48" s="2983">
        <f ca="1">C49+C53+C55</f>
        <v>0</v>
      </c>
      <c r="D48" s="1361"/>
      <c r="E48" s="1362"/>
      <c r="F48" s="1180"/>
      <c r="G48" s="791"/>
      <c r="H48" s="792"/>
      <c r="I48" s="1885" t="s">
        <v>1530</v>
      </c>
      <c r="J48" s="1886" t="s">
        <v>3106</v>
      </c>
      <c r="K48" s="1887" t="s">
        <v>1531</v>
      </c>
      <c r="L48" s="1888">
        <f ca="1">INDIRECT("'数据-取费表'!f"&amp;$G$1)</f>
        <v>29.96</v>
      </c>
      <c r="O48" s="1882" t="s">
        <v>1041</v>
      </c>
      <c r="P48" s="1883" t="s">
        <v>1532</v>
      </c>
      <c r="Q48" s="1884">
        <f ca="1">J60</f>
        <v>32</v>
      </c>
      <c r="R48" s="1884" t="s">
        <v>1533</v>
      </c>
    </row>
    <row r="49" spans="1:18" s="1840" customFormat="1" ht="13.5" thickBot="1">
      <c r="A49" s="1193" t="s">
        <v>1136</v>
      </c>
      <c r="B49" s="1827" t="s">
        <v>1490</v>
      </c>
      <c r="C49" s="1363">
        <f ca="1">ROUND(F49*F51*F50*(1-F52)/10000,0)</f>
        <v>0</v>
      </c>
      <c r="D49" s="1275" t="s">
        <v>3016</v>
      </c>
      <c r="E49" s="1828" t="s">
        <v>1491</v>
      </c>
      <c r="F49" s="1280"/>
      <c r="G49" s="1889"/>
      <c r="H49" s="792"/>
      <c r="I49" s="1885" t="s">
        <v>1534</v>
      </c>
      <c r="J49" s="1890">
        <v>2010</v>
      </c>
      <c r="K49" s="1887" t="s">
        <v>1535</v>
      </c>
      <c r="L49" s="1891"/>
      <c r="O49" s="1892" t="s">
        <v>1042</v>
      </c>
      <c r="P49" s="1883" t="s">
        <v>1536</v>
      </c>
      <c r="Q49" s="1884">
        <f ca="1">C29</f>
        <v>1222</v>
      </c>
      <c r="R49" s="1884" t="s">
        <v>1529</v>
      </c>
    </row>
    <row r="50" spans="1:18" s="1840" customFormat="1" ht="13.5" thickBot="1">
      <c r="A50" s="1194"/>
      <c r="B50" s="1197"/>
      <c r="C50" s="1367"/>
      <c r="D50" s="1171"/>
      <c r="E50" s="1276" t="s">
        <v>1406</v>
      </c>
      <c r="F50" s="1277">
        <f ca="1">F7</f>
        <v>2673.5800000000004</v>
      </c>
      <c r="H50" s="792"/>
      <c r="I50" s="1885" t="s">
        <v>1537</v>
      </c>
      <c r="J50" s="1893">
        <f>SUMPRODUCT((I63:I65=J47)*(J62:L62=J48)*(J63:L65))</f>
        <v>60</v>
      </c>
      <c r="K50" s="1887" t="s">
        <v>1538</v>
      </c>
      <c r="L50" s="1891"/>
      <c r="M50" s="1894"/>
      <c r="O50" s="1892" t="s">
        <v>1043</v>
      </c>
      <c r="P50" s="1883" t="s">
        <v>1539</v>
      </c>
      <c r="Q50" s="1895">
        <f ca="1">J58</f>
        <v>0.4</v>
      </c>
      <c r="R50" s="1884"/>
    </row>
    <row r="51" spans="1:18" s="1840" customFormat="1" ht="13.5" thickBot="1">
      <c r="A51" s="1195"/>
      <c r="B51" s="1197"/>
      <c r="C51" s="1198"/>
      <c r="D51" s="1171"/>
      <c r="E51" s="1199" t="s">
        <v>1407</v>
      </c>
      <c r="F51" s="348">
        <f ca="1">F8</f>
        <v>365</v>
      </c>
      <c r="I51" s="1896" t="s">
        <v>1540</v>
      </c>
      <c r="J51" s="1897">
        <f>IF(J49="",J50,J49+J50-YEAR('数据-取费表'!B2))</f>
        <v>52</v>
      </c>
      <c r="K51" s="1898" t="s">
        <v>1541</v>
      </c>
      <c r="L51" s="1899">
        <f ca="1">ROUND(-PV(INDIRECT("'数据-取费表'!h"&amp;$G$1),L48,(C39-C13*C76),0),0)</f>
        <v>6213</v>
      </c>
      <c r="M51" s="1900"/>
      <c r="O51" s="1892" t="s">
        <v>1044</v>
      </c>
      <c r="P51" s="1883" t="s">
        <v>1542</v>
      </c>
      <c r="Q51" s="1895">
        <f>J52</f>
        <v>9.5000000000000001E-2</v>
      </c>
      <c r="R51" s="1884"/>
    </row>
    <row r="52" spans="1:18" s="1840" customFormat="1" ht="13.5" thickBot="1">
      <c r="A52" s="1195"/>
      <c r="B52" s="1197"/>
      <c r="C52" s="1198"/>
      <c r="D52" s="1171"/>
      <c r="E52" s="1199" t="s">
        <v>1408</v>
      </c>
      <c r="F52" s="1274"/>
      <c r="I52" s="1901" t="s">
        <v>1543</v>
      </c>
      <c r="J52" s="1902">
        <v>9.5000000000000001E-2</v>
      </c>
      <c r="K52" s="1901" t="s">
        <v>1544</v>
      </c>
      <c r="L52" s="1902"/>
      <c r="O52" s="1892" t="s">
        <v>1045</v>
      </c>
      <c r="P52" s="1883" t="s">
        <v>1545</v>
      </c>
      <c r="Q52" s="1884">
        <f ca="1">J53</f>
        <v>29.96</v>
      </c>
      <c r="R52" s="1884" t="s">
        <v>1546</v>
      </c>
    </row>
    <row r="53" spans="1:18" s="1840" customFormat="1" ht="24.75" thickBot="1">
      <c r="A53" s="1404" t="s">
        <v>1137</v>
      </c>
      <c r="B53" s="1829" t="s">
        <v>1409</v>
      </c>
      <c r="C53" s="361">
        <f ca="1">ROUND(IF(F53="押一",F49*F51*F50/12*F11,IF(F53="押二",F49*F51*F50/12*2*F11,IF(F53="押三",F49*F51*F50/12*3*F11,C54*F11)))/10000,0)</f>
        <v>0</v>
      </c>
      <c r="D53" s="1822" t="s">
        <v>3013</v>
      </c>
      <c r="E53" s="358" t="s">
        <v>1411</v>
      </c>
      <c r="F53" s="1365"/>
      <c r="I53" s="1903" t="s">
        <v>1547</v>
      </c>
      <c r="J53" s="1904">
        <f ca="1">IF(M47="住宅",J51,IF(D1="——",MIN(J51,L48),IF(D1="在建（套用方法）",MIN(J51,L48-'数据-取费表'!B24),IF(D1="土地（套用方法）",MIN(J51,L48-'数据-取费表'!B20)))))</f>
        <v>29.96</v>
      </c>
      <c r="K53" s="3258" t="s">
        <v>1548</v>
      </c>
      <c r="L53" s="3259"/>
      <c r="O53" s="1882" t="s">
        <v>1046</v>
      </c>
      <c r="P53" s="1883" t="s">
        <v>1549</v>
      </c>
      <c r="Q53" s="1884">
        <f ca="1">Q47+Q48</f>
        <v>9109</v>
      </c>
      <c r="R53" s="1884" t="s">
        <v>1047</v>
      </c>
    </row>
    <row r="54" spans="1:18" s="1840" customFormat="1" ht="13.5" thickBot="1">
      <c r="A54" s="1405"/>
      <c r="B54" s="1823" t="s">
        <v>1388</v>
      </c>
      <c r="C54" s="1177"/>
      <c r="D54" s="1822"/>
      <c r="E54" s="2982"/>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2" t="s">
        <v>1075</v>
      </c>
      <c r="B55" s="1825" t="s">
        <v>1413</v>
      </c>
      <c r="C55" s="1333"/>
      <c r="D55" s="1822"/>
      <c r="E55" s="2982"/>
      <c r="F55" s="1905"/>
      <c r="I55" s="1908" t="s">
        <v>1551</v>
      </c>
      <c r="J55" s="1909">
        <f ca="1">ROUND(IF(J47="钢混",J57/J50,1-(1-2%)*(J50-J57)/J50),3)</f>
        <v>0.36699999999999999</v>
      </c>
      <c r="K55" s="1910" t="s">
        <v>1552</v>
      </c>
      <c r="L55" s="1911" t="s">
        <v>1553</v>
      </c>
      <c r="O55" s="1875" t="s">
        <v>1522</v>
      </c>
      <c r="P55" s="1876" t="s">
        <v>1523</v>
      </c>
      <c r="Q55" s="1877" t="s">
        <v>1524</v>
      </c>
      <c r="R55" s="1877" t="s">
        <v>1525</v>
      </c>
    </row>
    <row r="56" spans="1:18" s="1840" customFormat="1" ht="25.5" thickTop="1" thickBot="1">
      <c r="A56" s="1175">
        <v>2</v>
      </c>
      <c r="B56" s="1176" t="s">
        <v>1414</v>
      </c>
      <c r="C56" s="276">
        <f ca="1">C13</f>
        <v>1063</v>
      </c>
      <c r="D56" s="1912"/>
      <c r="E56" s="1913"/>
      <c r="F56" s="1905"/>
      <c r="I56" s="1914" t="s">
        <v>1554</v>
      </c>
      <c r="J56" s="1915" t="s">
        <v>3041</v>
      </c>
      <c r="K56" s="1885" t="s">
        <v>1555</v>
      </c>
      <c r="L56" s="1888" t="str">
        <f ca="1">IF(L48&lt;J51,"——",L48-J53)</f>
        <v>——</v>
      </c>
      <c r="O56" s="1882" t="s">
        <v>1040</v>
      </c>
      <c r="P56" s="1883" t="s">
        <v>1528</v>
      </c>
      <c r="Q56" s="1884">
        <f ca="1">C40+J29</f>
        <v>9077</v>
      </c>
      <c r="R56" s="1884" t="s">
        <v>1529</v>
      </c>
    </row>
    <row r="57" spans="1:18" s="1840" customFormat="1" ht="24.75" thickBot="1">
      <c r="A57" s="1916"/>
      <c r="B57" s="1168" t="s">
        <v>1478</v>
      </c>
      <c r="C57" s="282">
        <f ca="1">C29</f>
        <v>1222</v>
      </c>
      <c r="D57" s="1917"/>
      <c r="E57" s="1918"/>
      <c r="F57" s="1919"/>
      <c r="I57" s="1920" t="s">
        <v>1556</v>
      </c>
      <c r="J57" s="1921">
        <f ca="1">IF(OR(M47="住宅",J51&lt;L48,J56="是"),"——",J51-L48)</f>
        <v>22.04</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60" t="s">
        <v>1030</v>
      </c>
      <c r="B58" s="1176" t="s">
        <v>1424</v>
      </c>
      <c r="C58" s="361">
        <f ca="1">ROUND(C59+C64+C65+C66,0)</f>
        <v>31</v>
      </c>
      <c r="D58" s="1178" t="s">
        <v>1425</v>
      </c>
      <c r="E58" s="1179"/>
      <c r="F58" s="1180"/>
      <c r="I58" s="1920" t="s">
        <v>1560</v>
      </c>
      <c r="J58" s="1922">
        <f ca="1">IF(J55&lt;0.4,0.4,J55)</f>
        <v>0.4</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200" t="s">
        <v>1035</v>
      </c>
      <c r="B59" s="1168" t="s">
        <v>1429</v>
      </c>
      <c r="C59" s="24">
        <f ca="1">ROUND(IF(项目基本情况!B11="自然人",C48*F59,C60+C61+C62),1)</f>
        <v>10.6</v>
      </c>
      <c r="D59" s="1181" t="s">
        <v>1430</v>
      </c>
      <c r="E59" s="1182" t="s">
        <v>1431</v>
      </c>
      <c r="F59" s="368" t="str">
        <f ca="1">IF(项目基本情况!B11="企业","",IF(INDIRECT("'数据-取费表'!c"&amp;$G$1)="住宅",5%,IF(F49*F50*F51/12/(1+'数据-取费表'!C42)&gt;20000,12%,7%)))</f>
        <v/>
      </c>
      <c r="I59" s="1920" t="s">
        <v>1563</v>
      </c>
      <c r="J59" s="1921">
        <f ca="1">IF(OR(M47="住宅",J51&lt;L48,J56="是"),"——",ROUND(C29*J58,0))</f>
        <v>489</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200" t="s">
        <v>1034</v>
      </c>
      <c r="B60" s="1168" t="s">
        <v>1433</v>
      </c>
      <c r="C60" s="24">
        <f ca="1">IF(项目基本情况!B11="自然人","——",ROUND(C48*F60/(1+'数据-取费表'!C42),2))</f>
        <v>0</v>
      </c>
      <c r="D60" s="1182" t="s">
        <v>1434</v>
      </c>
      <c r="E60" s="1168" t="s">
        <v>1422</v>
      </c>
      <c r="F60" s="377">
        <f t="shared" ref="F60:F66" si="0">F32</f>
        <v>5.6000000000000001E-2</v>
      </c>
      <c r="I60" s="1923" t="s">
        <v>1565</v>
      </c>
      <c r="J60" s="1924">
        <f ca="1">IF(OR(M47="住宅",J51&lt;L48,J56="是"),"0",ROUND(J59/(1+J52)^J53,0))</f>
        <v>32</v>
      </c>
      <c r="K60" s="1925" t="s">
        <v>1566</v>
      </c>
      <c r="L60" s="1924">
        <f ca="1">IF(OR(M47="住宅",L48&lt;J51),0,ROUND(L57*(L58/L59-1),0))</f>
        <v>0</v>
      </c>
      <c r="O60" s="1892" t="s">
        <v>1044</v>
      </c>
      <c r="P60" s="1883" t="s">
        <v>1567</v>
      </c>
      <c r="Q60" s="1884" t="e">
        <f ca="1">L58</f>
        <v>#DIV/0!</v>
      </c>
      <c r="R60" s="1884" t="s">
        <v>1568</v>
      </c>
    </row>
    <row r="61" spans="1:18" s="1840" customFormat="1" ht="13.5" thickBot="1">
      <c r="A61" s="1200" t="s">
        <v>1492</v>
      </c>
      <c r="B61" s="1168" t="s">
        <v>1493</v>
      </c>
      <c r="C61" s="24">
        <f ca="1">IF(项目基本情况!B11="自然人","——",IF(D61="按租金收入计税",ROUND(C48*F61,2),IF(D61="按房产原值计税",ROUND(C57*F61*0.7,2),INDIRECT("'数据-取费表'!Aj"&amp;$G$1))))</f>
        <v>10.26</v>
      </c>
      <c r="D61" s="1826" t="s">
        <v>1438</v>
      </c>
      <c r="E61" s="1168" t="s">
        <v>1494</v>
      </c>
      <c r="F61" s="367">
        <f t="shared" si="0"/>
        <v>1.2E-2</v>
      </c>
      <c r="I61" s="1926"/>
      <c r="J61" s="1926"/>
      <c r="K61" s="1926"/>
      <c r="L61" s="1926"/>
      <c r="O61" s="1892" t="s">
        <v>1045</v>
      </c>
      <c r="P61" s="1883" t="str">
        <f>K59</f>
        <v>建筑物剩余耐用年限下的土地年期修正系数Kn</v>
      </c>
      <c r="Q61" s="1884" t="e">
        <f ca="1">L59</f>
        <v>#DIV/0!</v>
      </c>
      <c r="R61" s="1884" t="s">
        <v>1569</v>
      </c>
    </row>
    <row r="62" spans="1:18" s="1840" customFormat="1" ht="13.5" thickBot="1">
      <c r="A62" s="1200" t="s">
        <v>1495</v>
      </c>
      <c r="B62" s="1167" t="s">
        <v>1496</v>
      </c>
      <c r="C62" s="25">
        <f ca="1">IF(项目基本情况!B11="自然人","——",ROUND(F62*F63/10000,2))</f>
        <v>0.31</v>
      </c>
      <c r="D62" s="1183" t="s">
        <v>1497</v>
      </c>
      <c r="E62" s="1168" t="s">
        <v>1498</v>
      </c>
      <c r="F62" s="371">
        <f t="shared" si="0"/>
        <v>3</v>
      </c>
      <c r="I62" s="1927" t="s">
        <v>1570</v>
      </c>
      <c r="J62" s="1928" t="s">
        <v>1571</v>
      </c>
      <c r="K62" s="1928" t="s">
        <v>1572</v>
      </c>
      <c r="L62" s="1928" t="s">
        <v>1573</v>
      </c>
      <c r="M62" s="1929" t="s">
        <v>1574</v>
      </c>
      <c r="O62" s="1882" t="s">
        <v>1046</v>
      </c>
      <c r="P62" s="1883" t="s">
        <v>1549</v>
      </c>
      <c r="Q62" s="1884">
        <f ca="1">Q56+Q57</f>
        <v>9077</v>
      </c>
      <c r="R62" s="1884" t="s">
        <v>1047</v>
      </c>
    </row>
    <row r="63" spans="1:18" s="1840" customFormat="1" ht="13.5" thickBot="1">
      <c r="A63" s="372"/>
      <c r="B63" s="1174"/>
      <c r="C63" s="29"/>
      <c r="D63" s="1184"/>
      <c r="E63" s="1168" t="s">
        <v>1499</v>
      </c>
      <c r="F63" s="348">
        <f t="shared" ca="1" si="0"/>
        <v>1031.72</v>
      </c>
      <c r="I63" s="1927" t="s">
        <v>1576</v>
      </c>
      <c r="J63" s="1928">
        <v>70</v>
      </c>
      <c r="K63" s="1928">
        <v>50</v>
      </c>
      <c r="L63" s="1928">
        <v>80</v>
      </c>
      <c r="M63" s="1930">
        <v>0.02</v>
      </c>
      <c r="O63" s="1867" t="s">
        <v>1577</v>
      </c>
      <c r="P63" s="1837"/>
      <c r="Q63" s="1837"/>
      <c r="R63" s="1837"/>
    </row>
    <row r="64" spans="1:18" s="1840" customFormat="1" ht="13.5" thickBot="1">
      <c r="A64" s="1200" t="s">
        <v>1500</v>
      </c>
      <c r="B64" s="1168" t="s">
        <v>1501</v>
      </c>
      <c r="C64" s="24">
        <f ca="1">ROUND(C57*F64,1)</f>
        <v>18.3</v>
      </c>
      <c r="D64" s="1182" t="s">
        <v>1482</v>
      </c>
      <c r="E64" s="1168" t="s">
        <v>1494</v>
      </c>
      <c r="F64" s="374">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200" t="s">
        <v>1503</v>
      </c>
      <c r="B65" s="1168" t="s">
        <v>1453</v>
      </c>
      <c r="C65" s="24">
        <f ca="1">ROUND(C56*F65,1)</f>
        <v>1.6</v>
      </c>
      <c r="D65" s="1182" t="s">
        <v>1454</v>
      </c>
      <c r="E65" s="1168" t="s">
        <v>1455</v>
      </c>
      <c r="F65" s="376">
        <f t="shared" ca="1" si="0"/>
        <v>1.5E-3</v>
      </c>
      <c r="I65" s="1927" t="s">
        <v>1579</v>
      </c>
      <c r="J65" s="1928">
        <v>40</v>
      </c>
      <c r="K65" s="1928">
        <v>30</v>
      </c>
      <c r="L65" s="1928">
        <v>50</v>
      </c>
      <c r="M65" s="1930">
        <v>0.02</v>
      </c>
      <c r="O65" s="1882" t="s">
        <v>1040</v>
      </c>
      <c r="P65" s="1883" t="s">
        <v>1528</v>
      </c>
      <c r="Q65" s="1884">
        <f ca="1">C40+J29</f>
        <v>9077</v>
      </c>
      <c r="R65" s="1884" t="s">
        <v>1529</v>
      </c>
    </row>
    <row r="66" spans="1:18" s="1840" customFormat="1" ht="16.5" thickBot="1">
      <c r="A66" s="1200" t="s">
        <v>1504</v>
      </c>
      <c r="B66" s="1168" t="s">
        <v>1439</v>
      </c>
      <c r="C66" s="24">
        <f ca="1">ROUND(C48*F66,1)</f>
        <v>0</v>
      </c>
      <c r="D66" s="1182" t="s">
        <v>1505</v>
      </c>
      <c r="E66" s="1168" t="s">
        <v>1422</v>
      </c>
      <c r="F66" s="357">
        <f t="shared" ca="1" si="0"/>
        <v>0.01</v>
      </c>
      <c r="O66" s="1882" t="s">
        <v>1041</v>
      </c>
      <c r="P66" s="1883" t="s">
        <v>1558</v>
      </c>
      <c r="Q66" s="1884">
        <f ca="1">L60</f>
        <v>0</v>
      </c>
      <c r="R66" s="1884" t="s">
        <v>1581</v>
      </c>
    </row>
    <row r="67" spans="1:18" s="1840" customFormat="1" ht="16.5" thickBot="1">
      <c r="A67" s="1175" t="s">
        <v>1031</v>
      </c>
      <c r="B67" s="1185" t="s">
        <v>1463</v>
      </c>
      <c r="C67" s="361">
        <f ca="1">C48-C58</f>
        <v>-31</v>
      </c>
      <c r="D67" s="1181" t="s">
        <v>1464</v>
      </c>
      <c r="E67" s="1186"/>
      <c r="F67" s="1187"/>
      <c r="O67" s="1892" t="s">
        <v>1042</v>
      </c>
      <c r="P67" s="1883" t="s">
        <v>1562</v>
      </c>
      <c r="Q67" s="1931">
        <f ca="1">L51</f>
        <v>6213</v>
      </c>
      <c r="R67" s="1884" t="s">
        <v>1582</v>
      </c>
    </row>
    <row r="68" spans="1:18" s="1840" customFormat="1" ht="16.5" thickBot="1">
      <c r="A68" s="1165" t="s">
        <v>1032</v>
      </c>
      <c r="B68" s="1166" t="s">
        <v>1485</v>
      </c>
      <c r="C68" s="346">
        <f ca="1">ROUND(C67*(1-((1+F70)/(1+F68))^F69)/(F68-F70),0)</f>
        <v>-426</v>
      </c>
      <c r="D68" s="1183" t="s">
        <v>1469</v>
      </c>
      <c r="E68" s="1168" t="s">
        <v>1470</v>
      </c>
      <c r="F68" s="357">
        <f ca="1">F40</f>
        <v>0.06</v>
      </c>
      <c r="O68" s="1892" t="s">
        <v>1043</v>
      </c>
      <c r="P68" s="1932" t="s">
        <v>1583</v>
      </c>
      <c r="Q68" s="1884">
        <f ca="1">ROUND(Q69-Q70*Q71,0)</f>
        <v>382</v>
      </c>
      <c r="R68" s="1884" t="s">
        <v>1051</v>
      </c>
    </row>
    <row r="69" spans="1:18" s="1840" customFormat="1" ht="13.5" thickBot="1">
      <c r="A69" s="1169"/>
      <c r="B69" s="1170"/>
      <c r="C69" s="351"/>
      <c r="D69" s="1188" t="s">
        <v>1473</v>
      </c>
      <c r="E69" s="1168" t="s">
        <v>1474</v>
      </c>
      <c r="F69" s="379">
        <f ca="1">F41</f>
        <v>29.96</v>
      </c>
      <c r="O69" s="1892" t="s">
        <v>1048</v>
      </c>
      <c r="P69" s="1932" t="s">
        <v>1584</v>
      </c>
      <c r="Q69" s="1884">
        <f ca="1">C39</f>
        <v>472</v>
      </c>
      <c r="R69" s="1884" t="s">
        <v>1529</v>
      </c>
    </row>
    <row r="70" spans="1:18" s="1840" customFormat="1" ht="13.5" thickBot="1">
      <c r="A70" s="1172"/>
      <c r="B70" s="1173"/>
      <c r="C70" s="355"/>
      <c r="D70" s="1184"/>
      <c r="E70" s="1168" t="s">
        <v>1477</v>
      </c>
      <c r="F70" s="1274"/>
      <c r="O70" s="1892" t="s">
        <v>1049</v>
      </c>
      <c r="P70" s="1932" t="s">
        <v>1585</v>
      </c>
      <c r="Q70" s="1884">
        <f ca="1">C13</f>
        <v>1063</v>
      </c>
      <c r="R70" s="1884" t="s">
        <v>1529</v>
      </c>
    </row>
    <row r="71" spans="1:18" s="1840" customFormat="1" ht="13.5" thickBot="1">
      <c r="A71" s="1189" t="s">
        <v>1033</v>
      </c>
      <c r="B71" s="1190" t="s">
        <v>1487</v>
      </c>
      <c r="C71" s="382">
        <f ca="1">ROUND(C68*10000/F71,0)</f>
        <v>-1593</v>
      </c>
      <c r="D71" s="1191" t="s">
        <v>1488</v>
      </c>
      <c r="E71" s="1192" t="s">
        <v>1489</v>
      </c>
      <c r="F71" s="385">
        <f ca="1">F43</f>
        <v>2673.5800000000004</v>
      </c>
      <c r="O71" s="1892" t="s">
        <v>1050</v>
      </c>
      <c r="P71" s="1932" t="s">
        <v>1586</v>
      </c>
      <c r="Q71" s="1895">
        <f ca="1">C76</f>
        <v>8.5000000000000006E-2</v>
      </c>
      <c r="R71" s="1884"/>
    </row>
    <row r="72" spans="1:18" s="1840" customFormat="1" ht="13.5" thickBot="1">
      <c r="B72" s="795"/>
      <c r="C72" s="795"/>
      <c r="O72" s="1892" t="s">
        <v>1044</v>
      </c>
      <c r="P72" s="1883" t="s">
        <v>1564</v>
      </c>
      <c r="Q72" s="1895">
        <f>L52</f>
        <v>0</v>
      </c>
      <c r="R72" s="1884"/>
    </row>
    <row r="73" spans="1:18" ht="16.5" thickBot="1">
      <c r="A73" s="1840"/>
      <c r="B73" s="795"/>
      <c r="C73" s="795"/>
      <c r="D73" s="1840"/>
      <c r="E73" s="1840"/>
      <c r="F73" s="1840"/>
      <c r="O73" s="1892" t="s">
        <v>1045</v>
      </c>
      <c r="P73" s="1883" t="s">
        <v>1567</v>
      </c>
      <c r="Q73" s="1884" t="e">
        <f ca="1">L58</f>
        <v>#DIV/0!</v>
      </c>
      <c r="R73" s="1884" t="s">
        <v>1568</v>
      </c>
    </row>
    <row r="74" spans="1:18" ht="13.5" thickBot="1">
      <c r="A74" s="1840"/>
      <c r="B74" s="317" t="s">
        <v>1587</v>
      </c>
      <c r="C74" s="1934"/>
      <c r="D74" s="1840"/>
      <c r="E74" s="1840"/>
      <c r="F74" s="1840"/>
      <c r="O74" s="1892" t="s">
        <v>1052</v>
      </c>
      <c r="P74" s="1883" t="str">
        <f>K59</f>
        <v>建筑物剩余耐用年限下的土地年期修正系数Kn</v>
      </c>
      <c r="Q74" s="1884" t="e">
        <f ca="1">L59</f>
        <v>#DIV/0!</v>
      </c>
      <c r="R74" s="1884" t="s">
        <v>1569</v>
      </c>
    </row>
    <row r="75" spans="1:18" ht="13.5" thickBot="1">
      <c r="A75" s="1840"/>
      <c r="B75" s="386" t="s">
        <v>1506</v>
      </c>
      <c r="C75" s="387">
        <f ca="1">ROUND(C13*C76,0)</f>
        <v>90</v>
      </c>
      <c r="D75" s="1840"/>
      <c r="E75" s="1840"/>
      <c r="F75" s="1840"/>
      <c r="K75" s="1866"/>
      <c r="L75" s="1840"/>
      <c r="O75" s="1882" t="s">
        <v>1046</v>
      </c>
      <c r="P75" s="1883" t="s">
        <v>1549</v>
      </c>
      <c r="Q75" s="1884">
        <f ca="1">Q65+Q66</f>
        <v>9077</v>
      </c>
      <c r="R75" s="1884" t="s">
        <v>1047</v>
      </c>
    </row>
    <row r="76" spans="1:18">
      <c r="B76" s="388" t="s">
        <v>1507</v>
      </c>
      <c r="C76" s="389">
        <f ca="1">INDIRECT("'数据-取费表'!j"&amp;$G$1)</f>
        <v>8.5000000000000006E-2</v>
      </c>
      <c r="I76" s="1840"/>
      <c r="J76" s="1840"/>
      <c r="K76" s="1866"/>
      <c r="L76" s="1840"/>
    </row>
    <row r="77" spans="1:18">
      <c r="B77" s="390" t="s">
        <v>1508</v>
      </c>
      <c r="C77" s="391"/>
      <c r="I77" s="1840"/>
      <c r="J77" s="1840"/>
      <c r="K77" s="1866"/>
      <c r="L77" s="1840"/>
    </row>
    <row r="78" spans="1:18">
      <c r="B78" s="314" t="s">
        <v>1509</v>
      </c>
      <c r="C78" s="392"/>
    </row>
    <row r="79" spans="1:18">
      <c r="B79" s="386" t="s">
        <v>1510</v>
      </c>
      <c r="C79" s="318">
        <f ca="1">1-C80</f>
        <v>0.80899999999999994</v>
      </c>
    </row>
    <row r="80" spans="1:18">
      <c r="B80" s="386" t="s">
        <v>1511</v>
      </c>
      <c r="C80" s="318">
        <f ca="1">ROUND(C75/C39,3)</f>
        <v>0.191</v>
      </c>
    </row>
    <row r="81" spans="2:3">
      <c r="B81" s="314" t="s">
        <v>1512</v>
      </c>
      <c r="C81" s="282"/>
    </row>
    <row r="82" spans="2:3">
      <c r="B82" s="317" t="s">
        <v>1513</v>
      </c>
      <c r="C82" s="319">
        <f ca="1">1-C83</f>
        <v>0.88300000000000001</v>
      </c>
    </row>
    <row r="83" spans="2:3">
      <c r="B83" s="317" t="s">
        <v>1514</v>
      </c>
      <c r="C83" s="318">
        <f ca="1">ROUND(C13/C40,3)</f>
        <v>0.11700000000000001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20" priority="4">
      <formula>$L$48&gt;$J$51</formula>
    </cfRule>
  </conditionalFormatting>
  <conditionalFormatting sqref="I55 I60">
    <cfRule type="expression" dxfId="19" priority="5">
      <formula>$J$51&gt;$L$48</formula>
    </cfRule>
  </conditionalFormatting>
  <conditionalFormatting sqref="C11">
    <cfRule type="expression" dxfId="18" priority="3">
      <formula>$F$10="自定义"</formula>
    </cfRule>
  </conditionalFormatting>
  <conditionalFormatting sqref="J11">
    <cfRule type="expression" dxfId="17" priority="2">
      <formula>$M$10="自定义"</formula>
    </cfRule>
  </conditionalFormatting>
  <conditionalFormatting sqref="C54">
    <cfRule type="expression" dxfId="1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E60" sqref="E60"/>
    </sheetView>
  </sheetViews>
  <sheetFormatPr defaultRowHeight="14.25"/>
  <cols>
    <col min="1" max="1" width="10.5" style="403" customWidth="1"/>
    <col min="2" max="2" width="15.75" style="403" customWidth="1"/>
    <col min="3" max="3" width="18.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2516</v>
      </c>
      <c r="B1" s="2577" t="s">
        <v>2630</v>
      </c>
      <c r="C1" s="1633" t="s">
        <v>2518</v>
      </c>
      <c r="D1" s="1620" t="s">
        <v>3053</v>
      </c>
      <c r="E1" s="2652"/>
      <c r="F1" s="2579" t="s">
        <v>3102</v>
      </c>
      <c r="G1" s="1630" t="s">
        <v>2520</v>
      </c>
      <c r="H1" s="1629"/>
      <c r="I1" s="1629"/>
      <c r="J1" s="1629"/>
      <c r="K1" s="1631"/>
      <c r="L1" s="1632"/>
      <c r="M1" s="1633"/>
      <c r="N1" s="1633"/>
      <c r="O1" s="1633"/>
      <c r="P1" s="2653"/>
      <c r="Q1" s="2654"/>
      <c r="R1" s="2654"/>
      <c r="S1" s="2654"/>
      <c r="T1" s="2654"/>
      <c r="U1" s="2654"/>
      <c r="V1" s="2654"/>
      <c r="W1" s="2654"/>
      <c r="X1" s="2654"/>
      <c r="Y1" s="2654"/>
      <c r="Z1" s="2654"/>
      <c r="AA1" s="2654"/>
      <c r="AB1" s="2654"/>
      <c r="AC1" s="2655"/>
    </row>
    <row r="2" spans="1:29" s="398" customFormat="1" ht="28.5" customHeight="1" thickTop="1">
      <c r="A2" s="1616" t="s">
        <v>1394</v>
      </c>
      <c r="B2" s="1417">
        <f>IF(C2="——",ROUND(C49*D3/10000,0),ROUND(C49*D3/10000,0)-D2)</f>
        <v>0</v>
      </c>
      <c r="C2" s="2581" t="s">
        <v>70</v>
      </c>
      <c r="D2" s="1364" t="e">
        <f ca="1">SUMIF(INDIRECT("'"&amp;F2&amp;"'"&amp;"!A:A"),"承租人权益价值",INDIRECT("'"&amp;F2&amp;"'"&amp;"!c:c"))</f>
        <v>#REF!</v>
      </c>
      <c r="E2" s="2582" t="s">
        <v>2316</v>
      </c>
      <c r="F2" s="2583"/>
      <c r="G2" s="1124"/>
      <c r="H2" s="1124"/>
      <c r="I2" s="1124"/>
      <c r="J2" s="1124"/>
      <c r="K2" s="1124"/>
      <c r="L2" s="1127"/>
      <c r="M2" s="1128"/>
      <c r="N2" s="1128"/>
      <c r="O2" s="1128"/>
      <c r="P2" s="2656"/>
      <c r="Q2" s="1128"/>
      <c r="R2" s="1128"/>
      <c r="S2" s="1128"/>
      <c r="T2" s="1128"/>
      <c r="U2" s="1128"/>
      <c r="V2" s="1128"/>
      <c r="W2" s="1128"/>
      <c r="X2" s="1128"/>
      <c r="Y2" s="1128"/>
      <c r="Z2" s="1128"/>
      <c r="AA2" s="1128"/>
      <c r="AB2" s="1128"/>
      <c r="AC2" s="2657"/>
    </row>
    <row r="3" spans="1:29" s="398" customFormat="1" ht="28.5" customHeight="1" thickBot="1">
      <c r="A3" s="247" t="s">
        <v>1395</v>
      </c>
      <c r="B3" s="609">
        <f>IF(C2="——",C49,ROUND(B2*10000/D3,0))</f>
        <v>6.7</v>
      </c>
      <c r="C3" s="400" t="s">
        <v>2522</v>
      </c>
      <c r="D3" s="399">
        <f>IF(D1="",'数据-汇总表'!E3,SUMIF('数据-汇总表'!$C19:$C33,D1,'数据-汇总表'!$E19:$E33))</f>
        <v>0</v>
      </c>
      <c r="E3" s="2658"/>
      <c r="F3" s="1125"/>
      <c r="G3" s="1124"/>
      <c r="H3" s="1124"/>
      <c r="I3" s="1124"/>
      <c r="J3" s="1124"/>
      <c r="K3" s="1126"/>
      <c r="L3" s="1127"/>
      <c r="M3" s="1128"/>
      <c r="N3" s="1128"/>
      <c r="O3" s="1128"/>
      <c r="P3" s="2656"/>
      <c r="Q3" s="1128"/>
      <c r="R3" s="1128"/>
      <c r="S3" s="1128"/>
      <c r="T3" s="1128"/>
      <c r="U3" s="1128"/>
      <c r="V3" s="1128"/>
      <c r="W3" s="1128"/>
      <c r="X3" s="1128"/>
      <c r="Y3" s="1128"/>
      <c r="Z3" s="1128"/>
      <c r="AA3" s="1128"/>
      <c r="AB3" s="1128"/>
      <c r="AC3" s="2658"/>
    </row>
    <row r="4" spans="1:29" ht="15">
      <c r="A4" s="401" t="s">
        <v>2523</v>
      </c>
      <c r="B4" s="402"/>
      <c r="C4" s="3224" t="s">
        <v>2524</v>
      </c>
      <c r="D4" s="3225"/>
      <c r="E4" s="3226" t="s">
        <v>2525</v>
      </c>
      <c r="F4" s="3227"/>
      <c r="G4" s="3224" t="s">
        <v>2526</v>
      </c>
      <c r="H4" s="3225"/>
      <c r="I4" s="3224" t="s">
        <v>2527</v>
      </c>
      <c r="J4" s="3225"/>
      <c r="K4" s="610" t="s">
        <v>2528</v>
      </c>
      <c r="L4" s="1129"/>
      <c r="M4" s="1130"/>
      <c r="N4" s="1130"/>
      <c r="O4" s="1130"/>
      <c r="P4" s="3228" t="s">
        <v>2529</v>
      </c>
      <c r="Q4" s="3229"/>
      <c r="R4" s="3211" t="s">
        <v>2525</v>
      </c>
      <c r="S4" s="3212"/>
      <c r="T4" s="3211" t="s">
        <v>2526</v>
      </c>
      <c r="U4" s="3212"/>
      <c r="V4" s="3208" t="s">
        <v>2527</v>
      </c>
      <c r="W4" s="3208"/>
      <c r="X4" s="2940"/>
      <c r="Y4" s="3211" t="s">
        <v>2529</v>
      </c>
      <c r="Z4" s="3212"/>
      <c r="AA4" s="3205" t="s">
        <v>2525</v>
      </c>
      <c r="AB4" s="3208" t="s">
        <v>2526</v>
      </c>
      <c r="AC4" s="3205" t="s">
        <v>2527</v>
      </c>
    </row>
    <row r="5" spans="1:29" ht="15">
      <c r="A5" s="404"/>
      <c r="B5" s="405"/>
      <c r="C5" s="3217" t="s">
        <v>3061</v>
      </c>
      <c r="D5" s="3218"/>
      <c r="E5" s="3215" t="s">
        <v>3097</v>
      </c>
      <c r="F5" s="3216"/>
      <c r="G5" s="3217" t="s">
        <v>3104</v>
      </c>
      <c r="H5" s="3218"/>
      <c r="I5" s="3217" t="s">
        <v>3101</v>
      </c>
      <c r="J5" s="3218"/>
      <c r="K5" s="610"/>
      <c r="L5" s="1129"/>
      <c r="M5" s="1130"/>
      <c r="N5" s="1130"/>
      <c r="O5" s="1130"/>
      <c r="P5" s="3230"/>
      <c r="Q5" s="3231"/>
      <c r="R5" s="3213"/>
      <c r="S5" s="3214"/>
      <c r="T5" s="3213"/>
      <c r="U5" s="3214"/>
      <c r="V5" s="3208"/>
      <c r="W5" s="3208"/>
      <c r="X5" s="2940"/>
      <c r="Y5" s="3213"/>
      <c r="Z5" s="3214"/>
      <c r="AA5" s="3206"/>
      <c r="AB5" s="3208"/>
      <c r="AC5" s="3206"/>
    </row>
    <row r="6" spans="1:29" ht="15.75" thickBot="1">
      <c r="A6" s="406"/>
      <c r="B6" s="407"/>
      <c r="C6" s="3219" t="s">
        <v>2534</v>
      </c>
      <c r="D6" s="3220"/>
      <c r="E6" s="3221" t="s">
        <v>2534</v>
      </c>
      <c r="F6" s="3222"/>
      <c r="G6" s="3219" t="s">
        <v>2534</v>
      </c>
      <c r="H6" s="3220"/>
      <c r="I6" s="3219" t="s">
        <v>2534</v>
      </c>
      <c r="J6" s="3220"/>
      <c r="K6" s="610" t="s">
        <v>2535</v>
      </c>
      <c r="L6" s="1129"/>
      <c r="M6" s="1130"/>
      <c r="N6" s="1130"/>
      <c r="O6" s="1130"/>
      <c r="P6" s="3232"/>
      <c r="Q6" s="3233"/>
      <c r="R6" s="3213"/>
      <c r="S6" s="3214"/>
      <c r="T6" s="3234"/>
      <c r="U6" s="3235"/>
      <c r="V6" s="3208"/>
      <c r="W6" s="3208"/>
      <c r="X6" s="2940"/>
      <c r="Y6" s="3234"/>
      <c r="Z6" s="3235"/>
      <c r="AA6" s="3207"/>
      <c r="AB6" s="3208"/>
      <c r="AC6" s="3207"/>
    </row>
    <row r="7" spans="1:29" s="117" customFormat="1" ht="15.75" thickBot="1">
      <c r="A7" s="408" t="s">
        <v>2536</v>
      </c>
      <c r="B7" s="409"/>
      <c r="C7" s="410">
        <f>'数据-取费表'!B2</f>
        <v>43132</v>
      </c>
      <c r="D7" s="411">
        <v>100</v>
      </c>
      <c r="E7" s="412">
        <v>43119</v>
      </c>
      <c r="F7" s="413">
        <f>SUMIF(58:58,YEAR(E7)&amp;"-"&amp;MONTH(E7),59:59)</f>
        <v>100</v>
      </c>
      <c r="G7" s="412">
        <v>43124</v>
      </c>
      <c r="H7" s="411">
        <f>SUMIF(58:58,YEAR(G7)&amp;"-"&amp;MONTH(G7),59:59)</f>
        <v>100</v>
      </c>
      <c r="I7" s="412">
        <v>43125</v>
      </c>
      <c r="J7" s="411">
        <f>SUMIF(58:58,YEAR(I7)&amp;"-"&amp;MONTH(I7),59:59)</f>
        <v>100</v>
      </c>
      <c r="K7" s="611"/>
      <c r="L7" s="1131"/>
      <c r="M7" s="1132"/>
      <c r="N7" s="1132"/>
      <c r="O7" s="1132"/>
      <c r="P7" s="3209" t="s">
        <v>2537</v>
      </c>
      <c r="Q7" s="3236"/>
      <c r="R7" s="769" t="s">
        <v>17</v>
      </c>
      <c r="S7" s="770">
        <f t="shared" ref="S7:S15" si="0">F7</f>
        <v>100</v>
      </c>
      <c r="T7" s="769" t="s">
        <v>17</v>
      </c>
      <c r="U7" s="770">
        <f t="shared" ref="U7:U15" si="1">H7</f>
        <v>100</v>
      </c>
      <c r="V7" s="769" t="s">
        <v>17</v>
      </c>
      <c r="W7" s="770">
        <f t="shared" ref="W7:W15" si="2">J7</f>
        <v>100</v>
      </c>
      <c r="X7" s="771"/>
      <c r="Y7" s="3209" t="s">
        <v>2537</v>
      </c>
      <c r="Z7" s="3210"/>
      <c r="AA7" s="772">
        <f>D7/F7</f>
        <v>1</v>
      </c>
      <c r="AB7" s="772">
        <f>D7/H7</f>
        <v>1</v>
      </c>
      <c r="AC7" s="772">
        <f>D7/J7</f>
        <v>1</v>
      </c>
    </row>
    <row r="8" spans="1:29" s="117" customFormat="1" ht="15.75" thickBot="1">
      <c r="A8" s="408" t="s">
        <v>2538</v>
      </c>
      <c r="B8" s="409"/>
      <c r="C8" s="414" t="s">
        <v>2575</v>
      </c>
      <c r="D8" s="411">
        <v>100</v>
      </c>
      <c r="E8" s="414" t="s">
        <v>2575</v>
      </c>
      <c r="F8" s="413">
        <f>SUMIF(61:61,E8,62:62)-SUMIF(61:61,C8,62:62)+100</f>
        <v>100</v>
      </c>
      <c r="G8" s="414" t="s">
        <v>2575</v>
      </c>
      <c r="H8" s="411">
        <f>SUMIF(61:61,G8,62:62)-SUMIF(61:61,C8,62:62)+100</f>
        <v>100</v>
      </c>
      <c r="I8" s="414" t="s">
        <v>2575</v>
      </c>
      <c r="J8" s="411">
        <f>SUMIF(61:61,I8,62:62)-SUMIF(61:61,C8,62:62)+100</f>
        <v>100</v>
      </c>
      <c r="K8" s="611"/>
      <c r="L8" s="1131"/>
      <c r="M8" s="1132"/>
      <c r="N8" s="1132"/>
      <c r="O8" s="1132"/>
      <c r="P8" s="3209" t="s">
        <v>2540</v>
      </c>
      <c r="Q8" s="3210"/>
      <c r="R8" s="769" t="s">
        <v>17</v>
      </c>
      <c r="S8" s="770">
        <f t="shared" si="0"/>
        <v>100</v>
      </c>
      <c r="T8" s="769" t="s">
        <v>17</v>
      </c>
      <c r="U8" s="770">
        <f t="shared" si="1"/>
        <v>100</v>
      </c>
      <c r="V8" s="769" t="s">
        <v>17</v>
      </c>
      <c r="W8" s="770">
        <f t="shared" si="2"/>
        <v>100</v>
      </c>
      <c r="X8" s="771"/>
      <c r="Y8" s="3209" t="s">
        <v>2540</v>
      </c>
      <c r="Z8" s="3210"/>
      <c r="AA8" s="772">
        <f t="shared" ref="AA8:AA46" si="3">D8/F8</f>
        <v>1</v>
      </c>
      <c r="AB8" s="772">
        <f t="shared" ref="AB8:AB46" si="4">D8/H8</f>
        <v>1</v>
      </c>
      <c r="AC8" s="772">
        <f t="shared" ref="AC8:AC46" si="5">D8/J8</f>
        <v>1</v>
      </c>
    </row>
    <row r="9" spans="1:29" s="117" customFormat="1">
      <c r="A9" s="415" t="s">
        <v>2541</v>
      </c>
      <c r="B9" s="71" t="s">
        <v>2542</v>
      </c>
      <c r="C9" s="2957" t="s">
        <v>3062</v>
      </c>
      <c r="D9" s="135">
        <v>100</v>
      </c>
      <c r="E9" s="417" t="s">
        <v>1377</v>
      </c>
      <c r="F9" s="418">
        <f>SUMIF(63:63,E9,64:64)-SUMIF(63:63,C9,64:64)+100</f>
        <v>100</v>
      </c>
      <c r="G9" s="417" t="s">
        <v>1377</v>
      </c>
      <c r="H9" s="135">
        <f>SUMIF(63:63,G9,64:64)-SUMIF(63:63,C9,64:64)+100</f>
        <v>100</v>
      </c>
      <c r="I9" s="417" t="s">
        <v>1377</v>
      </c>
      <c r="J9" s="135">
        <f>SUMIF(63:63,I9,64:64)-SUMIF(63:63,C9,64:64)+100</f>
        <v>100</v>
      </c>
      <c r="K9" s="611"/>
      <c r="L9" s="1131"/>
      <c r="M9" s="1132"/>
      <c r="N9" s="1132"/>
      <c r="O9" s="1132"/>
      <c r="P9" s="3223" t="s">
        <v>2543</v>
      </c>
      <c r="Q9" s="2934" t="str">
        <f t="shared" ref="Q9:Q15" si="6">B9</f>
        <v>用途</v>
      </c>
      <c r="R9" s="769" t="s">
        <v>17</v>
      </c>
      <c r="S9" s="770">
        <f t="shared" si="0"/>
        <v>100</v>
      </c>
      <c r="T9" s="769" t="s">
        <v>17</v>
      </c>
      <c r="U9" s="770">
        <f t="shared" si="1"/>
        <v>100</v>
      </c>
      <c r="V9" s="769" t="s">
        <v>17</v>
      </c>
      <c r="W9" s="770">
        <f t="shared" si="2"/>
        <v>100</v>
      </c>
      <c r="X9" s="771"/>
      <c r="Y9" s="3082" t="s">
        <v>2544</v>
      </c>
      <c r="Z9" s="2935" t="str">
        <f t="shared" ref="Z9:Z15" si="7">Q9</f>
        <v>用途</v>
      </c>
      <c r="AA9" s="772">
        <f t="shared" si="3"/>
        <v>1</v>
      </c>
      <c r="AB9" s="772">
        <f t="shared" si="4"/>
        <v>1</v>
      </c>
      <c r="AC9" s="772">
        <f t="shared" si="5"/>
        <v>1</v>
      </c>
    </row>
    <row r="10" spans="1:29" s="427" customFormat="1" ht="27.75" thickBot="1">
      <c r="A10" s="421"/>
      <c r="B10" s="2936" t="s">
        <v>2545</v>
      </c>
      <c r="C10" s="423" t="s">
        <v>3098</v>
      </c>
      <c r="D10" s="136">
        <v>100</v>
      </c>
      <c r="E10" s="424" t="s">
        <v>3098</v>
      </c>
      <c r="F10" s="425">
        <f>SUMIF(65:65,E10,66:66)-SUMIF(65:65,C10,66:66)+100</f>
        <v>100</v>
      </c>
      <c r="G10" s="423" t="s">
        <v>3063</v>
      </c>
      <c r="H10" s="136">
        <f>SUMIF(65:65,G10,66:66)-SUMIF(65:65,C10,66:66)+100</f>
        <v>102</v>
      </c>
      <c r="I10" s="423" t="s">
        <v>3098</v>
      </c>
      <c r="J10" s="136">
        <f>SUMIF(65:65,I10,66:66)-SUMIF(65:65,C10,66:66)+100</f>
        <v>100</v>
      </c>
      <c r="K10" s="612">
        <f>'比较法-商业'!K10</f>
        <v>2</v>
      </c>
      <c r="L10" s="1134"/>
      <c r="M10" s="1135"/>
      <c r="N10" s="1135"/>
      <c r="O10" s="1135"/>
      <c r="P10" s="3223"/>
      <c r="Q10" s="2934" t="str">
        <f t="shared" si="6"/>
        <v>土地使用年限（年）</v>
      </c>
      <c r="R10" s="769" t="s">
        <v>17</v>
      </c>
      <c r="S10" s="770">
        <f t="shared" si="0"/>
        <v>100</v>
      </c>
      <c r="T10" s="769" t="s">
        <v>17</v>
      </c>
      <c r="U10" s="770">
        <f t="shared" si="1"/>
        <v>102</v>
      </c>
      <c r="V10" s="769" t="s">
        <v>17</v>
      </c>
      <c r="W10" s="770">
        <f t="shared" si="2"/>
        <v>100</v>
      </c>
      <c r="X10" s="771"/>
      <c r="Y10" s="3082"/>
      <c r="Z10" s="2935" t="str">
        <f t="shared" si="7"/>
        <v>土地使用年限（年）</v>
      </c>
      <c r="AA10" s="772">
        <f t="shared" si="3"/>
        <v>1</v>
      </c>
      <c r="AB10" s="772">
        <f t="shared" si="4"/>
        <v>0.98039215686274506</v>
      </c>
      <c r="AC10" s="772">
        <f t="shared" si="5"/>
        <v>1</v>
      </c>
    </row>
    <row r="11" spans="1:29" ht="15.75" hidden="1" thickBot="1">
      <c r="A11" s="428"/>
      <c r="B11" s="2936" t="s">
        <v>2546</v>
      </c>
      <c r="C11" s="429"/>
      <c r="D11" s="136">
        <v>100</v>
      </c>
      <c r="E11" s="430"/>
      <c r="F11" s="425">
        <f>LOOKUP(E11,68:68,69:69)-LOOKUP(C11,68:68,69:69)+100</f>
        <v>100</v>
      </c>
      <c r="G11" s="429"/>
      <c r="H11" s="136">
        <f>LOOKUP(G11,68:68,69:69)-LOOKUP(C11,68:68,69:69)+100</f>
        <v>100</v>
      </c>
      <c r="I11" s="429"/>
      <c r="J11" s="136">
        <f>LOOKUP(I11,68:68,69:69)-LOOKUP(C11,68:68,69:69)+100</f>
        <v>100</v>
      </c>
      <c r="K11" s="612">
        <v>0</v>
      </c>
      <c r="L11" s="1137"/>
      <c r="M11" s="1130"/>
      <c r="N11" s="1130"/>
      <c r="O11" s="1130"/>
      <c r="P11" s="3223"/>
      <c r="Q11" s="2934" t="str">
        <f t="shared" si="6"/>
        <v>容积率</v>
      </c>
      <c r="R11" s="769" t="s">
        <v>17</v>
      </c>
      <c r="S11" s="770">
        <f t="shared" si="0"/>
        <v>100</v>
      </c>
      <c r="T11" s="769" t="s">
        <v>17</v>
      </c>
      <c r="U11" s="770">
        <f t="shared" si="1"/>
        <v>100</v>
      </c>
      <c r="V11" s="769" t="s">
        <v>17</v>
      </c>
      <c r="W11" s="770">
        <f t="shared" si="2"/>
        <v>100</v>
      </c>
      <c r="X11" s="771"/>
      <c r="Y11" s="3082"/>
      <c r="Z11" s="2935" t="str">
        <f t="shared" si="7"/>
        <v>容积率</v>
      </c>
      <c r="AA11" s="772">
        <f t="shared" si="3"/>
        <v>1</v>
      </c>
      <c r="AB11" s="772">
        <f t="shared" si="4"/>
        <v>1</v>
      </c>
      <c r="AC11" s="772">
        <f t="shared" si="5"/>
        <v>1</v>
      </c>
    </row>
    <row r="12" spans="1:29" s="117" customFormat="1" ht="15.75" hidden="1" thickBot="1">
      <c r="A12" s="431"/>
      <c r="B12" s="2595">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223"/>
      <c r="Q12" s="2934">
        <f t="shared" si="6"/>
        <v>111</v>
      </c>
      <c r="R12" s="769" t="s">
        <v>17</v>
      </c>
      <c r="S12" s="770">
        <f t="shared" si="0"/>
        <v>100</v>
      </c>
      <c r="T12" s="769" t="s">
        <v>17</v>
      </c>
      <c r="U12" s="770">
        <f t="shared" si="1"/>
        <v>100</v>
      </c>
      <c r="V12" s="769" t="s">
        <v>17</v>
      </c>
      <c r="W12" s="770">
        <f t="shared" si="2"/>
        <v>100</v>
      </c>
      <c r="X12" s="771"/>
      <c r="Y12" s="3082"/>
      <c r="Z12" s="2935">
        <f t="shared" si="7"/>
        <v>111</v>
      </c>
      <c r="AA12" s="772">
        <f>D12/F12</f>
        <v>1</v>
      </c>
      <c r="AB12" s="772">
        <f>D12/H12</f>
        <v>1</v>
      </c>
      <c r="AC12" s="772">
        <f>D12/J12</f>
        <v>1</v>
      </c>
    </row>
    <row r="13" spans="1:29" ht="15.75" hidden="1" thickBot="1">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223"/>
      <c r="Q13" s="2934">
        <f t="shared" si="6"/>
        <v>111</v>
      </c>
      <c r="R13" s="769" t="s">
        <v>17</v>
      </c>
      <c r="S13" s="770">
        <f t="shared" si="0"/>
        <v>100</v>
      </c>
      <c r="T13" s="769" t="s">
        <v>17</v>
      </c>
      <c r="U13" s="770">
        <f t="shared" si="1"/>
        <v>100</v>
      </c>
      <c r="V13" s="769" t="s">
        <v>17</v>
      </c>
      <c r="W13" s="770">
        <f t="shared" si="2"/>
        <v>100</v>
      </c>
      <c r="X13" s="771"/>
      <c r="Y13" s="3082"/>
      <c r="Z13" s="2935">
        <f t="shared" si="7"/>
        <v>111</v>
      </c>
      <c r="AA13" s="772">
        <f t="shared" si="3"/>
        <v>1</v>
      </c>
      <c r="AB13" s="772">
        <f t="shared" si="4"/>
        <v>1</v>
      </c>
      <c r="AC13" s="772">
        <f t="shared" si="5"/>
        <v>1</v>
      </c>
    </row>
    <row r="14" spans="1:29" ht="15.75" hidden="1" thickBot="1">
      <c r="A14" s="436"/>
      <c r="B14" s="2597">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223"/>
      <c r="Q14" s="2934">
        <f t="shared" si="6"/>
        <v>111</v>
      </c>
      <c r="R14" s="769" t="s">
        <v>17</v>
      </c>
      <c r="S14" s="770">
        <f t="shared" si="0"/>
        <v>100</v>
      </c>
      <c r="T14" s="769" t="s">
        <v>17</v>
      </c>
      <c r="U14" s="770">
        <f t="shared" si="1"/>
        <v>100</v>
      </c>
      <c r="V14" s="769" t="s">
        <v>17</v>
      </c>
      <c r="W14" s="770">
        <f t="shared" si="2"/>
        <v>100</v>
      </c>
      <c r="X14" s="771"/>
      <c r="Y14" s="3082"/>
      <c r="Z14" s="2935">
        <f t="shared" si="7"/>
        <v>111</v>
      </c>
      <c r="AA14" s="772">
        <f t="shared" si="3"/>
        <v>1</v>
      </c>
      <c r="AB14" s="772">
        <f t="shared" si="4"/>
        <v>1</v>
      </c>
      <c r="AC14" s="772">
        <f t="shared" si="5"/>
        <v>1</v>
      </c>
    </row>
    <row r="15" spans="1:29" ht="57">
      <c r="A15" s="440" t="s">
        <v>2547</v>
      </c>
      <c r="B15" s="69" t="s">
        <v>2641</v>
      </c>
      <c r="C15" s="2598" t="str">
        <f>估价对象房地状况!C4</f>
        <v>周边商业有集美家居、银泰百货，人流量一般，商业繁华度一般</v>
      </c>
      <c r="D15" s="441">
        <v>100</v>
      </c>
      <c r="E15" s="442"/>
      <c r="F15" s="443">
        <f>SUMIF(76:76,E16,77:77)-SUMIF(76:76,C16,77:77)+100</f>
        <v>102</v>
      </c>
      <c r="G15" s="444"/>
      <c r="H15" s="441">
        <f>SUMIF(76:76,G16,77:77)-SUMIF(76:76,C16,77:77)+100</f>
        <v>102</v>
      </c>
      <c r="I15" s="442"/>
      <c r="J15" s="441">
        <f>SUMIF(76:76,I16,77:77)-SUMIF(76:76,C16,77:77)+100</f>
        <v>102</v>
      </c>
      <c r="K15" s="612">
        <f>'比较法-商业'!K15</f>
        <v>2</v>
      </c>
      <c r="L15" s="1139"/>
      <c r="M15" s="1130"/>
      <c r="N15" s="1130"/>
      <c r="O15" s="1130"/>
      <c r="P15" s="3237" t="s">
        <v>2548</v>
      </c>
      <c r="Q15" s="2938" t="str">
        <f t="shared" si="6"/>
        <v>商业繁华度</v>
      </c>
      <c r="R15" s="773" t="s">
        <v>17</v>
      </c>
      <c r="S15" s="774">
        <f t="shared" si="0"/>
        <v>102</v>
      </c>
      <c r="T15" s="773" t="s">
        <v>17</v>
      </c>
      <c r="U15" s="774">
        <f t="shared" si="1"/>
        <v>102</v>
      </c>
      <c r="V15" s="773" t="s">
        <v>17</v>
      </c>
      <c r="W15" s="774">
        <f t="shared" si="2"/>
        <v>102</v>
      </c>
      <c r="X15" s="2940"/>
      <c r="Y15" s="3239" t="s">
        <v>2548</v>
      </c>
      <c r="Z15" s="2941" t="str">
        <f t="shared" si="7"/>
        <v>商业繁华度</v>
      </c>
      <c r="AA15" s="2939">
        <f t="shared" si="3"/>
        <v>0.98039215686274506</v>
      </c>
      <c r="AB15" s="2939">
        <f t="shared" si="4"/>
        <v>0.98039215686274506</v>
      </c>
      <c r="AC15" s="2939">
        <f t="shared" si="5"/>
        <v>0.98039215686274506</v>
      </c>
    </row>
    <row r="16" spans="1:29" ht="15">
      <c r="A16" s="428"/>
      <c r="B16" s="446"/>
      <c r="C16" s="447" t="s">
        <v>3064</v>
      </c>
      <c r="D16" s="448"/>
      <c r="E16" s="447" t="s">
        <v>3065</v>
      </c>
      <c r="F16" s="449"/>
      <c r="G16" s="447" t="s">
        <v>3065</v>
      </c>
      <c r="H16" s="450"/>
      <c r="I16" s="447" t="s">
        <v>3065</v>
      </c>
      <c r="J16" s="448"/>
      <c r="K16" s="615"/>
      <c r="L16" s="1139"/>
      <c r="M16" s="1130"/>
      <c r="N16" s="1130"/>
      <c r="O16" s="1130"/>
      <c r="P16" s="3238"/>
      <c r="Q16" s="2938"/>
      <c r="R16" s="773"/>
      <c r="S16" s="774"/>
      <c r="T16" s="773"/>
      <c r="U16" s="774"/>
      <c r="V16" s="773"/>
      <c r="W16" s="774"/>
      <c r="X16" s="2940"/>
      <c r="Y16" s="3240"/>
      <c r="Z16" s="2941"/>
      <c r="AA16" s="2939">
        <v>1</v>
      </c>
      <c r="AB16" s="2939">
        <v>1</v>
      </c>
      <c r="AC16" s="2939">
        <v>1</v>
      </c>
    </row>
    <row r="17" spans="1:29" ht="99.75">
      <c r="A17" s="428"/>
      <c r="B17" s="451" t="s">
        <v>2090</v>
      </c>
      <c r="C17" s="2602" t="str">
        <f>估价对象房地状况!C6</f>
        <v>估价对象周边有485、501、602、736、957路及地铁十号线等、公共交通通达情况较好、停车便捷程度较好，综合评价交通便捷度较好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2">
        <f>'比较法-商业'!K17</f>
        <v>2</v>
      </c>
      <c r="L17" s="1139"/>
      <c r="M17" s="1130"/>
      <c r="N17" s="1130"/>
      <c r="O17" s="1130"/>
      <c r="P17" s="3238"/>
      <c r="Q17" s="2938" t="str">
        <f>B17</f>
        <v>交通便捷度</v>
      </c>
      <c r="R17" s="773" t="s">
        <v>17</v>
      </c>
      <c r="S17" s="774">
        <f>F17</f>
        <v>100</v>
      </c>
      <c r="T17" s="773" t="s">
        <v>17</v>
      </c>
      <c r="U17" s="774">
        <f>H17</f>
        <v>100</v>
      </c>
      <c r="V17" s="773" t="s">
        <v>17</v>
      </c>
      <c r="W17" s="774">
        <f>J17</f>
        <v>100</v>
      </c>
      <c r="X17" s="2940"/>
      <c r="Y17" s="3240"/>
      <c r="Z17" s="2941" t="str">
        <f>Q17</f>
        <v>交通便捷度</v>
      </c>
      <c r="AA17" s="2939">
        <f t="shared" si="3"/>
        <v>1</v>
      </c>
      <c r="AB17" s="2939">
        <f t="shared" si="4"/>
        <v>1</v>
      </c>
      <c r="AC17" s="2939">
        <f t="shared" si="5"/>
        <v>1</v>
      </c>
    </row>
    <row r="18" spans="1:29" ht="15">
      <c r="A18" s="428"/>
      <c r="B18" s="456"/>
      <c r="C18" s="2603" t="s">
        <v>3065</v>
      </c>
      <c r="D18" s="450"/>
      <c r="E18" s="2603" t="s">
        <v>3065</v>
      </c>
      <c r="F18" s="453"/>
      <c r="G18" s="2603" t="s">
        <v>3065</v>
      </c>
      <c r="H18" s="448"/>
      <c r="I18" s="2603" t="s">
        <v>3065</v>
      </c>
      <c r="J18" s="448"/>
      <c r="K18" s="615"/>
      <c r="L18" s="1139"/>
      <c r="M18" s="1130"/>
      <c r="N18" s="1130"/>
      <c r="O18" s="1130"/>
      <c r="P18" s="3238"/>
      <c r="Q18" s="2938"/>
      <c r="R18" s="773"/>
      <c r="S18" s="774"/>
      <c r="T18" s="773"/>
      <c r="U18" s="774"/>
      <c r="V18" s="773"/>
      <c r="W18" s="774"/>
      <c r="X18" s="2940"/>
      <c r="Y18" s="3240"/>
      <c r="Z18" s="2941"/>
      <c r="AA18" s="2939">
        <v>1</v>
      </c>
      <c r="AB18" s="2939">
        <v>1</v>
      </c>
      <c r="AC18" s="2939">
        <v>1</v>
      </c>
    </row>
    <row r="19" spans="1:29" ht="93" customHeight="1">
      <c r="A19" s="428"/>
      <c r="B19" s="451" t="s">
        <v>2642</v>
      </c>
      <c r="C19" s="2602" t="str">
        <f>估价对象房地状况!C7</f>
        <v>周边有中国建设银行、广东发展银行、集美家居、物美超市、西马金润小学、丰台第一小学远洋分校等，公共配套设施较齐备</v>
      </c>
      <c r="D19" s="455">
        <v>100</v>
      </c>
      <c r="E19" s="457"/>
      <c r="F19" s="458">
        <f>SUMIF(80:80,E20,81:81)-SUMIF(80:80,C20,81:81)+100</f>
        <v>100</v>
      </c>
      <c r="G19" s="459"/>
      <c r="H19" s="450">
        <f>SUMIF(80:80,G20,81:81)-SUMIF(80:80,C20,81:81)+100</f>
        <v>100</v>
      </c>
      <c r="I19" s="457"/>
      <c r="J19" s="450">
        <f>SUMIF(80:80,I20,81:81)-SUMIF(80:80,C20,81:81)+100</f>
        <v>100</v>
      </c>
      <c r="K19" s="612">
        <f>'比较法-商业'!K19</f>
        <v>2</v>
      </c>
      <c r="L19" s="1139"/>
      <c r="M19" s="1130"/>
      <c r="N19" s="1130"/>
      <c r="O19" s="1130"/>
      <c r="P19" s="3238"/>
      <c r="Q19" s="2938" t="str">
        <f>B19</f>
        <v>公共配套设施</v>
      </c>
      <c r="R19" s="773" t="s">
        <v>17</v>
      </c>
      <c r="S19" s="774">
        <f>F19</f>
        <v>100</v>
      </c>
      <c r="T19" s="773" t="s">
        <v>17</v>
      </c>
      <c r="U19" s="774">
        <f>H19</f>
        <v>100</v>
      </c>
      <c r="V19" s="773" t="s">
        <v>17</v>
      </c>
      <c r="W19" s="774">
        <f>J19</f>
        <v>100</v>
      </c>
      <c r="X19" s="2940"/>
      <c r="Y19" s="3240"/>
      <c r="Z19" s="2941" t="str">
        <f>Q19</f>
        <v>公共配套设施</v>
      </c>
      <c r="AA19" s="2939">
        <f t="shared" si="3"/>
        <v>1</v>
      </c>
      <c r="AB19" s="2939">
        <f t="shared" si="4"/>
        <v>1</v>
      </c>
      <c r="AC19" s="2939">
        <f t="shared" si="5"/>
        <v>1</v>
      </c>
    </row>
    <row r="20" spans="1:29" ht="15">
      <c r="A20" s="428"/>
      <c r="B20" s="456"/>
      <c r="C20" s="447" t="s">
        <v>3065</v>
      </c>
      <c r="D20" s="448"/>
      <c r="E20" s="447" t="s">
        <v>3065</v>
      </c>
      <c r="F20" s="449"/>
      <c r="G20" s="447" t="s">
        <v>3065</v>
      </c>
      <c r="H20" s="448"/>
      <c r="I20" s="447" t="s">
        <v>3065</v>
      </c>
      <c r="J20" s="448"/>
      <c r="K20" s="615"/>
      <c r="L20" s="1139"/>
      <c r="M20" s="1130"/>
      <c r="N20" s="1130"/>
      <c r="O20" s="1130"/>
      <c r="P20" s="3238"/>
      <c r="Q20" s="2938"/>
      <c r="R20" s="773"/>
      <c r="S20" s="774"/>
      <c r="T20" s="773"/>
      <c r="U20" s="774"/>
      <c r="V20" s="773"/>
      <c r="W20" s="774"/>
      <c r="X20" s="2940"/>
      <c r="Y20" s="3240"/>
      <c r="Z20" s="2941"/>
      <c r="AA20" s="2939">
        <v>1</v>
      </c>
      <c r="AB20" s="2939">
        <v>1</v>
      </c>
      <c r="AC20" s="2939">
        <v>1</v>
      </c>
    </row>
    <row r="21" spans="1:29" ht="15">
      <c r="A21" s="428"/>
      <c r="B21" s="1383" t="s">
        <v>2643</v>
      </c>
      <c r="C21" s="2602"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2">
        <f>'比较法-商业'!K21</f>
        <v>1</v>
      </c>
      <c r="L21" s="1139"/>
      <c r="M21" s="1130"/>
      <c r="N21" s="1130"/>
      <c r="O21" s="1130"/>
      <c r="P21" s="3238"/>
      <c r="Q21" s="2938" t="str">
        <f>B21</f>
        <v>基础设施水平</v>
      </c>
      <c r="R21" s="773" t="s">
        <v>17</v>
      </c>
      <c r="S21" s="774">
        <f>F21</f>
        <v>100</v>
      </c>
      <c r="T21" s="773" t="s">
        <v>17</v>
      </c>
      <c r="U21" s="774">
        <f>H21</f>
        <v>100</v>
      </c>
      <c r="V21" s="773" t="s">
        <v>17</v>
      </c>
      <c r="W21" s="774">
        <f>J21</f>
        <v>100</v>
      </c>
      <c r="X21" s="2940"/>
      <c r="Y21" s="3240"/>
      <c r="Z21" s="2941" t="str">
        <f>Q21</f>
        <v>基础设施水平</v>
      </c>
      <c r="AA21" s="2939">
        <f t="shared" ref="AA21" si="8">D21/F21</f>
        <v>1</v>
      </c>
      <c r="AB21" s="2939">
        <f t="shared" ref="AB21" si="9">D21/H21</f>
        <v>1</v>
      </c>
      <c r="AC21" s="2939">
        <f t="shared" ref="AC21" si="10">D21/J21</f>
        <v>1</v>
      </c>
    </row>
    <row r="22" spans="1:29" ht="15">
      <c r="A22" s="428"/>
      <c r="B22" s="1383"/>
      <c r="C22" s="2603" t="s">
        <v>3066</v>
      </c>
      <c r="D22" s="448"/>
      <c r="E22" s="2603" t="s">
        <v>3066</v>
      </c>
      <c r="F22" s="449"/>
      <c r="G22" s="2603" t="s">
        <v>3066</v>
      </c>
      <c r="H22" s="448"/>
      <c r="I22" s="2603" t="s">
        <v>3066</v>
      </c>
      <c r="J22" s="448"/>
      <c r="K22" s="1382"/>
      <c r="L22" s="1139"/>
      <c r="M22" s="1130"/>
      <c r="N22" s="1130"/>
      <c r="O22" s="1130"/>
      <c r="P22" s="3238"/>
      <c r="Q22" s="2938"/>
      <c r="R22" s="773"/>
      <c r="S22" s="774"/>
      <c r="T22" s="773"/>
      <c r="U22" s="774"/>
      <c r="V22" s="773"/>
      <c r="W22" s="774"/>
      <c r="X22" s="2940"/>
      <c r="Y22" s="3240"/>
      <c r="Z22" s="2941"/>
      <c r="AA22" s="2939">
        <v>1</v>
      </c>
      <c r="AB22" s="2939">
        <v>1</v>
      </c>
      <c r="AC22" s="2939">
        <v>1</v>
      </c>
    </row>
    <row r="23" spans="1:29" ht="28.5">
      <c r="A23" s="428"/>
      <c r="B23" s="451" t="s">
        <v>2093</v>
      </c>
      <c r="C23" s="2659" t="str">
        <f>估价对象房地状况!C9</f>
        <v>周边有桃苑公园自然及人文环境一般</v>
      </c>
      <c r="D23" s="450">
        <v>100</v>
      </c>
      <c r="E23" s="452"/>
      <c r="F23" s="453">
        <f>SUMIF(84:84,E24,85:85)-SUMIF(84:84,C24,85:85)+100</f>
        <v>100</v>
      </c>
      <c r="G23" s="454"/>
      <c r="H23" s="450">
        <f>SUMIF(84:84,G24,85:85)-SUMIF(84:84,C24,85:85)+100</f>
        <v>100</v>
      </c>
      <c r="I23" s="452"/>
      <c r="J23" s="450">
        <f>SUMIF(84:84,I24,85:85)-SUMIF(84:84,C24,85:85)+100</f>
        <v>100</v>
      </c>
      <c r="K23" s="612">
        <f>'比较法-商业'!K23</f>
        <v>2</v>
      </c>
      <c r="L23" s="1139"/>
      <c r="M23" s="1130"/>
      <c r="N23" s="1130"/>
      <c r="O23" s="1130"/>
      <c r="P23" s="3238"/>
      <c r="Q23" s="2938" t="str">
        <f>B23</f>
        <v>自然及人文环境</v>
      </c>
      <c r="R23" s="773" t="s">
        <v>17</v>
      </c>
      <c r="S23" s="774">
        <f>F23</f>
        <v>100</v>
      </c>
      <c r="T23" s="773" t="s">
        <v>17</v>
      </c>
      <c r="U23" s="774">
        <f>H23</f>
        <v>100</v>
      </c>
      <c r="V23" s="773" t="s">
        <v>17</v>
      </c>
      <c r="W23" s="774">
        <f>J23</f>
        <v>100</v>
      </c>
      <c r="X23" s="2940"/>
      <c r="Y23" s="3240"/>
      <c r="Z23" s="2941" t="str">
        <f>Q23</f>
        <v>自然及人文环境</v>
      </c>
      <c r="AA23" s="2939">
        <f t="shared" si="3"/>
        <v>1</v>
      </c>
      <c r="AB23" s="2939">
        <f t="shared" si="4"/>
        <v>1</v>
      </c>
      <c r="AC23" s="2939">
        <f t="shared" si="5"/>
        <v>1</v>
      </c>
    </row>
    <row r="24" spans="1:29" ht="15">
      <c r="A24" s="428"/>
      <c r="B24" s="456"/>
      <c r="C24" s="447" t="s">
        <v>3064</v>
      </c>
      <c r="D24" s="448"/>
      <c r="E24" s="447" t="s">
        <v>3064</v>
      </c>
      <c r="F24" s="449"/>
      <c r="G24" s="447" t="s">
        <v>3064</v>
      </c>
      <c r="H24" s="448"/>
      <c r="I24" s="447" t="s">
        <v>3064</v>
      </c>
      <c r="J24" s="448"/>
      <c r="K24" s="615"/>
      <c r="L24" s="1139"/>
      <c r="M24" s="1130"/>
      <c r="N24" s="1130"/>
      <c r="O24" s="1130"/>
      <c r="P24" s="3238"/>
      <c r="Q24" s="2938"/>
      <c r="R24" s="773"/>
      <c r="S24" s="774"/>
      <c r="T24" s="773"/>
      <c r="U24" s="774"/>
      <c r="V24" s="773"/>
      <c r="W24" s="774"/>
      <c r="X24" s="2940"/>
      <c r="Y24" s="3240"/>
      <c r="Z24" s="2941"/>
      <c r="AA24" s="2939">
        <v>1</v>
      </c>
      <c r="AB24" s="2939">
        <v>1</v>
      </c>
      <c r="AC24" s="2939">
        <v>1</v>
      </c>
    </row>
    <row r="25" spans="1:29" ht="15">
      <c r="A25" s="428"/>
      <c r="B25" s="2936" t="s">
        <v>2644</v>
      </c>
      <c r="C25" s="616" t="s">
        <v>3071</v>
      </c>
      <c r="D25" s="435">
        <v>100</v>
      </c>
      <c r="E25" s="616" t="s">
        <v>3071</v>
      </c>
      <c r="F25" s="461">
        <f>SUMIF(86:86,E25,87:87)-SUMIF(86:86,C25,87:87)+100</f>
        <v>100</v>
      </c>
      <c r="G25" s="616" t="s">
        <v>3071</v>
      </c>
      <c r="H25" s="435">
        <f>SUMIF(86:86,G25,87:87)-SUMIF(86:86,C25,87:87)+100</f>
        <v>100</v>
      </c>
      <c r="I25" s="616" t="s">
        <v>3071</v>
      </c>
      <c r="J25" s="435">
        <f>SUMIF(86:86,I25,87:87)-SUMIF(86:86,C25,87:87)+100</f>
        <v>100</v>
      </c>
      <c r="K25" s="612">
        <f>'比较法-商业'!K25</f>
        <v>2</v>
      </c>
      <c r="L25" s="1139"/>
      <c r="M25" s="1130"/>
      <c r="N25" s="1130"/>
      <c r="O25" s="1130"/>
      <c r="P25" s="3238"/>
      <c r="Q25" s="2938" t="str">
        <f t="shared" ref="Q25:Q46" si="11">B25</f>
        <v>临街状况</v>
      </c>
      <c r="R25" s="773" t="s">
        <v>17</v>
      </c>
      <c r="S25" s="774">
        <f>F25</f>
        <v>100</v>
      </c>
      <c r="T25" s="773" t="s">
        <v>17</v>
      </c>
      <c r="U25" s="774">
        <f>H25</f>
        <v>100</v>
      </c>
      <c r="V25" s="773" t="s">
        <v>17</v>
      </c>
      <c r="W25" s="774">
        <f>J25</f>
        <v>100</v>
      </c>
      <c r="X25" s="2940"/>
      <c r="Y25" s="3240"/>
      <c r="Z25" s="2941" t="str">
        <f>Q25</f>
        <v>临街状况</v>
      </c>
      <c r="AA25" s="2939">
        <f t="shared" si="3"/>
        <v>1</v>
      </c>
      <c r="AB25" s="2939">
        <f t="shared" si="4"/>
        <v>1</v>
      </c>
      <c r="AC25" s="2939">
        <f t="shared" si="5"/>
        <v>1</v>
      </c>
    </row>
    <row r="26" spans="1:29" ht="15">
      <c r="A26" s="428"/>
      <c r="B26" s="1385" t="s">
        <v>2645</v>
      </c>
      <c r="C26" s="2960" t="s">
        <v>3068</v>
      </c>
      <c r="D26" s="435">
        <v>100</v>
      </c>
      <c r="E26" s="2960" t="s">
        <v>3068</v>
      </c>
      <c r="F26" s="461">
        <f>SUMIF(88:88,E26,89:89)-SUMIF(88:88,C26,89:89)+100</f>
        <v>100</v>
      </c>
      <c r="G26" s="2960" t="s">
        <v>3068</v>
      </c>
      <c r="H26" s="435">
        <f>SUMIF(88:88,G26,89:89)-SUMIF(88:88,C26,89:89)+100</f>
        <v>100</v>
      </c>
      <c r="I26" s="2960" t="s">
        <v>3068</v>
      </c>
      <c r="J26" s="435">
        <f>SUMIF(88:88,I26,89:89)-SUMIF(88:88,C26,89:89)+100</f>
        <v>100</v>
      </c>
      <c r="K26" s="613"/>
      <c r="L26" s="1139"/>
      <c r="M26" s="1130"/>
      <c r="N26" s="1130"/>
      <c r="O26" s="1130"/>
      <c r="P26" s="3238"/>
      <c r="Q26" s="2938" t="str">
        <f t="shared" si="11"/>
        <v>平面位置/可视性</v>
      </c>
      <c r="R26" s="773" t="s">
        <v>17</v>
      </c>
      <c r="S26" s="774">
        <f>F26</f>
        <v>100</v>
      </c>
      <c r="T26" s="773" t="s">
        <v>17</v>
      </c>
      <c r="U26" s="774">
        <f>H26</f>
        <v>100</v>
      </c>
      <c r="V26" s="773" t="s">
        <v>17</v>
      </c>
      <c r="W26" s="774">
        <f>J26</f>
        <v>100</v>
      </c>
      <c r="X26" s="2940"/>
      <c r="Y26" s="3240"/>
      <c r="Z26" s="2941" t="str">
        <f>Q26</f>
        <v>平面位置/可视性</v>
      </c>
      <c r="AA26" s="2939">
        <f t="shared" si="3"/>
        <v>1</v>
      </c>
      <c r="AB26" s="2939">
        <f t="shared" si="4"/>
        <v>1</v>
      </c>
      <c r="AC26" s="2939">
        <f t="shared" si="5"/>
        <v>1</v>
      </c>
    </row>
    <row r="27" spans="1:29" s="117" customFormat="1" ht="15">
      <c r="A27" s="431"/>
      <c r="B27" s="451" t="s">
        <v>2646</v>
      </c>
      <c r="C27" s="2660" t="s">
        <v>3064</v>
      </c>
      <c r="D27" s="462">
        <v>100</v>
      </c>
      <c r="E27" s="2660" t="s">
        <v>3065</v>
      </c>
      <c r="F27" s="464">
        <f>SUMIF(90:90,E27,91:91)-SUMIF(90:90,C27,91:91)+100</f>
        <v>102</v>
      </c>
      <c r="G27" s="2660" t="s">
        <v>3065</v>
      </c>
      <c r="H27" s="462">
        <f>SUMIF(90:90,G27,91:91)-SUMIF(90:90,C27,91:91)+100</f>
        <v>102</v>
      </c>
      <c r="I27" s="2660" t="s">
        <v>3065</v>
      </c>
      <c r="J27" s="462">
        <f>SUMIF(90:90,I27,91:91)-SUMIF(90:90,C27,91:91)+100</f>
        <v>102</v>
      </c>
      <c r="K27" s="612">
        <f>'比较法-商业'!K27</f>
        <v>2</v>
      </c>
      <c r="L27" s="1131"/>
      <c r="M27" s="1132"/>
      <c r="N27" s="1132"/>
      <c r="O27" s="1132"/>
      <c r="P27" s="3238"/>
      <c r="Q27" s="2934" t="str">
        <f t="shared" si="11"/>
        <v>人流量</v>
      </c>
      <c r="R27" s="769" t="s">
        <v>17</v>
      </c>
      <c r="S27" s="770">
        <f>F27</f>
        <v>102</v>
      </c>
      <c r="T27" s="769" t="s">
        <v>17</v>
      </c>
      <c r="U27" s="770">
        <f>H27</f>
        <v>102</v>
      </c>
      <c r="V27" s="769" t="s">
        <v>17</v>
      </c>
      <c r="W27" s="770">
        <f>J27</f>
        <v>102</v>
      </c>
      <c r="X27" s="771"/>
      <c r="Y27" s="3240"/>
      <c r="Z27" s="2935" t="str">
        <f>Q27</f>
        <v>人流量</v>
      </c>
      <c r="AA27" s="2939">
        <f>D27/F27</f>
        <v>0.98039215686274506</v>
      </c>
      <c r="AB27" s="2939">
        <f>D27/H27</f>
        <v>0.98039215686274506</v>
      </c>
      <c r="AC27" s="2939">
        <f>D27/J27</f>
        <v>0.98039215686274506</v>
      </c>
    </row>
    <row r="28" spans="1:29" ht="15.75" thickBot="1">
      <c r="A28" s="428"/>
      <c r="B28" s="2936" t="s">
        <v>2647</v>
      </c>
      <c r="C28" s="616">
        <v>1</v>
      </c>
      <c r="D28" s="435">
        <v>100</v>
      </c>
      <c r="E28" s="616">
        <v>1</v>
      </c>
      <c r="F28" s="461">
        <f>SUMIF(92:92,E28,93:93)-SUMIF(92:92,C28,93:93)+100</f>
        <v>100</v>
      </c>
      <c r="G28" s="616">
        <v>1</v>
      </c>
      <c r="H28" s="435">
        <f>SUMIF(92:92,G28,93:93)-SUMIF(92:92,C28,93:93)+100</f>
        <v>100</v>
      </c>
      <c r="I28" s="616">
        <v>1</v>
      </c>
      <c r="J28" s="435">
        <f>SUMIF(92:92,I28,93:93)-SUMIF(92:92,C28,93:93)+100</f>
        <v>100</v>
      </c>
      <c r="K28" s="613"/>
      <c r="L28" s="1139"/>
      <c r="M28" s="1130"/>
      <c r="N28" s="1130"/>
      <c r="O28" s="1130"/>
      <c r="P28" s="3238"/>
      <c r="Q28" s="2938" t="str">
        <f t="shared" si="11"/>
        <v>楼层</v>
      </c>
      <c r="R28" s="773" t="s">
        <v>17</v>
      </c>
      <c r="S28" s="774">
        <f t="shared" ref="S28:S46" si="12">F28</f>
        <v>100</v>
      </c>
      <c r="T28" s="773" t="s">
        <v>17</v>
      </c>
      <c r="U28" s="774">
        <f t="shared" ref="U28:U46" si="13">H28</f>
        <v>100</v>
      </c>
      <c r="V28" s="773" t="s">
        <v>17</v>
      </c>
      <c r="W28" s="774">
        <f t="shared" ref="W28:W46" si="14">J28</f>
        <v>100</v>
      </c>
      <c r="X28" s="2940"/>
      <c r="Y28" s="3240"/>
      <c r="Z28" s="2941" t="str">
        <f t="shared" ref="Z28:Z46" si="15">Q28</f>
        <v>楼层</v>
      </c>
      <c r="AA28" s="2939">
        <f t="shared" si="3"/>
        <v>1</v>
      </c>
      <c r="AB28" s="2939">
        <f t="shared" si="4"/>
        <v>1</v>
      </c>
      <c r="AC28" s="2939">
        <f t="shared" si="5"/>
        <v>1</v>
      </c>
    </row>
    <row r="29" spans="1:29" ht="15.75" hidden="1" thickBot="1">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238"/>
      <c r="Q29" s="2938">
        <f t="shared" si="11"/>
        <v>111</v>
      </c>
      <c r="R29" s="773" t="s">
        <v>17</v>
      </c>
      <c r="S29" s="774">
        <f t="shared" si="12"/>
        <v>100</v>
      </c>
      <c r="T29" s="773" t="s">
        <v>17</v>
      </c>
      <c r="U29" s="774">
        <f t="shared" si="13"/>
        <v>100</v>
      </c>
      <c r="V29" s="773" t="s">
        <v>17</v>
      </c>
      <c r="W29" s="774">
        <f t="shared" si="14"/>
        <v>100</v>
      </c>
      <c r="X29" s="2940"/>
      <c r="Y29" s="3240"/>
      <c r="Z29" s="2941">
        <f t="shared" si="15"/>
        <v>111</v>
      </c>
      <c r="AA29" s="2939">
        <f t="shared" si="3"/>
        <v>1</v>
      </c>
      <c r="AB29" s="2939">
        <f t="shared" si="4"/>
        <v>1</v>
      </c>
      <c r="AC29" s="2939">
        <f t="shared" si="5"/>
        <v>1</v>
      </c>
    </row>
    <row r="30" spans="1:29" ht="15.75" hidden="1" thickBot="1">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238"/>
      <c r="Q30" s="2938">
        <f t="shared" si="11"/>
        <v>111</v>
      </c>
      <c r="R30" s="773" t="s">
        <v>17</v>
      </c>
      <c r="S30" s="774">
        <f t="shared" si="12"/>
        <v>100</v>
      </c>
      <c r="T30" s="773" t="s">
        <v>17</v>
      </c>
      <c r="U30" s="774">
        <f t="shared" si="13"/>
        <v>100</v>
      </c>
      <c r="V30" s="773" t="s">
        <v>17</v>
      </c>
      <c r="W30" s="774">
        <f t="shared" si="14"/>
        <v>100</v>
      </c>
      <c r="X30" s="2940"/>
      <c r="Y30" s="3240"/>
      <c r="Z30" s="2941">
        <f t="shared" si="15"/>
        <v>111</v>
      </c>
      <c r="AA30" s="2939">
        <f t="shared" si="3"/>
        <v>1</v>
      </c>
      <c r="AB30" s="2939">
        <f t="shared" si="4"/>
        <v>1</v>
      </c>
      <c r="AC30" s="2939">
        <f t="shared" si="5"/>
        <v>1</v>
      </c>
    </row>
    <row r="31" spans="1:29" ht="15.75" hidden="1"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238"/>
      <c r="Q31" s="2938">
        <f t="shared" si="11"/>
        <v>111</v>
      </c>
      <c r="R31" s="773" t="s">
        <v>17</v>
      </c>
      <c r="S31" s="774">
        <f t="shared" si="12"/>
        <v>100</v>
      </c>
      <c r="T31" s="773" t="s">
        <v>17</v>
      </c>
      <c r="U31" s="774">
        <f t="shared" si="13"/>
        <v>100</v>
      </c>
      <c r="V31" s="773" t="s">
        <v>17</v>
      </c>
      <c r="W31" s="774">
        <f t="shared" si="14"/>
        <v>100</v>
      </c>
      <c r="X31" s="2940"/>
      <c r="Y31" s="3240"/>
      <c r="Z31" s="2941">
        <f t="shared" si="15"/>
        <v>111</v>
      </c>
      <c r="AA31" s="2939">
        <f t="shared" si="3"/>
        <v>1</v>
      </c>
      <c r="AB31" s="2939">
        <f t="shared" si="4"/>
        <v>1</v>
      </c>
      <c r="AC31" s="2939">
        <f t="shared" si="5"/>
        <v>1</v>
      </c>
    </row>
    <row r="32" spans="1:29" ht="15">
      <c r="A32" s="440" t="s">
        <v>2551</v>
      </c>
      <c r="B32" s="71" t="s">
        <v>2648</v>
      </c>
      <c r="C32" s="2612" t="s">
        <v>3073</v>
      </c>
      <c r="D32" s="467">
        <v>100</v>
      </c>
      <c r="E32" s="2612" t="s">
        <v>3073</v>
      </c>
      <c r="F32" s="461">
        <f>SUMIF(100:100,E32,101:101)-SUMIF(100:100,C32,101:101)+100</f>
        <v>100</v>
      </c>
      <c r="G32" s="2612" t="s">
        <v>3073</v>
      </c>
      <c r="H32" s="435">
        <f>SUMIF(100:100,G32,101:101)-SUMIF(100:100,C32,101:101)+100</f>
        <v>100</v>
      </c>
      <c r="I32" s="2612" t="s">
        <v>3073</v>
      </c>
      <c r="J32" s="467">
        <f>SUMIF(100:100,I32,101:101)-SUMIF(100:100,C32,101:101)+100</f>
        <v>100</v>
      </c>
      <c r="K32" s="612">
        <f>'比较法-商业'!K32</f>
        <v>2</v>
      </c>
      <c r="L32" s="1139"/>
      <c r="M32" s="1130"/>
      <c r="N32" s="1130"/>
      <c r="O32" s="1130"/>
      <c r="P32" s="3241" t="s">
        <v>2553</v>
      </c>
      <c r="Q32" s="2938" t="str">
        <f t="shared" si="11"/>
        <v>商业类型</v>
      </c>
      <c r="R32" s="773" t="s">
        <v>17</v>
      </c>
      <c r="S32" s="774">
        <f t="shared" si="12"/>
        <v>100</v>
      </c>
      <c r="T32" s="773" t="s">
        <v>17</v>
      </c>
      <c r="U32" s="774">
        <f t="shared" si="13"/>
        <v>100</v>
      </c>
      <c r="V32" s="773" t="s">
        <v>17</v>
      </c>
      <c r="W32" s="774">
        <f t="shared" si="14"/>
        <v>100</v>
      </c>
      <c r="X32" s="2940"/>
      <c r="Y32" s="3244" t="s">
        <v>2553</v>
      </c>
      <c r="Z32" s="2941" t="str">
        <f t="shared" si="15"/>
        <v>商业类型</v>
      </c>
      <c r="AA32" s="2939">
        <f t="shared" si="3"/>
        <v>1</v>
      </c>
      <c r="AB32" s="2939">
        <f t="shared" si="4"/>
        <v>1</v>
      </c>
      <c r="AC32" s="2939">
        <f t="shared" si="5"/>
        <v>1</v>
      </c>
    </row>
    <row r="33" spans="1:29" s="471" customFormat="1" ht="15">
      <c r="A33" s="468"/>
      <c r="B33" s="2936" t="s">
        <v>2554</v>
      </c>
      <c r="C33" s="469">
        <f>典型户型修正!B24</f>
        <v>173.52</v>
      </c>
      <c r="D33" s="136">
        <v>100</v>
      </c>
      <c r="E33" s="430">
        <v>87</v>
      </c>
      <c r="F33" s="425">
        <f>LOOKUP(E33,103:103,104:104)-LOOKUP(C33,103:103,104:104)+100</f>
        <v>102</v>
      </c>
      <c r="G33" s="429">
        <v>123</v>
      </c>
      <c r="H33" s="136">
        <f>LOOKUP(G33,103:103,104:104)-LOOKUP(C33,103:103,104:104)+100</f>
        <v>101</v>
      </c>
      <c r="I33" s="429">
        <v>153</v>
      </c>
      <c r="J33" s="136">
        <f>LOOKUP(I33,103:103,104:104)-LOOKUP(C33,103:103,104:104)+100</f>
        <v>100</v>
      </c>
      <c r="K33" s="613"/>
      <c r="L33" s="1137"/>
      <c r="M33" s="1140"/>
      <c r="N33" s="1140"/>
      <c r="O33" s="1140"/>
      <c r="P33" s="3242"/>
      <c r="Q33" s="775" t="str">
        <f t="shared" si="11"/>
        <v>项目建筑规模</v>
      </c>
      <c r="R33" s="776" t="s">
        <v>17</v>
      </c>
      <c r="S33" s="777">
        <f t="shared" si="12"/>
        <v>102</v>
      </c>
      <c r="T33" s="776" t="s">
        <v>17</v>
      </c>
      <c r="U33" s="777">
        <f t="shared" si="13"/>
        <v>101</v>
      </c>
      <c r="V33" s="776" t="s">
        <v>17</v>
      </c>
      <c r="W33" s="777">
        <f t="shared" si="14"/>
        <v>100</v>
      </c>
      <c r="X33" s="778"/>
      <c r="Y33" s="3244"/>
      <c r="Z33" s="779" t="str">
        <f t="shared" si="15"/>
        <v>项目建筑规模</v>
      </c>
      <c r="AA33" s="2939">
        <f t="shared" si="3"/>
        <v>0.98039215686274506</v>
      </c>
      <c r="AB33" s="2939">
        <f t="shared" si="4"/>
        <v>0.99009900990099009</v>
      </c>
      <c r="AC33" s="2939">
        <f t="shared" si="5"/>
        <v>1</v>
      </c>
    </row>
    <row r="34" spans="1:29" ht="15">
      <c r="A34" s="472"/>
      <c r="B34" s="2936" t="s">
        <v>2555</v>
      </c>
      <c r="C34" s="2614" t="s">
        <v>3075</v>
      </c>
      <c r="D34" s="435">
        <v>100</v>
      </c>
      <c r="E34" s="2614" t="s">
        <v>3075</v>
      </c>
      <c r="F34" s="461">
        <f>SUMIF(105:105,E34,106:106)-SUMIF(105:105,C34,106:106)+100</f>
        <v>100</v>
      </c>
      <c r="G34" s="2614" t="s">
        <v>3075</v>
      </c>
      <c r="H34" s="435">
        <f>SUMIF(105:105,G34,106:106)-SUMIF(105:105,C34,106:106)+100</f>
        <v>100</v>
      </c>
      <c r="I34" s="2614" t="s">
        <v>3075</v>
      </c>
      <c r="J34" s="435">
        <f>SUMIF(105:105,I34,106:106)-SUMIF(105:105,C34,106:106)+100</f>
        <v>100</v>
      </c>
      <c r="K34" s="612">
        <f>'比较法-商业'!K34</f>
        <v>2</v>
      </c>
      <c r="L34" s="1139"/>
      <c r="M34" s="1130"/>
      <c r="N34" s="1130"/>
      <c r="O34" s="1130"/>
      <c r="P34" s="3242"/>
      <c r="Q34" s="2938" t="str">
        <f t="shared" si="11"/>
        <v>建筑结构</v>
      </c>
      <c r="R34" s="773" t="s">
        <v>17</v>
      </c>
      <c r="S34" s="774">
        <f t="shared" si="12"/>
        <v>100</v>
      </c>
      <c r="T34" s="773" t="s">
        <v>17</v>
      </c>
      <c r="U34" s="774">
        <f t="shared" si="13"/>
        <v>100</v>
      </c>
      <c r="V34" s="773" t="s">
        <v>17</v>
      </c>
      <c r="W34" s="774">
        <f t="shared" si="14"/>
        <v>100</v>
      </c>
      <c r="X34" s="2940"/>
      <c r="Y34" s="3244"/>
      <c r="Z34" s="2941" t="str">
        <f t="shared" si="15"/>
        <v>建筑结构</v>
      </c>
      <c r="AA34" s="2939">
        <f t="shared" si="3"/>
        <v>1</v>
      </c>
      <c r="AB34" s="2939">
        <f t="shared" si="4"/>
        <v>1</v>
      </c>
      <c r="AC34" s="2939">
        <f t="shared" si="5"/>
        <v>1</v>
      </c>
    </row>
    <row r="35" spans="1:29" ht="15">
      <c r="A35" s="472"/>
      <c r="B35" s="2936" t="s">
        <v>2649</v>
      </c>
      <c r="C35" s="2608" t="s">
        <v>3080</v>
      </c>
      <c r="D35" s="435">
        <v>100</v>
      </c>
      <c r="E35" s="2608" t="s">
        <v>3080</v>
      </c>
      <c r="F35" s="461">
        <f>SUMIF(107:107,E35,108:108)-SUMIF(107:107,C35,108:108)+100</f>
        <v>100</v>
      </c>
      <c r="G35" s="2608" t="s">
        <v>3080</v>
      </c>
      <c r="H35" s="435">
        <f>SUMIF(107:107,G35,108:108)-SUMIF(107:107,C35,108:108)+100</f>
        <v>100</v>
      </c>
      <c r="I35" s="2608" t="s">
        <v>3080</v>
      </c>
      <c r="J35" s="435">
        <f>SUMIF(107:107,I35,108:108)-SUMIF(107:107,C35,108:108)+100</f>
        <v>100</v>
      </c>
      <c r="K35" s="612">
        <f>'比较法-商业'!K35</f>
        <v>2</v>
      </c>
      <c r="L35" s="1139"/>
      <c r="M35" s="1130"/>
      <c r="N35" s="1130"/>
      <c r="O35" s="1130"/>
      <c r="P35" s="3242"/>
      <c r="Q35" s="2938" t="str">
        <f t="shared" si="11"/>
        <v>公共部分装修</v>
      </c>
      <c r="R35" s="773" t="s">
        <v>17</v>
      </c>
      <c r="S35" s="774">
        <f t="shared" si="12"/>
        <v>100</v>
      </c>
      <c r="T35" s="773" t="s">
        <v>17</v>
      </c>
      <c r="U35" s="774">
        <f t="shared" si="13"/>
        <v>100</v>
      </c>
      <c r="V35" s="773" t="s">
        <v>17</v>
      </c>
      <c r="W35" s="774">
        <f t="shared" si="14"/>
        <v>100</v>
      </c>
      <c r="X35" s="2940"/>
      <c r="Y35" s="3244"/>
      <c r="Z35" s="2941" t="str">
        <f t="shared" si="15"/>
        <v>公共部分装修</v>
      </c>
      <c r="AA35" s="2939">
        <f t="shared" si="3"/>
        <v>1</v>
      </c>
      <c r="AB35" s="2939">
        <f t="shared" si="4"/>
        <v>1</v>
      </c>
      <c r="AC35" s="2939">
        <f t="shared" si="5"/>
        <v>1</v>
      </c>
    </row>
    <row r="36" spans="1:29" ht="15">
      <c r="A36" s="472"/>
      <c r="B36" s="2936" t="s">
        <v>2650</v>
      </c>
      <c r="C36" s="474">
        <f>'数据-取费表'!N6</f>
        <v>0.87</v>
      </c>
      <c r="D36" s="435">
        <v>100</v>
      </c>
      <c r="E36" s="474">
        <f>ROUND(1-(1-0%)*(2018-2006)/60,2)</f>
        <v>0.8</v>
      </c>
      <c r="F36" s="461">
        <f>LOOKUP(E36,110:110,111:111)-LOOKUP(C36,110:110,111:111)+100</f>
        <v>100</v>
      </c>
      <c r="G36" s="474">
        <f>ROUND(1-(1-0%)*(2018-2008)/60,2)</f>
        <v>0.83</v>
      </c>
      <c r="H36" s="461">
        <f>LOOKUP(G36,110:110,111:111)-LOOKUP(C36,110:110,111:111)+100</f>
        <v>100</v>
      </c>
      <c r="I36" s="474">
        <f>ROUND(1-(1-0%)*(2018-2003)/60,2)</f>
        <v>0.75</v>
      </c>
      <c r="J36" s="435">
        <f>LOOKUP(I36,110:110,111:111)-LOOKUP(C36,110:110,111:111)+100</f>
        <v>98</v>
      </c>
      <c r="K36" s="612">
        <f>'比较法-商业'!K36</f>
        <v>2</v>
      </c>
      <c r="L36" s="1139"/>
      <c r="M36" s="1130"/>
      <c r="N36" s="1130"/>
      <c r="O36" s="1130"/>
      <c r="P36" s="3242"/>
      <c r="Q36" s="2938" t="str">
        <f t="shared" si="11"/>
        <v>成新度</v>
      </c>
      <c r="R36" s="773" t="s">
        <v>17</v>
      </c>
      <c r="S36" s="774">
        <f t="shared" si="12"/>
        <v>100</v>
      </c>
      <c r="T36" s="773" t="s">
        <v>17</v>
      </c>
      <c r="U36" s="774">
        <f t="shared" si="13"/>
        <v>100</v>
      </c>
      <c r="V36" s="773" t="s">
        <v>17</v>
      </c>
      <c r="W36" s="774">
        <f t="shared" si="14"/>
        <v>98</v>
      </c>
      <c r="X36" s="2940"/>
      <c r="Y36" s="3244"/>
      <c r="Z36" s="2941" t="str">
        <f t="shared" si="15"/>
        <v>成新度</v>
      </c>
      <c r="AA36" s="2939">
        <f t="shared" si="3"/>
        <v>1</v>
      </c>
      <c r="AB36" s="2939">
        <f t="shared" si="4"/>
        <v>1</v>
      </c>
      <c r="AC36" s="2939">
        <f t="shared" si="5"/>
        <v>1.0204081632653061</v>
      </c>
    </row>
    <row r="37" spans="1:29" s="117" customFormat="1" ht="15">
      <c r="A37" s="473"/>
      <c r="B37" s="2936" t="s">
        <v>2651</v>
      </c>
      <c r="C37" s="2608" t="s">
        <v>3087</v>
      </c>
      <c r="D37" s="136">
        <v>100</v>
      </c>
      <c r="E37" s="2608" t="s">
        <v>3087</v>
      </c>
      <c r="F37" s="461">
        <f>SUMIF(112:112,E37,113:113)-SUMIF(112:112,C37,113:113)+100</f>
        <v>100</v>
      </c>
      <c r="G37" s="2608" t="s">
        <v>3087</v>
      </c>
      <c r="H37" s="435">
        <f>SUMIF(112:112,G37,113:113)-SUMIF(112:112,C37,113:113)+100</f>
        <v>100</v>
      </c>
      <c r="I37" s="2608" t="s">
        <v>3087</v>
      </c>
      <c r="J37" s="435">
        <f>SUMIF(112:112,I37,113:113)-SUMIF(112:112,C37,113:113)+100</f>
        <v>100</v>
      </c>
      <c r="K37" s="612">
        <f>'比较法-商业'!K37</f>
        <v>1</v>
      </c>
      <c r="L37" s="1131"/>
      <c r="M37" s="1132"/>
      <c r="N37" s="1132"/>
      <c r="O37" s="1132"/>
      <c r="P37" s="3242"/>
      <c r="Q37" s="2934" t="str">
        <f t="shared" si="11"/>
        <v>市政基础设施</v>
      </c>
      <c r="R37" s="769" t="s">
        <v>17</v>
      </c>
      <c r="S37" s="770">
        <f t="shared" si="12"/>
        <v>100</v>
      </c>
      <c r="T37" s="769" t="s">
        <v>17</v>
      </c>
      <c r="U37" s="770">
        <f t="shared" si="13"/>
        <v>100</v>
      </c>
      <c r="V37" s="769" t="s">
        <v>17</v>
      </c>
      <c r="W37" s="770">
        <f t="shared" si="14"/>
        <v>100</v>
      </c>
      <c r="X37" s="771"/>
      <c r="Y37" s="3244"/>
      <c r="Z37" s="2935" t="str">
        <f t="shared" si="15"/>
        <v>市政基础设施</v>
      </c>
      <c r="AA37" s="772">
        <f t="shared" si="3"/>
        <v>1</v>
      </c>
      <c r="AB37" s="772">
        <f t="shared" si="4"/>
        <v>1</v>
      </c>
      <c r="AC37" s="772">
        <f t="shared" si="5"/>
        <v>1</v>
      </c>
    </row>
    <row r="38" spans="1:29" ht="15">
      <c r="A38" s="472"/>
      <c r="B38" s="2936" t="s">
        <v>2652</v>
      </c>
      <c r="C38" s="2608" t="s">
        <v>3093</v>
      </c>
      <c r="D38" s="435">
        <v>100</v>
      </c>
      <c r="E38" s="2608" t="s">
        <v>3093</v>
      </c>
      <c r="F38" s="461">
        <f>SUMIF(114:114,E38,115:115)-SUMIF(114:114,C38,115:115)+100</f>
        <v>100</v>
      </c>
      <c r="G38" s="2608" t="s">
        <v>3093</v>
      </c>
      <c r="H38" s="435">
        <f>SUMIF(114:114,G38,115:115)-SUMIF(114:114,C38,115:115)+100</f>
        <v>100</v>
      </c>
      <c r="I38" s="2608" t="s">
        <v>3093</v>
      </c>
      <c r="J38" s="435">
        <f>SUMIF(114:114,I38,115:115)-SUMIF(114:114,C38,115:115)+100</f>
        <v>100</v>
      </c>
      <c r="K38" s="612">
        <f>'比较法-商业'!K38</f>
        <v>2</v>
      </c>
      <c r="L38" s="1139"/>
      <c r="M38" s="1130"/>
      <c r="N38" s="1130"/>
      <c r="O38" s="1130"/>
      <c r="P38" s="3242" t="s">
        <v>2553</v>
      </c>
      <c r="Q38" s="2938" t="str">
        <f t="shared" si="11"/>
        <v>业态</v>
      </c>
      <c r="R38" s="773" t="s">
        <v>17</v>
      </c>
      <c r="S38" s="774">
        <f t="shared" si="12"/>
        <v>100</v>
      </c>
      <c r="T38" s="773" t="s">
        <v>17</v>
      </c>
      <c r="U38" s="774">
        <f t="shared" si="13"/>
        <v>100</v>
      </c>
      <c r="V38" s="773" t="s">
        <v>17</v>
      </c>
      <c r="W38" s="774">
        <f t="shared" si="14"/>
        <v>100</v>
      </c>
      <c r="X38" s="2940"/>
      <c r="Y38" s="3244" t="s">
        <v>2553</v>
      </c>
      <c r="Z38" s="2941" t="str">
        <f t="shared" si="15"/>
        <v>业态</v>
      </c>
      <c r="AA38" s="2939">
        <f t="shared" si="3"/>
        <v>1</v>
      </c>
      <c r="AB38" s="2939">
        <f t="shared" si="4"/>
        <v>1</v>
      </c>
      <c r="AC38" s="2939">
        <f t="shared" si="5"/>
        <v>1</v>
      </c>
    </row>
    <row r="39" spans="1:29" ht="15">
      <c r="A39" s="472"/>
      <c r="B39" s="2936" t="s">
        <v>2653</v>
      </c>
      <c r="C39" s="2608" t="s">
        <v>3095</v>
      </c>
      <c r="D39" s="435">
        <v>100</v>
      </c>
      <c r="E39" s="2608" t="s">
        <v>3095</v>
      </c>
      <c r="F39" s="461">
        <f>SUMIF(116:116,E39,117:117)-SUMIF(116:116,C39,117:117)+100</f>
        <v>100</v>
      </c>
      <c r="G39" s="2608" t="s">
        <v>3095</v>
      </c>
      <c r="H39" s="435">
        <f>SUMIF(116:116,G39,117:117)-SUMIF(116:116,C39,117:117)+100</f>
        <v>100</v>
      </c>
      <c r="I39" s="2608" t="s">
        <v>3095</v>
      </c>
      <c r="J39" s="435">
        <f>SUMIF(116:116,I39,117:117)-SUMIF(116:116,C39,117:117)+100</f>
        <v>100</v>
      </c>
      <c r="K39" s="612">
        <f>'比较法-商业'!K39</f>
        <v>5</v>
      </c>
      <c r="L39" s="1139"/>
      <c r="M39" s="1130"/>
      <c r="N39" s="1130"/>
      <c r="O39" s="1130"/>
      <c r="P39" s="3242"/>
      <c r="Q39" s="2938" t="str">
        <f t="shared" si="11"/>
        <v>层高</v>
      </c>
      <c r="R39" s="773" t="s">
        <v>17</v>
      </c>
      <c r="S39" s="774">
        <f t="shared" si="12"/>
        <v>100</v>
      </c>
      <c r="T39" s="773" t="s">
        <v>17</v>
      </c>
      <c r="U39" s="774">
        <f t="shared" si="13"/>
        <v>100</v>
      </c>
      <c r="V39" s="773" t="s">
        <v>17</v>
      </c>
      <c r="W39" s="774">
        <f t="shared" si="14"/>
        <v>100</v>
      </c>
      <c r="X39" s="2940"/>
      <c r="Y39" s="3244"/>
      <c r="Z39" s="2941" t="str">
        <f t="shared" si="15"/>
        <v>层高</v>
      </c>
      <c r="AA39" s="2939">
        <f t="shared" si="3"/>
        <v>1</v>
      </c>
      <c r="AB39" s="2939">
        <f t="shared" si="4"/>
        <v>1</v>
      </c>
      <c r="AC39" s="2939">
        <f t="shared" si="5"/>
        <v>1</v>
      </c>
    </row>
    <row r="40" spans="1:29" ht="15">
      <c r="A40" s="472"/>
      <c r="B40" s="2936" t="s">
        <v>2654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242"/>
      <c r="Q40" s="2938" t="str">
        <f t="shared" si="11"/>
        <v>单套建筑面积</v>
      </c>
      <c r="R40" s="773" t="s">
        <v>17</v>
      </c>
      <c r="S40" s="774">
        <f t="shared" si="12"/>
        <v>100</v>
      </c>
      <c r="T40" s="773" t="s">
        <v>17</v>
      </c>
      <c r="U40" s="774">
        <f t="shared" si="13"/>
        <v>100</v>
      </c>
      <c r="V40" s="773" t="s">
        <v>17</v>
      </c>
      <c r="W40" s="774">
        <f t="shared" si="14"/>
        <v>100</v>
      </c>
      <c r="X40" s="2940"/>
      <c r="Y40" s="3244"/>
      <c r="Z40" s="2941" t="str">
        <f t="shared" si="15"/>
        <v>单套建筑面积</v>
      </c>
      <c r="AA40" s="2939">
        <f t="shared" si="3"/>
        <v>1</v>
      </c>
      <c r="AB40" s="2939">
        <f t="shared" si="4"/>
        <v>1</v>
      </c>
      <c r="AC40" s="2939">
        <f t="shared" si="5"/>
        <v>1</v>
      </c>
    </row>
    <row r="41" spans="1:29" s="471" customFormat="1" ht="15">
      <c r="A41" s="468"/>
      <c r="B41" s="2937" t="s">
        <v>2655</v>
      </c>
      <c r="C41" s="616" t="s">
        <v>3065</v>
      </c>
      <c r="D41" s="435">
        <v>100</v>
      </c>
      <c r="E41" s="616" t="s">
        <v>3065</v>
      </c>
      <c r="F41" s="461">
        <f>SUMIF(120:120,E41,121:121)-SUMIF(120:120,C41,121:121)+100</f>
        <v>100</v>
      </c>
      <c r="G41" s="616" t="s">
        <v>3065</v>
      </c>
      <c r="H41" s="435">
        <f>SUMIF(120:120,G41,121:121)-SUMIF(120:120,C41,121:121)+100</f>
        <v>100</v>
      </c>
      <c r="I41" s="616" t="s">
        <v>3065</v>
      </c>
      <c r="J41" s="435">
        <f>SUMIF(120:120,I41,121:121)-SUMIF(120:120,C41,121:121)+100</f>
        <v>100</v>
      </c>
      <c r="K41" s="612">
        <f>'比较法-商业'!K41</f>
        <v>2</v>
      </c>
      <c r="L41" s="1137"/>
      <c r="M41" s="1140"/>
      <c r="N41" s="1140"/>
      <c r="O41" s="1140"/>
      <c r="P41" s="3242"/>
      <c r="Q41" s="775" t="str">
        <f t="shared" si="11"/>
        <v>进深比</v>
      </c>
      <c r="R41" s="776" t="s">
        <v>17</v>
      </c>
      <c r="S41" s="777">
        <f t="shared" si="12"/>
        <v>100</v>
      </c>
      <c r="T41" s="776" t="s">
        <v>17</v>
      </c>
      <c r="U41" s="777">
        <f t="shared" si="13"/>
        <v>100</v>
      </c>
      <c r="V41" s="776" t="s">
        <v>17</v>
      </c>
      <c r="W41" s="777">
        <f t="shared" si="14"/>
        <v>100</v>
      </c>
      <c r="X41" s="778"/>
      <c r="Y41" s="3244"/>
      <c r="Z41" s="779" t="str">
        <f t="shared" si="15"/>
        <v>进深比</v>
      </c>
      <c r="AA41" s="2939">
        <f t="shared" si="3"/>
        <v>1</v>
      </c>
      <c r="AB41" s="2939">
        <f t="shared" si="4"/>
        <v>1</v>
      </c>
      <c r="AC41" s="2939">
        <f t="shared" si="5"/>
        <v>1</v>
      </c>
    </row>
    <row r="42" spans="1:29" ht="15">
      <c r="A42" s="472"/>
      <c r="B42" s="2936" t="s">
        <v>2656</v>
      </c>
      <c r="C42" s="2608" t="s">
        <v>3084</v>
      </c>
      <c r="D42" s="435">
        <v>100</v>
      </c>
      <c r="E42" s="2608" t="s">
        <v>3078</v>
      </c>
      <c r="F42" s="461">
        <f>SUMIF(122:122,E42,123:123)-SUMIF(122:122,C42,123:123)+100</f>
        <v>104.5</v>
      </c>
      <c r="G42" s="2608" t="s">
        <v>3082</v>
      </c>
      <c r="H42" s="435">
        <f>SUMIF(122:122,G42,123:123)-SUMIF(122:122,C42,123:123)+100</f>
        <v>101.5</v>
      </c>
      <c r="I42" s="2608" t="s">
        <v>3080</v>
      </c>
      <c r="J42" s="435">
        <f>SUMIF(122:122,I42,123:123)-SUMIF(122:122,C42,123:123)+100</f>
        <v>103</v>
      </c>
      <c r="K42" s="612">
        <f>'比较法-商业'!K42</f>
        <v>1.5</v>
      </c>
      <c r="L42" s="1139"/>
      <c r="M42" s="1130"/>
      <c r="N42" s="1130"/>
      <c r="O42" s="1130"/>
      <c r="P42" s="3242"/>
      <c r="Q42" s="2938" t="str">
        <f t="shared" si="11"/>
        <v>内部装修</v>
      </c>
      <c r="R42" s="773" t="s">
        <v>17</v>
      </c>
      <c r="S42" s="774">
        <f t="shared" si="12"/>
        <v>104.5</v>
      </c>
      <c r="T42" s="773" t="s">
        <v>17</v>
      </c>
      <c r="U42" s="774">
        <f t="shared" si="13"/>
        <v>101.5</v>
      </c>
      <c r="V42" s="773" t="s">
        <v>17</v>
      </c>
      <c r="W42" s="774">
        <f t="shared" si="14"/>
        <v>103</v>
      </c>
      <c r="X42" s="2940"/>
      <c r="Y42" s="3244"/>
      <c r="Z42" s="2941" t="str">
        <f t="shared" si="15"/>
        <v>内部装修</v>
      </c>
      <c r="AA42" s="2939">
        <f t="shared" si="3"/>
        <v>0.9569377990430622</v>
      </c>
      <c r="AB42" s="2939">
        <f t="shared" si="4"/>
        <v>0.98522167487684731</v>
      </c>
      <c r="AC42" s="2939">
        <f t="shared" si="5"/>
        <v>0.970873786407767</v>
      </c>
    </row>
    <row r="43" spans="1:29" ht="15.75" thickBot="1">
      <c r="A43" s="472"/>
      <c r="B43" s="2936" t="s">
        <v>2564</v>
      </c>
      <c r="C43" s="2608" t="s">
        <v>3065</v>
      </c>
      <c r="D43" s="435">
        <v>100</v>
      </c>
      <c r="E43" s="2608" t="s">
        <v>3065</v>
      </c>
      <c r="F43" s="461">
        <f>SUMIF(124:124,E43,125:125)-SUMIF(124:124,C43,125:125)+100</f>
        <v>100</v>
      </c>
      <c r="G43" s="2608" t="s">
        <v>3065</v>
      </c>
      <c r="H43" s="435">
        <f>SUMIF(124:124,G43,125:125)-SUMIF(124:124,C43,125:125)+100</f>
        <v>100</v>
      </c>
      <c r="I43" s="2608" t="s">
        <v>3065</v>
      </c>
      <c r="J43" s="435">
        <f>SUMIF(124:124,I43,125:125)-SUMIF(124:124,C43,125:125)+100</f>
        <v>100</v>
      </c>
      <c r="K43" s="612">
        <f>'比较法-商业'!K43</f>
        <v>2</v>
      </c>
      <c r="L43" s="1139"/>
      <c r="M43" s="1130"/>
      <c r="N43" s="1130"/>
      <c r="O43" s="1130"/>
      <c r="P43" s="3242"/>
      <c r="Q43" s="2938" t="str">
        <f t="shared" si="11"/>
        <v>内部装修维护情况</v>
      </c>
      <c r="R43" s="773" t="s">
        <v>17</v>
      </c>
      <c r="S43" s="774">
        <f t="shared" si="12"/>
        <v>100</v>
      </c>
      <c r="T43" s="773" t="s">
        <v>17</v>
      </c>
      <c r="U43" s="774">
        <f t="shared" si="13"/>
        <v>100</v>
      </c>
      <c r="V43" s="773" t="s">
        <v>17</v>
      </c>
      <c r="W43" s="774">
        <f t="shared" si="14"/>
        <v>100</v>
      </c>
      <c r="X43" s="2940"/>
      <c r="Y43" s="3244"/>
      <c r="Z43" s="2941" t="str">
        <f t="shared" si="15"/>
        <v>内部装修维护情况</v>
      </c>
      <c r="AA43" s="2939">
        <f t="shared" si="3"/>
        <v>1</v>
      </c>
      <c r="AB43" s="2939">
        <f t="shared" si="4"/>
        <v>1</v>
      </c>
      <c r="AC43" s="2939">
        <f t="shared" si="5"/>
        <v>1</v>
      </c>
    </row>
    <row r="44" spans="1:29" s="117" customFormat="1" ht="15.75" hidden="1" thickBot="1">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242"/>
      <c r="Q44" s="2934">
        <f t="shared" si="11"/>
        <v>111</v>
      </c>
      <c r="R44" s="769" t="s">
        <v>17</v>
      </c>
      <c r="S44" s="770">
        <f t="shared" si="12"/>
        <v>100</v>
      </c>
      <c r="T44" s="769" t="s">
        <v>17</v>
      </c>
      <c r="U44" s="770">
        <f t="shared" si="13"/>
        <v>100</v>
      </c>
      <c r="V44" s="769" t="s">
        <v>17</v>
      </c>
      <c r="W44" s="770">
        <f t="shared" si="14"/>
        <v>100</v>
      </c>
      <c r="X44" s="771"/>
      <c r="Y44" s="3244"/>
      <c r="Z44" s="2935">
        <f t="shared" si="15"/>
        <v>111</v>
      </c>
      <c r="AA44" s="772">
        <f t="shared" si="3"/>
        <v>1</v>
      </c>
      <c r="AB44" s="772">
        <f t="shared" si="4"/>
        <v>1</v>
      </c>
      <c r="AC44" s="772">
        <f t="shared" si="5"/>
        <v>1</v>
      </c>
    </row>
    <row r="45" spans="1:29" ht="15.75" hidden="1" thickBot="1">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242"/>
      <c r="Q45" s="2938">
        <f t="shared" si="11"/>
        <v>111</v>
      </c>
      <c r="R45" s="773" t="s">
        <v>17</v>
      </c>
      <c r="S45" s="774">
        <f t="shared" si="12"/>
        <v>100</v>
      </c>
      <c r="T45" s="773" t="s">
        <v>17</v>
      </c>
      <c r="U45" s="774">
        <f t="shared" si="13"/>
        <v>100</v>
      </c>
      <c r="V45" s="773" t="s">
        <v>17</v>
      </c>
      <c r="W45" s="774">
        <f t="shared" si="14"/>
        <v>100</v>
      </c>
      <c r="X45" s="2940"/>
      <c r="Y45" s="3244"/>
      <c r="Z45" s="2941">
        <f t="shared" si="15"/>
        <v>111</v>
      </c>
      <c r="AA45" s="2939">
        <f t="shared" si="3"/>
        <v>1</v>
      </c>
      <c r="AB45" s="2939">
        <f t="shared" si="4"/>
        <v>1</v>
      </c>
      <c r="AC45" s="2939">
        <f t="shared" si="5"/>
        <v>1</v>
      </c>
    </row>
    <row r="46" spans="1:29" ht="15.75" hidden="1" thickBot="1">
      <c r="A46" s="478"/>
      <c r="B46" s="259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243"/>
      <c r="Q46" s="2938">
        <f t="shared" si="11"/>
        <v>111</v>
      </c>
      <c r="R46" s="773" t="s">
        <v>17</v>
      </c>
      <c r="S46" s="774">
        <f t="shared" si="12"/>
        <v>100</v>
      </c>
      <c r="T46" s="773" t="s">
        <v>17</v>
      </c>
      <c r="U46" s="774">
        <f t="shared" si="13"/>
        <v>100</v>
      </c>
      <c r="V46" s="773" t="s">
        <v>17</v>
      </c>
      <c r="W46" s="774">
        <f t="shared" si="14"/>
        <v>100</v>
      </c>
      <c r="X46" s="2940"/>
      <c r="Y46" s="3245"/>
      <c r="Z46" s="2941">
        <f t="shared" si="15"/>
        <v>111</v>
      </c>
      <c r="AA46" s="2939">
        <f t="shared" si="3"/>
        <v>1</v>
      </c>
      <c r="AB46" s="2939">
        <f t="shared" si="4"/>
        <v>1</v>
      </c>
      <c r="AC46" s="2939">
        <f t="shared" si="5"/>
        <v>1</v>
      </c>
    </row>
    <row r="47" spans="1:29" ht="15">
      <c r="A47" s="479" t="s">
        <v>2565</v>
      </c>
      <c r="B47" s="480"/>
      <c r="C47" s="1406" t="s">
        <v>1</v>
      </c>
      <c r="D47" s="1407"/>
      <c r="E47" s="1408">
        <f>E62</f>
        <v>8</v>
      </c>
      <c r="F47" s="1409"/>
      <c r="G47" s="1410">
        <f>F62</f>
        <v>6.68</v>
      </c>
      <c r="H47" s="1411"/>
      <c r="I47" s="1408">
        <f>G62</f>
        <v>7.16</v>
      </c>
      <c r="J47" s="1411"/>
      <c r="K47" s="782"/>
      <c r="L47" s="1142"/>
      <c r="M47" s="1143"/>
      <c r="N47" s="1130"/>
      <c r="O47" s="1143"/>
      <c r="P47" s="3246" t="str">
        <f>A47</f>
        <v>成交单价（元/平方米）</v>
      </c>
      <c r="Q47" s="3246"/>
      <c r="R47" s="3208">
        <f>E47</f>
        <v>8</v>
      </c>
      <c r="S47" s="3208"/>
      <c r="T47" s="3208">
        <f>G47</f>
        <v>6.68</v>
      </c>
      <c r="U47" s="3208"/>
      <c r="V47" s="3208">
        <f>I47</f>
        <v>7.16</v>
      </c>
      <c r="W47" s="3208"/>
      <c r="X47" s="758"/>
      <c r="Y47" s="780"/>
      <c r="Z47" s="758"/>
      <c r="AA47" s="758"/>
      <c r="AB47" s="758"/>
      <c r="AC47" s="758"/>
    </row>
    <row r="48" spans="1:29" ht="15.75" thickBot="1">
      <c r="A48" s="486" t="s">
        <v>2566</v>
      </c>
      <c r="B48" s="487"/>
      <c r="C48" s="1412">
        <f>R49</f>
        <v>6.7</v>
      </c>
      <c r="D48" s="1413"/>
      <c r="E48" s="1414">
        <f>R48</f>
        <v>7.2</v>
      </c>
      <c r="F48" s="1414"/>
      <c r="G48" s="1412">
        <f>T48</f>
        <v>6.1</v>
      </c>
      <c r="H48" s="1413"/>
      <c r="I48" s="1414">
        <f>V48</f>
        <v>6.8</v>
      </c>
      <c r="J48" s="1413"/>
      <c r="K48" s="783"/>
      <c r="L48" s="1142"/>
      <c r="M48" s="1143"/>
      <c r="N48" s="1130"/>
      <c r="O48" s="1143"/>
      <c r="P48" s="3246" t="str">
        <f>A48</f>
        <v>比较价值（元/平方米）</v>
      </c>
      <c r="Q48" s="3246"/>
      <c r="R48" s="3247">
        <f>IF(F1="售价",ROUND(PRODUCT(R47,AA7:AA46),0),ROUND(PRODUCT(R47,AA7:AA46),1))</f>
        <v>7.2</v>
      </c>
      <c r="S48" s="3247"/>
      <c r="T48" s="3247">
        <f>IF(F1="售价",ROUND(PRODUCT(T47,AB7:AB46),0),ROUND(PRODUCT(T47,AB7:AB46),1))</f>
        <v>6.1</v>
      </c>
      <c r="U48" s="3247"/>
      <c r="V48" s="3247">
        <f>IF(F1="售价",ROUND(PRODUCT(V47,AC7:AC46),0),ROUND(PRODUCT(V47,AC7:AC46),1))</f>
        <v>6.8</v>
      </c>
      <c r="W48" s="3247"/>
      <c r="X48" s="758"/>
      <c r="Y48" s="758"/>
      <c r="Z48" s="758"/>
      <c r="AA48" s="758"/>
      <c r="AB48" s="758"/>
      <c r="AC48" s="758"/>
    </row>
    <row r="49" spans="1:29" ht="15.75" thickBot="1">
      <c r="A49" s="492" t="s">
        <v>2567</v>
      </c>
      <c r="B49" s="493"/>
      <c r="C49" s="1416">
        <f>R49</f>
        <v>6.7</v>
      </c>
      <c r="D49" s="1416"/>
      <c r="E49" s="1416"/>
      <c r="F49" s="1416"/>
      <c r="G49" s="1416"/>
      <c r="H49" s="1416"/>
      <c r="I49" s="1416"/>
      <c r="J49" s="1416"/>
      <c r="K49" s="784"/>
      <c r="L49" s="1142"/>
      <c r="M49" s="1143"/>
      <c r="N49" s="1130"/>
      <c r="O49" s="1143"/>
      <c r="P49" s="3248" t="str">
        <f>A49</f>
        <v>估价对象XX用房的比较价值（楼面单价，元/平方米）</v>
      </c>
      <c r="Q49" s="3249"/>
      <c r="R49" s="3250">
        <f>IF(F1="售价",ROUND(AVERAGE(R48:V48),0),ROUND(AVERAGE(R48:V48),1))</f>
        <v>6.7</v>
      </c>
      <c r="S49" s="3250"/>
      <c r="T49" s="3250"/>
      <c r="U49" s="3250"/>
      <c r="V49" s="3250"/>
      <c r="W49" s="3250"/>
      <c r="X49" s="758"/>
      <c r="Y49" s="758"/>
      <c r="Z49" s="758"/>
      <c r="AA49" s="758"/>
      <c r="AB49" s="758"/>
      <c r="AC49" s="758"/>
    </row>
    <row r="50" spans="1:29">
      <c r="A50" s="1143"/>
      <c r="B50" s="1143"/>
      <c r="C50" s="1143"/>
      <c r="D50" s="1143"/>
      <c r="E50" s="1143"/>
      <c r="F50" s="1143"/>
      <c r="G50" s="1146"/>
      <c r="H50" s="1143"/>
      <c r="I50" s="1143"/>
      <c r="J50" s="1143"/>
      <c r="K50" s="1105"/>
      <c r="L50" s="1106"/>
      <c r="M50" s="1143"/>
      <c r="N50" s="1143"/>
      <c r="O50" s="1143"/>
      <c r="P50" s="675"/>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5"/>
      <c r="L51" s="1106"/>
      <c r="M51" s="1143"/>
      <c r="N51" s="1143"/>
      <c r="O51" s="1143"/>
      <c r="P51" s="675"/>
      <c r="Q51" s="758"/>
      <c r="R51" s="758"/>
      <c r="S51" s="758"/>
      <c r="T51" s="758"/>
      <c r="U51" s="758"/>
      <c r="V51" s="758"/>
      <c r="W51" s="758"/>
      <c r="X51" s="758"/>
      <c r="Y51" s="758"/>
      <c r="Z51" s="758"/>
      <c r="AA51" s="758"/>
      <c r="AB51" s="758"/>
      <c r="AC51" s="758"/>
    </row>
    <row r="52" spans="1:29" ht="13.5" customHeight="1">
      <c r="A52" s="1143"/>
      <c r="B52" s="1143"/>
      <c r="C52" s="497" t="s">
        <v>2568</v>
      </c>
      <c r="D52" s="498"/>
      <c r="E52" s="499">
        <f>IF(E47&lt;E48,E48/E47-1,E47/E48-1)</f>
        <v>0.11111111111111116</v>
      </c>
      <c r="F52" s="500" t="str">
        <f>IF(OR(E52&gt;=0.3,E52&lt;=-0.3),"超过30%","")</f>
        <v/>
      </c>
      <c r="G52" s="499">
        <f>IF(G47&lt;G48,G48/G47-1,G47/G48-1)</f>
        <v>9.5081967213114682E-2</v>
      </c>
      <c r="H52" s="500" t="str">
        <f>IF(OR(G52&gt;=0.3,G52&lt;=-0.3),"超过30%","")</f>
        <v/>
      </c>
      <c r="I52" s="499">
        <f>IF(I47&lt;I48,I48/I47-1,I47/I48-1)</f>
        <v>5.2941176470588269E-2</v>
      </c>
      <c r="J52" s="500" t="str">
        <f>IF(OR(I52&gt;=0.3,I52&lt;=-0.3),"超过30%","")</f>
        <v/>
      </c>
      <c r="K52" s="1105"/>
      <c r="L52" s="1106"/>
      <c r="M52" s="1143"/>
      <c r="N52" s="1143"/>
      <c r="O52" s="1143"/>
      <c r="P52" s="675"/>
      <c r="Q52" s="758"/>
      <c r="R52" s="758"/>
      <c r="S52" s="758"/>
      <c r="T52" s="758"/>
      <c r="U52" s="758"/>
      <c r="V52" s="758"/>
      <c r="W52" s="758"/>
      <c r="X52" s="758"/>
      <c r="Y52" s="758"/>
      <c r="Z52" s="758"/>
      <c r="AA52" s="758"/>
      <c r="AB52" s="758"/>
      <c r="AC52" s="758"/>
    </row>
    <row r="53" spans="1:29" ht="13.5" customHeight="1">
      <c r="A53" s="1143"/>
      <c r="B53" s="1143"/>
      <c r="C53" s="497" t="s">
        <v>2569</v>
      </c>
      <c r="D53" s="501"/>
      <c r="E53" s="499">
        <f>IF(E48&lt;G48,G48/E48-1,E48/G48-1)</f>
        <v>0.18032786885245922</v>
      </c>
      <c r="F53" s="500" t="str">
        <f>IF(OR(E53&gt;=0.2,E53&lt;=-0.2),"超过20%","")</f>
        <v/>
      </c>
      <c r="G53" s="499">
        <f>IF(G48&lt;I48,I48/G48-1,G48/I48-1)</f>
        <v>0.11475409836065587</v>
      </c>
      <c r="H53" s="500" t="str">
        <f>IF(OR(G53&gt;=0.2,G53&lt;=-0.2),"超过20%","")</f>
        <v/>
      </c>
      <c r="I53" s="499">
        <f>IF(I48&lt;E48,E48/I48-1,I48/E48-1)</f>
        <v>5.8823529411764719E-2</v>
      </c>
      <c r="J53" s="500" t="str">
        <f>IF(OR(I53&gt;=0.2,I53&lt;=-0.2),"超过20%","")</f>
        <v/>
      </c>
      <c r="K53" s="1105"/>
      <c r="L53" s="1106"/>
      <c r="M53" s="1143"/>
      <c r="N53" s="1143"/>
      <c r="O53" s="1143"/>
      <c r="P53" s="675"/>
      <c r="Q53" s="758"/>
      <c r="R53" s="758"/>
      <c r="S53" s="758"/>
      <c r="T53" s="758"/>
      <c r="U53" s="758"/>
      <c r="V53" s="758"/>
      <c r="W53" s="758"/>
      <c r="X53" s="758"/>
      <c r="Y53" s="758"/>
      <c r="Z53" s="758"/>
      <c r="AA53" s="758"/>
      <c r="AB53" s="758"/>
      <c r="AC53" s="758"/>
    </row>
    <row r="54" spans="1:29" s="502" customFormat="1" ht="13.5" customHeight="1">
      <c r="A54" s="1144"/>
      <c r="B54" s="1144"/>
      <c r="C54" s="497" t="s">
        <v>2570</v>
      </c>
      <c r="D54" s="501"/>
      <c r="E54" s="499">
        <f>IF(E47&lt;G47,G47/E47-1,E47/G47-1)</f>
        <v>0.19760479041916179</v>
      </c>
      <c r="F54" s="500" t="str">
        <f>IF(OR(E54&gt;=0.3,E54&lt;=-0.3),"超过30%","")</f>
        <v/>
      </c>
      <c r="G54" s="499">
        <f>IF(G47&lt;I47,I47/G47-1,G47/I47-1)</f>
        <v>7.1856287425149823E-2</v>
      </c>
      <c r="H54" s="500" t="str">
        <f>IF(OR(G54&gt;=0.3,G54&lt;=-0.3),"超过30%","")</f>
        <v/>
      </c>
      <c r="I54" s="499">
        <f>IF(I47&lt;E47,E47/I47-1,I47/E47-1)</f>
        <v>0.11731843575418988</v>
      </c>
      <c r="J54" s="500" t="str">
        <f>IF(OR(I54&gt;=0.3,I54&lt;=-0.3),"超过30%","")</f>
        <v/>
      </c>
      <c r="K54" s="1147"/>
      <c r="L54" s="1148"/>
      <c r="M54" s="1144"/>
      <c r="N54" s="1144"/>
      <c r="O54" s="1144"/>
      <c r="P54" s="2661"/>
      <c r="Q54" s="759"/>
      <c r="R54" s="759"/>
      <c r="S54" s="759"/>
      <c r="T54" s="759"/>
      <c r="U54" s="759"/>
      <c r="V54" s="759"/>
      <c r="W54" s="759"/>
      <c r="X54" s="759"/>
      <c r="Y54" s="759"/>
      <c r="Z54" s="759"/>
      <c r="AA54" s="759"/>
      <c r="AB54" s="759"/>
      <c r="AC54" s="759"/>
    </row>
    <row r="55" spans="1:29" s="502" customFormat="1">
      <c r="A55" s="1144"/>
      <c r="B55" s="1145"/>
      <c r="C55" s="1149"/>
      <c r="D55" s="1144"/>
      <c r="E55" s="1144"/>
      <c r="F55" s="1144"/>
      <c r="G55" s="1144"/>
      <c r="H55" s="1144"/>
      <c r="I55" s="1144"/>
      <c r="J55" s="1144"/>
      <c r="K55" s="1147"/>
      <c r="L55" s="1148"/>
      <c r="M55" s="1144"/>
      <c r="N55" s="1144"/>
      <c r="O55" s="1144"/>
      <c r="P55" s="2661"/>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5"/>
      <c r="L56" s="1106"/>
      <c r="M56" s="1143"/>
      <c r="N56" s="1143"/>
      <c r="O56" s="1143"/>
      <c r="P56" s="675"/>
      <c r="Q56" s="758"/>
      <c r="R56" s="758"/>
      <c r="S56" s="758"/>
      <c r="T56" s="758"/>
      <c r="U56" s="758"/>
      <c r="V56" s="758"/>
      <c r="W56" s="758"/>
      <c r="X56" s="758"/>
      <c r="Y56" s="758"/>
      <c r="Z56" s="758"/>
      <c r="AA56" s="758"/>
      <c r="AB56" s="758"/>
      <c r="AC56" s="758"/>
    </row>
    <row r="57" spans="1:29" ht="21.75" thickBot="1">
      <c r="A57" s="762" t="s">
        <v>2571</v>
      </c>
      <c r="B57" s="758"/>
      <c r="C57" s="763"/>
      <c r="D57" s="763"/>
      <c r="E57" s="763"/>
      <c r="F57" s="764"/>
      <c r="G57" s="764"/>
      <c r="H57" s="763"/>
      <c r="I57" s="763"/>
      <c r="J57" s="763"/>
      <c r="K57" s="765"/>
      <c r="L57" s="1160"/>
      <c r="M57" s="1158"/>
      <c r="N57" s="1158"/>
      <c r="O57" s="1158"/>
      <c r="P57" s="2662"/>
      <c r="Q57" s="2663"/>
      <c r="R57" s="758"/>
      <c r="S57" s="758"/>
      <c r="T57" s="758"/>
      <c r="U57" s="758"/>
      <c r="V57" s="758"/>
      <c r="W57" s="758"/>
      <c r="X57" s="758"/>
      <c r="Y57" s="758"/>
      <c r="Z57" s="758"/>
      <c r="AA57" s="758"/>
      <c r="AB57" s="758"/>
      <c r="AC57" s="758"/>
    </row>
    <row r="58" spans="1:29" s="508" customFormat="1" ht="15">
      <c r="A58" s="505" t="s">
        <v>2536</v>
      </c>
      <c r="B58" s="506"/>
      <c r="C58" s="1573" t="str">
        <f>YEAR(C7)&amp;"-"&amp;MONTH(C7)</f>
        <v>2018-2</v>
      </c>
      <c r="D58" s="1574">
        <f>EDATE(C58,-1)</f>
        <v>43101</v>
      </c>
      <c r="E58" s="1574">
        <f t="shared" ref="E58:N58" si="16">EDATE(D58,-1)</f>
        <v>43070</v>
      </c>
      <c r="F58" s="1574">
        <f t="shared" si="16"/>
        <v>43040</v>
      </c>
      <c r="G58" s="1574">
        <f t="shared" si="16"/>
        <v>43009</v>
      </c>
      <c r="H58" s="1574">
        <f t="shared" si="16"/>
        <v>42979</v>
      </c>
      <c r="I58" s="1574">
        <f t="shared" si="16"/>
        <v>42948</v>
      </c>
      <c r="J58" s="1574">
        <f t="shared" si="16"/>
        <v>42917</v>
      </c>
      <c r="K58" s="1574">
        <f t="shared" si="16"/>
        <v>42887</v>
      </c>
      <c r="L58" s="1574">
        <f t="shared" si="16"/>
        <v>42856</v>
      </c>
      <c r="M58" s="1574">
        <f t="shared" si="16"/>
        <v>42826</v>
      </c>
      <c r="N58" s="1574">
        <f t="shared" si="16"/>
        <v>42795</v>
      </c>
      <c r="O58" s="1574">
        <f>EDATE(N58,-1)</f>
        <v>42767</v>
      </c>
      <c r="P58" s="1569"/>
    </row>
    <row r="59" spans="1:29" s="117" customFormat="1" ht="15">
      <c r="A59" s="509"/>
      <c r="B59" s="510"/>
      <c r="C59" s="1572">
        <v>100</v>
      </c>
      <c r="D59" s="512">
        <v>100</v>
      </c>
      <c r="E59" s="512">
        <f t="shared" ref="E59:I59" si="17">D59-1</f>
        <v>99</v>
      </c>
      <c r="F59" s="512">
        <f t="shared" si="17"/>
        <v>98</v>
      </c>
      <c r="G59" s="512">
        <f t="shared" si="17"/>
        <v>97</v>
      </c>
      <c r="H59" s="512">
        <f t="shared" si="17"/>
        <v>96</v>
      </c>
      <c r="I59" s="512">
        <f t="shared" si="17"/>
        <v>95</v>
      </c>
      <c r="J59" s="512"/>
      <c r="K59" s="512"/>
      <c r="L59" s="512"/>
      <c r="M59" s="513"/>
      <c r="N59" s="512"/>
      <c r="O59" s="513"/>
      <c r="P59" s="2623"/>
    </row>
    <row r="60" spans="1:29" s="117" customFormat="1" ht="15.75" thickBot="1">
      <c r="A60" s="515" t="s">
        <v>2573</v>
      </c>
      <c r="B60" s="516"/>
      <c r="C60" s="517"/>
      <c r="D60" s="518"/>
      <c r="E60" s="518"/>
      <c r="F60" s="518"/>
      <c r="G60" s="518"/>
      <c r="H60" s="518"/>
      <c r="I60" s="518"/>
      <c r="J60" s="518"/>
      <c r="K60" s="518"/>
      <c r="L60" s="518"/>
      <c r="M60" s="519"/>
      <c r="N60" s="518"/>
      <c r="O60" s="519"/>
      <c r="P60" s="2623"/>
      <c r="Q60" s="504"/>
    </row>
    <row r="61" spans="1:29" s="117" customFormat="1" ht="15">
      <c r="A61" s="521" t="s">
        <v>2538</v>
      </c>
      <c r="B61" s="510"/>
      <c r="C61" s="522" t="s">
        <v>2575</v>
      </c>
      <c r="D61" s="523">
        <v>1</v>
      </c>
      <c r="E61" s="523">
        <v>25</v>
      </c>
      <c r="F61" s="523">
        <v>30</v>
      </c>
      <c r="G61" s="523">
        <v>40</v>
      </c>
      <c r="H61" s="523"/>
      <c r="I61" s="523"/>
      <c r="J61" s="523"/>
      <c r="K61" s="523"/>
      <c r="L61" s="524"/>
      <c r="M61" s="525"/>
      <c r="N61" s="1150"/>
      <c r="O61" s="1150"/>
      <c r="P61" s="2624"/>
      <c r="Q61" s="504"/>
    </row>
    <row r="62" spans="1:29" s="117" customFormat="1" ht="15.75" thickBot="1">
      <c r="A62" s="521"/>
      <c r="B62" s="510"/>
      <c r="C62" s="511">
        <v>100</v>
      </c>
      <c r="D62" s="512"/>
      <c r="E62" s="512">
        <f>ROUND(E61*10000/E33*D61/365,0)</f>
        <v>8</v>
      </c>
      <c r="F62" s="512">
        <f>ROUND(F61*10000/G33*D61/365,2)</f>
        <v>6.68</v>
      </c>
      <c r="G62" s="512">
        <f>ROUND(G61*10000/I33*D61/365,2)</f>
        <v>7.16</v>
      </c>
      <c r="H62" s="512"/>
      <c r="I62" s="512"/>
      <c r="J62" s="512"/>
      <c r="K62" s="512"/>
      <c r="L62" s="512"/>
      <c r="M62" s="514"/>
      <c r="N62" s="1150"/>
      <c r="O62" s="1150"/>
      <c r="P62" s="2623"/>
      <c r="Q62" s="504"/>
    </row>
    <row r="63" spans="1:29">
      <c r="A63" s="527" t="s">
        <v>2576</v>
      </c>
      <c r="B63" s="528" t="s">
        <v>2542</v>
      </c>
      <c r="C63" s="529" t="str">
        <f>C9</f>
        <v>商业</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1"/>
      <c r="O65" s="1151"/>
      <c r="P65" s="2625"/>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2"/>
      <c r="O66" s="1152"/>
      <c r="P66" s="2625"/>
      <c r="Q66" s="504"/>
    </row>
    <row r="67" spans="1:17" ht="15.75" thickTop="1">
      <c r="A67" s="534"/>
      <c r="B67" s="546" t="s">
        <v>2546</v>
      </c>
      <c r="C67" s="547" t="str">
        <f>C68&amp;"（含）"&amp;"-"&amp;D68</f>
        <v>0（含）-1</v>
      </c>
      <c r="D67" s="547" t="str">
        <f t="shared" ref="D67:L67" si="18">D68&amp;"（含）"&amp;"-"&amp;E68</f>
        <v>1（含）-2</v>
      </c>
      <c r="E67" s="547" t="str">
        <f t="shared" si="18"/>
        <v>2（含）-3</v>
      </c>
      <c r="F67" s="547" t="str">
        <f t="shared" si="18"/>
        <v>3（含）-</v>
      </c>
      <c r="G67" s="547" t="str">
        <f t="shared" si="18"/>
        <v>（含）-</v>
      </c>
      <c r="H67" s="547" t="str">
        <f t="shared" si="18"/>
        <v>（含）-</v>
      </c>
      <c r="I67" s="547" t="str">
        <f t="shared" si="18"/>
        <v>（含）-</v>
      </c>
      <c r="J67" s="547" t="str">
        <f t="shared" si="18"/>
        <v>（含）-</v>
      </c>
      <c r="K67" s="547" t="str">
        <f t="shared" si="18"/>
        <v>（含）-</v>
      </c>
      <c r="L67" s="547" t="str">
        <f t="shared" si="18"/>
        <v>（含）-</v>
      </c>
      <c r="M67" s="448" t="str">
        <f>M68&amp;"（含）"&amp;"-"&amp;P68</f>
        <v>（含）-</v>
      </c>
      <c r="N67" s="1152"/>
      <c r="O67" s="1152"/>
      <c r="P67" s="2625"/>
      <c r="Q67" s="504"/>
    </row>
    <row r="68" spans="1:17" ht="15">
      <c r="A68" s="534"/>
      <c r="B68" s="548"/>
      <c r="C68" s="549">
        <v>0</v>
      </c>
      <c r="D68" s="549">
        <v>1</v>
      </c>
      <c r="E68" s="549">
        <v>2</v>
      </c>
      <c r="F68" s="549">
        <v>3</v>
      </c>
      <c r="G68" s="549"/>
      <c r="H68" s="549"/>
      <c r="I68" s="549"/>
      <c r="J68" s="549"/>
      <c r="K68" s="550"/>
      <c r="L68" s="551"/>
      <c r="M68" s="552"/>
      <c r="N68" s="1151"/>
      <c r="O68" s="1151"/>
      <c r="P68" s="2625"/>
      <c r="Q68" s="504"/>
    </row>
    <row r="69" spans="1:17" ht="15.75" thickBot="1">
      <c r="A69" s="534"/>
      <c r="B69" s="535"/>
      <c r="C69" s="544">
        <v>100</v>
      </c>
      <c r="D69" s="544">
        <f t="shared" ref="D69:M69" si="19">C69-$K11</f>
        <v>100</v>
      </c>
      <c r="E69" s="544">
        <f t="shared" si="19"/>
        <v>100</v>
      </c>
      <c r="F69" s="544">
        <f t="shared" si="19"/>
        <v>100</v>
      </c>
      <c r="G69" s="544">
        <f t="shared" si="19"/>
        <v>100</v>
      </c>
      <c r="H69" s="544">
        <f t="shared" si="19"/>
        <v>100</v>
      </c>
      <c r="I69" s="544">
        <f t="shared" si="19"/>
        <v>100</v>
      </c>
      <c r="J69" s="544">
        <f t="shared" si="19"/>
        <v>100</v>
      </c>
      <c r="K69" s="544">
        <f t="shared" si="19"/>
        <v>100</v>
      </c>
      <c r="L69" s="544">
        <f t="shared" si="19"/>
        <v>100</v>
      </c>
      <c r="M69" s="545">
        <f t="shared" si="19"/>
        <v>100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36"/>
      <c r="E73" s="536"/>
      <c r="F73" s="536"/>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1"/>
      <c r="O76" s="1151"/>
      <c r="P76" s="2629"/>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2"/>
      <c r="O77" s="1152"/>
      <c r="P77" s="2625"/>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1"/>
      <c r="O78" s="1151"/>
      <c r="P78" s="2625"/>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2"/>
      <c r="O79" s="1152"/>
      <c r="P79" s="2625"/>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1"/>
      <c r="O80" s="1151"/>
      <c r="P80" s="2625"/>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2"/>
      <c r="O81" s="1152"/>
      <c r="P81" s="2625"/>
      <c r="Q81" s="504"/>
    </row>
    <row r="82" spans="1:17" ht="15.75" thickTop="1">
      <c r="A82" s="534"/>
      <c r="B82" s="546" t="s">
        <v>2643</v>
      </c>
      <c r="C82" s="660" t="s">
        <v>2663</v>
      </c>
      <c r="D82" s="660" t="s">
        <v>2664</v>
      </c>
      <c r="E82" s="660" t="s">
        <v>2665</v>
      </c>
      <c r="F82" s="660" t="s">
        <v>2666</v>
      </c>
      <c r="G82" s="660" t="s">
        <v>2667</v>
      </c>
      <c r="H82" s="539"/>
      <c r="I82" s="539"/>
      <c r="J82" s="539"/>
      <c r="K82" s="539"/>
      <c r="L82" s="539"/>
      <c r="M82" s="1381"/>
      <c r="N82" s="1152"/>
      <c r="O82" s="1152"/>
      <c r="P82" s="2625"/>
      <c r="Q82" s="504"/>
    </row>
    <row r="83" spans="1:17" ht="15.75" thickBot="1">
      <c r="A83" s="534"/>
      <c r="B83" s="546"/>
      <c r="C83" s="544">
        <v>100</v>
      </c>
      <c r="D83" s="544">
        <f>C83-$K21</f>
        <v>99</v>
      </c>
      <c r="E83" s="544">
        <f t="shared" ref="E83:G83" si="20">D83-$K21</f>
        <v>98</v>
      </c>
      <c r="F83" s="544">
        <f t="shared" si="20"/>
        <v>97</v>
      </c>
      <c r="G83" s="544">
        <f t="shared" si="20"/>
        <v>96</v>
      </c>
      <c r="H83" s="660"/>
      <c r="I83" s="660"/>
      <c r="J83" s="660"/>
      <c r="K83" s="660"/>
      <c r="L83" s="660"/>
      <c r="M83" s="450"/>
      <c r="N83" s="1152"/>
      <c r="O83" s="1152"/>
      <c r="P83" s="2625"/>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1"/>
      <c r="O84" s="1151"/>
      <c r="P84" s="2625"/>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2"/>
      <c r="O85" s="1152"/>
      <c r="P85" s="2625"/>
      <c r="Q85" s="504"/>
    </row>
    <row r="86" spans="1:17" s="117" customFormat="1" ht="15.75" thickTop="1">
      <c r="A86" s="579"/>
      <c r="B86" s="538" t="s">
        <v>2668</v>
      </c>
      <c r="C86" s="2958" t="s">
        <v>3067</v>
      </c>
      <c r="D86" s="554"/>
      <c r="E86" s="554"/>
      <c r="F86" s="554"/>
      <c r="G86" s="554"/>
      <c r="H86" s="554"/>
      <c r="I86" s="554"/>
      <c r="J86" s="554"/>
      <c r="K86" s="554"/>
      <c r="L86" s="580"/>
      <c r="M86" s="581"/>
      <c r="N86" s="1150"/>
      <c r="O86" s="1150"/>
      <c r="P86" s="2625"/>
      <c r="Q86" s="504"/>
    </row>
    <row r="87" spans="1:17" s="117" customFormat="1" ht="15.75" thickBot="1">
      <c r="A87" s="579"/>
      <c r="B87" s="543"/>
      <c r="C87" s="582">
        <v>100</v>
      </c>
      <c r="D87" s="544">
        <f t="shared" ref="D87:M87" si="21">C87-$K25</f>
        <v>98</v>
      </c>
      <c r="E87" s="544">
        <f t="shared" si="21"/>
        <v>96</v>
      </c>
      <c r="F87" s="544">
        <f t="shared" si="21"/>
        <v>94</v>
      </c>
      <c r="G87" s="544">
        <f t="shared" si="21"/>
        <v>92</v>
      </c>
      <c r="H87" s="544">
        <f t="shared" si="21"/>
        <v>90</v>
      </c>
      <c r="I87" s="544">
        <f t="shared" si="21"/>
        <v>88</v>
      </c>
      <c r="J87" s="544">
        <f t="shared" si="21"/>
        <v>86</v>
      </c>
      <c r="K87" s="544">
        <f t="shared" si="21"/>
        <v>84</v>
      </c>
      <c r="L87" s="544">
        <f t="shared" si="21"/>
        <v>82</v>
      </c>
      <c r="M87" s="544">
        <f t="shared" si="21"/>
        <v>80</v>
      </c>
      <c r="N87" s="1152"/>
      <c r="O87" s="1152"/>
      <c r="P87" s="2625"/>
      <c r="Q87" s="504"/>
    </row>
    <row r="88" spans="1:17" s="117" customFormat="1" ht="15.75" thickTop="1">
      <c r="A88" s="579"/>
      <c r="B88" s="538" t="str">
        <f>B26</f>
        <v>平面位置/可视性</v>
      </c>
      <c r="C88" s="2959" t="s">
        <v>3068</v>
      </c>
      <c r="D88" s="554"/>
      <c r="E88" s="554"/>
      <c r="F88" s="2630"/>
      <c r="G88" s="554"/>
      <c r="H88" s="554"/>
      <c r="I88" s="554"/>
      <c r="J88" s="554"/>
      <c r="K88" s="554"/>
      <c r="L88" s="554"/>
      <c r="M88" s="581"/>
      <c r="N88" s="1150"/>
      <c r="O88" s="1150"/>
      <c r="P88" s="2625"/>
      <c r="Q88" s="504"/>
    </row>
    <row r="89" spans="1:17" s="117" customFormat="1" ht="15.75" thickBot="1">
      <c r="A89" s="579"/>
      <c r="B89" s="543"/>
      <c r="C89" s="560">
        <v>100</v>
      </c>
      <c r="D89" s="536"/>
      <c r="E89" s="536"/>
      <c r="F89" s="536"/>
      <c r="G89" s="536"/>
      <c r="H89" s="536"/>
      <c r="I89" s="536"/>
      <c r="J89" s="536"/>
      <c r="K89" s="536"/>
      <c r="L89" s="536"/>
      <c r="M89" s="536"/>
      <c r="N89" s="1152"/>
      <c r="O89" s="1152"/>
      <c r="P89" s="2625"/>
      <c r="Q89" s="504"/>
    </row>
    <row r="90" spans="1:17" s="471" customFormat="1" ht="15.75" thickTop="1">
      <c r="A90" s="553"/>
      <c r="B90" s="538" t="str">
        <f>B27</f>
        <v>人流量</v>
      </c>
      <c r="C90" s="2959" t="s">
        <v>3068</v>
      </c>
      <c r="D90" s="2959" t="s">
        <v>3069</v>
      </c>
      <c r="E90" s="2959" t="s">
        <v>3070</v>
      </c>
      <c r="F90" s="554"/>
      <c r="G90" s="554"/>
      <c r="H90" s="555"/>
      <c r="I90" s="555"/>
      <c r="J90" s="555"/>
      <c r="K90" s="555"/>
      <c r="L90" s="556"/>
      <c r="M90" s="557"/>
      <c r="N90" s="1153"/>
      <c r="O90" s="1153"/>
      <c r="P90" s="2626"/>
      <c r="Q90" s="559"/>
    </row>
    <row r="91" spans="1:17" s="471" customFormat="1" ht="15.75" thickBot="1">
      <c r="A91" s="553"/>
      <c r="B91" s="543"/>
      <c r="C91" s="582">
        <v>100</v>
      </c>
      <c r="D91" s="544">
        <f>C91-$K27</f>
        <v>98</v>
      </c>
      <c r="E91" s="544">
        <f t="shared" ref="E91:M91" si="22">D91-$K27</f>
        <v>96</v>
      </c>
      <c r="F91" s="544">
        <f t="shared" si="22"/>
        <v>94</v>
      </c>
      <c r="G91" s="544">
        <f t="shared" si="22"/>
        <v>92</v>
      </c>
      <c r="H91" s="544">
        <f t="shared" si="22"/>
        <v>90</v>
      </c>
      <c r="I91" s="544">
        <f t="shared" si="22"/>
        <v>88</v>
      </c>
      <c r="J91" s="544">
        <f t="shared" si="22"/>
        <v>86</v>
      </c>
      <c r="K91" s="544">
        <f t="shared" si="22"/>
        <v>84</v>
      </c>
      <c r="L91" s="544">
        <f t="shared" si="22"/>
        <v>82</v>
      </c>
      <c r="M91" s="544">
        <f t="shared" si="22"/>
        <v>80</v>
      </c>
      <c r="N91" s="1153"/>
      <c r="O91" s="1153"/>
      <c r="P91" s="2626"/>
      <c r="Q91" s="559"/>
    </row>
    <row r="92" spans="1:17" ht="15.75" thickTop="1">
      <c r="A92" s="534"/>
      <c r="B92" s="538" t="str">
        <f>B28</f>
        <v>楼层</v>
      </c>
      <c r="C92" s="2958">
        <v>1</v>
      </c>
      <c r="D92" s="2961" t="s">
        <v>3051</v>
      </c>
      <c r="E92" s="554"/>
      <c r="F92" s="554"/>
      <c r="G92" s="554"/>
      <c r="H92" s="554"/>
      <c r="I92" s="554"/>
      <c r="J92" s="554"/>
      <c r="K92" s="554"/>
      <c r="L92" s="580"/>
      <c r="M92" s="581"/>
      <c r="N92" s="1151"/>
      <c r="O92" s="1151"/>
      <c r="P92" s="2625"/>
      <c r="Q92" s="504"/>
    </row>
    <row r="93" spans="1:17" ht="15.75" thickBot="1">
      <c r="A93" s="534"/>
      <c r="B93" s="543"/>
      <c r="C93" s="536">
        <v>100</v>
      </c>
      <c r="D93" s="536">
        <v>85</v>
      </c>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36"/>
      <c r="E95" s="536"/>
      <c r="F95" s="536"/>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60"/>
      <c r="D97" s="536"/>
      <c r="E97" s="536"/>
      <c r="F97" s="536"/>
      <c r="G97" s="536"/>
      <c r="H97" s="536"/>
      <c r="I97" s="536"/>
      <c r="J97" s="536"/>
      <c r="K97" s="536"/>
      <c r="L97" s="536"/>
      <c r="M97" s="537"/>
      <c r="N97" s="1152"/>
      <c r="O97" s="1152"/>
      <c r="P97" s="2625"/>
      <c r="Q97" s="504"/>
    </row>
    <row r="98" spans="1:17" ht="15.75" thickTop="1">
      <c r="A98" s="534"/>
      <c r="B98" s="546">
        <f>B31</f>
        <v>111</v>
      </c>
      <c r="C98" s="554"/>
      <c r="D98" s="554"/>
      <c r="E98" s="554"/>
      <c r="F98" s="554"/>
      <c r="G98" s="587"/>
      <c r="H98" s="587"/>
      <c r="I98" s="587"/>
      <c r="J98" s="587"/>
      <c r="K98" s="588"/>
      <c r="L98" s="589"/>
      <c r="M98" s="590"/>
      <c r="N98" s="1151"/>
      <c r="O98" s="1151"/>
      <c r="P98" s="2625"/>
      <c r="Q98" s="504"/>
    </row>
    <row r="99" spans="1:17" ht="15.75" thickBot="1">
      <c r="A99" s="2631"/>
      <c r="B99" s="569"/>
      <c r="C99" s="570"/>
      <c r="D99" s="570"/>
      <c r="E99" s="570"/>
      <c r="F99" s="570"/>
      <c r="G99" s="591"/>
      <c r="H99" s="591"/>
      <c r="I99" s="591"/>
      <c r="J99" s="591"/>
      <c r="K99" s="591"/>
      <c r="L99" s="591"/>
      <c r="M99" s="592"/>
      <c r="N99" s="1152"/>
      <c r="O99" s="1152"/>
      <c r="P99" s="2625"/>
      <c r="Q99" s="504"/>
    </row>
    <row r="100" spans="1:17">
      <c r="A100" s="527" t="s">
        <v>2551</v>
      </c>
      <c r="B100" s="528" t="s">
        <v>2669</v>
      </c>
      <c r="C100" s="2962" t="s">
        <v>3100</v>
      </c>
      <c r="D100" s="2962" t="s">
        <v>3099</v>
      </c>
      <c r="E100" s="2962" t="s">
        <v>3103</v>
      </c>
      <c r="F100" s="2962" t="s">
        <v>3074</v>
      </c>
      <c r="G100" s="530"/>
      <c r="H100" s="530"/>
      <c r="I100" s="530"/>
      <c r="J100" s="530"/>
      <c r="K100" s="531"/>
      <c r="L100" s="532"/>
      <c r="M100" s="533"/>
      <c r="N100" s="1151"/>
      <c r="O100" s="1151"/>
      <c r="P100" s="2625"/>
      <c r="Q100" s="504"/>
    </row>
    <row r="101" spans="1:17" ht="15.75" thickBot="1">
      <c r="A101" s="534"/>
      <c r="B101" s="543"/>
      <c r="C101" s="544">
        <v>100</v>
      </c>
      <c r="D101" s="544">
        <f t="shared" ref="D101:M101" si="23">C101-$K32</f>
        <v>98</v>
      </c>
      <c r="E101" s="544">
        <f t="shared" si="23"/>
        <v>96</v>
      </c>
      <c r="F101" s="544">
        <f t="shared" si="23"/>
        <v>94</v>
      </c>
      <c r="G101" s="544">
        <f t="shared" si="23"/>
        <v>92</v>
      </c>
      <c r="H101" s="544">
        <f t="shared" si="23"/>
        <v>90</v>
      </c>
      <c r="I101" s="544">
        <f t="shared" si="23"/>
        <v>88</v>
      </c>
      <c r="J101" s="544">
        <f t="shared" si="23"/>
        <v>86</v>
      </c>
      <c r="K101" s="544">
        <f t="shared" si="23"/>
        <v>84</v>
      </c>
      <c r="L101" s="544">
        <f t="shared" si="23"/>
        <v>82</v>
      </c>
      <c r="M101" s="545">
        <f t="shared" si="23"/>
        <v>80</v>
      </c>
      <c r="N101" s="1152"/>
      <c r="O101" s="1152"/>
      <c r="P101" s="2625"/>
      <c r="Q101" s="504"/>
    </row>
    <row r="102" spans="1:17" ht="15.75" thickTop="1">
      <c r="A102" s="534"/>
      <c r="B102" s="538" t="s">
        <v>2601</v>
      </c>
      <c r="C102" s="578" t="str">
        <f>C103&amp;"(含)"&amp;"-"&amp;D103</f>
        <v>0(含)-50</v>
      </c>
      <c r="D102" s="578" t="str">
        <f t="shared" ref="D102:L102" si="24">D103&amp;"(含)"&amp;"-"&amp;E103</f>
        <v>50(含)-100</v>
      </c>
      <c r="E102" s="578" t="str">
        <f t="shared" si="24"/>
        <v>100(含)-150</v>
      </c>
      <c r="F102" s="578" t="str">
        <f t="shared" si="24"/>
        <v>150(含)-200</v>
      </c>
      <c r="G102" s="578" t="str">
        <f t="shared" si="24"/>
        <v>200(含)-250</v>
      </c>
      <c r="H102" s="578" t="str">
        <f t="shared" si="24"/>
        <v>250(含)-</v>
      </c>
      <c r="I102" s="578" t="str">
        <f t="shared" si="24"/>
        <v>(含)-</v>
      </c>
      <c r="J102" s="578" t="str">
        <f t="shared" si="24"/>
        <v>(含)-</v>
      </c>
      <c r="K102" s="578" t="str">
        <f t="shared" si="24"/>
        <v>(含)-</v>
      </c>
      <c r="L102" s="578" t="str">
        <f t="shared" si="24"/>
        <v>(含)-</v>
      </c>
      <c r="M102" s="622" t="str">
        <f>M103&amp;"(含)"&amp;"-"&amp;P103</f>
        <v>(含)-</v>
      </c>
      <c r="N102" s="1150"/>
      <c r="O102" s="1150"/>
      <c r="P102" s="2625"/>
      <c r="Q102" s="504"/>
    </row>
    <row r="103" spans="1:17" s="471" customFormat="1">
      <c r="A103" s="593"/>
      <c r="B103" s="594"/>
      <c r="C103" s="595">
        <v>0</v>
      </c>
      <c r="D103" s="595">
        <v>50</v>
      </c>
      <c r="E103" s="595">
        <v>100</v>
      </c>
      <c r="F103" s="595">
        <v>150</v>
      </c>
      <c r="G103" s="595">
        <v>200</v>
      </c>
      <c r="H103" s="595">
        <v>250</v>
      </c>
      <c r="I103" s="595"/>
      <c r="J103" s="596"/>
      <c r="K103" s="596"/>
      <c r="L103" s="597"/>
      <c r="M103" s="598"/>
      <c r="N103" s="1153"/>
      <c r="O103" s="1153"/>
      <c r="P103" s="2626"/>
      <c r="Q103" s="559"/>
    </row>
    <row r="104" spans="1:17" s="471" customFormat="1" ht="15.75" thickBot="1">
      <c r="A104" s="553"/>
      <c r="B104" s="543"/>
      <c r="C104" s="560">
        <v>100</v>
      </c>
      <c r="D104" s="536">
        <f>C104-1</f>
        <v>99</v>
      </c>
      <c r="E104" s="536">
        <f t="shared" ref="E104:H104" si="25">D104-1</f>
        <v>98</v>
      </c>
      <c r="F104" s="536">
        <f t="shared" si="25"/>
        <v>97</v>
      </c>
      <c r="G104" s="536">
        <f t="shared" si="25"/>
        <v>96</v>
      </c>
      <c r="H104" s="536">
        <f t="shared" si="25"/>
        <v>95</v>
      </c>
      <c r="I104" s="536"/>
      <c r="J104" s="536"/>
      <c r="K104" s="536"/>
      <c r="L104" s="536"/>
      <c r="M104" s="537"/>
      <c r="N104" s="1152"/>
      <c r="O104" s="1152"/>
      <c r="P104" s="2626"/>
      <c r="Q104" s="559"/>
    </row>
    <row r="105" spans="1:17" ht="15" thickTop="1">
      <c r="A105" s="599"/>
      <c r="B105" s="538" t="s">
        <v>2602</v>
      </c>
      <c r="C105" s="2959" t="s">
        <v>3076</v>
      </c>
      <c r="D105" s="2959" t="s">
        <v>3077</v>
      </c>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6">C106-$K34</f>
        <v>98</v>
      </c>
      <c r="E106" s="544">
        <f t="shared" si="26"/>
        <v>96</v>
      </c>
      <c r="F106" s="544">
        <f t="shared" si="26"/>
        <v>94</v>
      </c>
      <c r="G106" s="544">
        <f t="shared" si="26"/>
        <v>92</v>
      </c>
      <c r="H106" s="544">
        <f t="shared" si="26"/>
        <v>90</v>
      </c>
      <c r="I106" s="544">
        <f t="shared" si="26"/>
        <v>88</v>
      </c>
      <c r="J106" s="544">
        <f t="shared" si="26"/>
        <v>86</v>
      </c>
      <c r="K106" s="544">
        <f t="shared" si="26"/>
        <v>84</v>
      </c>
      <c r="L106" s="544">
        <f t="shared" si="26"/>
        <v>82</v>
      </c>
      <c r="M106" s="545">
        <f t="shared" si="26"/>
        <v>80</v>
      </c>
      <c r="N106" s="1152"/>
      <c r="O106" s="1152"/>
      <c r="P106" s="2625"/>
      <c r="Q106" s="504"/>
    </row>
    <row r="107" spans="1:17" ht="15" thickTop="1">
      <c r="A107" s="599"/>
      <c r="B107" s="538" t="s">
        <v>2604</v>
      </c>
      <c r="C107" s="2959" t="s">
        <v>3079</v>
      </c>
      <c r="D107" s="2959" t="s">
        <v>3081</v>
      </c>
      <c r="E107" s="2959" t="s">
        <v>3083</v>
      </c>
      <c r="F107" s="2963" t="s">
        <v>3085</v>
      </c>
      <c r="G107" s="583"/>
      <c r="H107" s="583"/>
      <c r="I107" s="583"/>
      <c r="J107" s="583"/>
      <c r="K107" s="584"/>
      <c r="L107" s="585"/>
      <c r="M107" s="586"/>
      <c r="N107" s="1151"/>
      <c r="O107" s="1151"/>
      <c r="P107" s="2625"/>
      <c r="Q107" s="504"/>
    </row>
    <row r="108" spans="1:17" ht="15.75" thickBot="1">
      <c r="A108" s="534"/>
      <c r="B108" s="543"/>
      <c r="C108" s="544">
        <v>100</v>
      </c>
      <c r="D108" s="544">
        <f t="shared" ref="D108:M108" si="27">C108-$K35</f>
        <v>98</v>
      </c>
      <c r="E108" s="544">
        <f t="shared" si="27"/>
        <v>96</v>
      </c>
      <c r="F108" s="544">
        <f t="shared" si="27"/>
        <v>94</v>
      </c>
      <c r="G108" s="544">
        <f t="shared" si="27"/>
        <v>92</v>
      </c>
      <c r="H108" s="544">
        <f t="shared" si="27"/>
        <v>90</v>
      </c>
      <c r="I108" s="544">
        <f t="shared" si="27"/>
        <v>88</v>
      </c>
      <c r="J108" s="544">
        <f t="shared" si="27"/>
        <v>86</v>
      </c>
      <c r="K108" s="544">
        <f t="shared" si="27"/>
        <v>84</v>
      </c>
      <c r="L108" s="544">
        <f t="shared" si="27"/>
        <v>82</v>
      </c>
      <c r="M108" s="545">
        <f t="shared" si="27"/>
        <v>80</v>
      </c>
      <c r="N108" s="1152"/>
      <c r="O108" s="1152"/>
      <c r="P108" s="2625"/>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25"/>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25"/>
      <c r="Q110" s="504"/>
    </row>
    <row r="111" spans="1:17" ht="15.75" thickBot="1">
      <c r="A111" s="534"/>
      <c r="B111" s="543"/>
      <c r="C111" s="582">
        <v>100</v>
      </c>
      <c r="D111" s="544">
        <f>C111+$K36</f>
        <v>102</v>
      </c>
      <c r="E111" s="544">
        <f t="shared" ref="E111:M111" si="28">D111+$K36</f>
        <v>104</v>
      </c>
      <c r="F111" s="544">
        <f t="shared" si="28"/>
        <v>106</v>
      </c>
      <c r="G111" s="544">
        <f t="shared" si="28"/>
        <v>108</v>
      </c>
      <c r="H111" s="544">
        <f t="shared" si="28"/>
        <v>110</v>
      </c>
      <c r="I111" s="544">
        <f t="shared" si="28"/>
        <v>112</v>
      </c>
      <c r="J111" s="544">
        <f t="shared" si="28"/>
        <v>114</v>
      </c>
      <c r="K111" s="544">
        <f t="shared" si="28"/>
        <v>116</v>
      </c>
      <c r="L111" s="544">
        <f t="shared" si="28"/>
        <v>118</v>
      </c>
      <c r="M111" s="544">
        <f t="shared" si="28"/>
        <v>120</v>
      </c>
      <c r="N111" s="1152"/>
      <c r="O111" s="1152"/>
      <c r="P111" s="2625"/>
      <c r="Q111" s="504"/>
    </row>
    <row r="112" spans="1:17" s="471" customFormat="1" ht="15" thickTop="1">
      <c r="A112" s="593"/>
      <c r="B112" s="538" t="s">
        <v>2606</v>
      </c>
      <c r="C112" s="2959" t="s">
        <v>3086</v>
      </c>
      <c r="D112" s="2959" t="s">
        <v>3088</v>
      </c>
      <c r="E112" s="2959" t="s">
        <v>3089</v>
      </c>
      <c r="F112" s="2959" t="s">
        <v>3090</v>
      </c>
      <c r="G112" s="2959" t="s">
        <v>3091</v>
      </c>
      <c r="H112" s="583"/>
      <c r="I112" s="583"/>
      <c r="J112" s="583"/>
      <c r="K112" s="584"/>
      <c r="L112" s="585"/>
      <c r="M112" s="586"/>
      <c r="N112" s="1153"/>
      <c r="O112" s="1153"/>
      <c r="P112" s="2626"/>
      <c r="Q112" s="559"/>
    </row>
    <row r="113" spans="1:17" s="471" customFormat="1" ht="15.75" thickBot="1">
      <c r="A113" s="553"/>
      <c r="B113" s="543"/>
      <c r="C113" s="544">
        <v>100</v>
      </c>
      <c r="D113" s="544">
        <f>C113-$K37</f>
        <v>99</v>
      </c>
      <c r="E113" s="544">
        <f t="shared" ref="E113:M113" si="29">D113-$K37</f>
        <v>98</v>
      </c>
      <c r="F113" s="544">
        <f t="shared" si="29"/>
        <v>97</v>
      </c>
      <c r="G113" s="544">
        <f t="shared" si="29"/>
        <v>96</v>
      </c>
      <c r="H113" s="544">
        <f t="shared" si="29"/>
        <v>95</v>
      </c>
      <c r="I113" s="544">
        <f t="shared" si="29"/>
        <v>94</v>
      </c>
      <c r="J113" s="544">
        <f t="shared" si="29"/>
        <v>93</v>
      </c>
      <c r="K113" s="544">
        <f t="shared" si="29"/>
        <v>92</v>
      </c>
      <c r="L113" s="544">
        <f t="shared" si="29"/>
        <v>91</v>
      </c>
      <c r="M113" s="544">
        <f t="shared" si="29"/>
        <v>90</v>
      </c>
      <c r="N113" s="1153"/>
      <c r="O113" s="1153"/>
      <c r="P113" s="2626"/>
      <c r="Q113" s="559"/>
    </row>
    <row r="114" spans="1:17" ht="15" thickTop="1">
      <c r="A114" s="599"/>
      <c r="B114" s="538" t="s">
        <v>2670</v>
      </c>
      <c r="C114" s="2959" t="s">
        <v>3092</v>
      </c>
      <c r="D114" s="2959" t="s">
        <v>3094</v>
      </c>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30">C115-$K38</f>
        <v>98</v>
      </c>
      <c r="E115" s="544">
        <f t="shared" si="30"/>
        <v>96</v>
      </c>
      <c r="F115" s="544">
        <f t="shared" si="30"/>
        <v>94</v>
      </c>
      <c r="G115" s="544">
        <f t="shared" si="30"/>
        <v>92</v>
      </c>
      <c r="H115" s="544">
        <f t="shared" si="30"/>
        <v>90</v>
      </c>
      <c r="I115" s="544">
        <f t="shared" si="30"/>
        <v>88</v>
      </c>
      <c r="J115" s="544">
        <f t="shared" si="30"/>
        <v>86</v>
      </c>
      <c r="K115" s="544">
        <f t="shared" si="30"/>
        <v>84</v>
      </c>
      <c r="L115" s="544">
        <f t="shared" si="30"/>
        <v>82</v>
      </c>
      <c r="M115" s="545">
        <f t="shared" si="30"/>
        <v>80</v>
      </c>
      <c r="N115" s="1152"/>
      <c r="O115" s="1152"/>
      <c r="P115" s="2625"/>
      <c r="Q115" s="504"/>
    </row>
    <row r="116" spans="1:17" ht="15" thickTop="1">
      <c r="A116" s="599"/>
      <c r="B116" s="538" t="s">
        <v>2671</v>
      </c>
      <c r="C116" s="2959" t="s">
        <v>3096</v>
      </c>
      <c r="D116" s="554"/>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95</v>
      </c>
      <c r="E117" s="544">
        <f>D117-$K39</f>
        <v>90</v>
      </c>
      <c r="F117" s="544">
        <f>E117-$K39</f>
        <v>85</v>
      </c>
      <c r="G117" s="544">
        <f>F117-$K39</f>
        <v>80</v>
      </c>
      <c r="H117" s="544"/>
      <c r="I117" s="544"/>
      <c r="J117" s="544"/>
      <c r="K117" s="544"/>
      <c r="L117" s="544"/>
      <c r="M117" s="545"/>
      <c r="N117" s="1152"/>
      <c r="O117" s="1152"/>
      <c r="P117" s="2625"/>
      <c r="Q117" s="504"/>
    </row>
    <row r="118" spans="1:17" ht="15" thickTop="1">
      <c r="A118" s="599"/>
      <c r="B118" s="538" t="s">
        <v>2672</v>
      </c>
      <c r="C118" s="627"/>
      <c r="D118" s="627"/>
      <c r="E118" s="627"/>
      <c r="F118" s="627"/>
      <c r="G118" s="627"/>
      <c r="H118" s="555"/>
      <c r="I118" s="555"/>
      <c r="J118" s="555"/>
      <c r="K118" s="555"/>
      <c r="L118" s="556"/>
      <c r="M118" s="557"/>
      <c r="N118" s="1151"/>
      <c r="O118" s="1151"/>
      <c r="P118" s="2625"/>
      <c r="Q118" s="504"/>
    </row>
    <row r="119" spans="1:17" ht="15.75" thickBot="1">
      <c r="A119" s="534"/>
      <c r="B119" s="543"/>
      <c r="C119" s="560"/>
      <c r="D119" s="536"/>
      <c r="E119" s="536"/>
      <c r="F119" s="536"/>
      <c r="G119" s="536"/>
      <c r="H119" s="536"/>
      <c r="I119" s="536"/>
      <c r="J119" s="536"/>
      <c r="K119" s="536"/>
      <c r="L119" s="536"/>
      <c r="M119" s="537"/>
      <c r="N119" s="1152"/>
      <c r="O119" s="1152"/>
      <c r="P119" s="2625"/>
      <c r="Q119" s="504"/>
    </row>
    <row r="120" spans="1:17" s="471" customFormat="1" ht="15" thickTop="1">
      <c r="A120" s="593"/>
      <c r="B120" s="538" t="s">
        <v>2673</v>
      </c>
      <c r="C120" s="2964" t="s">
        <v>2585</v>
      </c>
      <c r="D120" s="2964" t="s">
        <v>2586</v>
      </c>
      <c r="E120" s="2964" t="s">
        <v>2587</v>
      </c>
      <c r="F120" s="2964" t="s">
        <v>2588</v>
      </c>
      <c r="G120" s="2964" t="s">
        <v>2589</v>
      </c>
      <c r="H120" s="555"/>
      <c r="I120" s="555"/>
      <c r="J120" s="555"/>
      <c r="K120" s="555"/>
      <c r="L120" s="556"/>
      <c r="M120" s="557"/>
      <c r="N120" s="1153"/>
      <c r="O120" s="1153"/>
      <c r="P120" s="2626"/>
      <c r="Q120" s="559"/>
    </row>
    <row r="121" spans="1:17" s="471" customFormat="1" ht="15.75" thickBot="1">
      <c r="A121" s="553"/>
      <c r="B121" s="535"/>
      <c r="C121" s="582">
        <v>100</v>
      </c>
      <c r="D121" s="544">
        <f>C121-$K41</f>
        <v>98</v>
      </c>
      <c r="E121" s="544">
        <f t="shared" ref="E121:M121" si="31">D121-$K41</f>
        <v>96</v>
      </c>
      <c r="F121" s="544">
        <f t="shared" si="31"/>
        <v>94</v>
      </c>
      <c r="G121" s="544">
        <f t="shared" si="31"/>
        <v>92</v>
      </c>
      <c r="H121" s="544">
        <f t="shared" si="31"/>
        <v>90</v>
      </c>
      <c r="I121" s="544">
        <f t="shared" si="31"/>
        <v>88</v>
      </c>
      <c r="J121" s="544">
        <f t="shared" si="31"/>
        <v>86</v>
      </c>
      <c r="K121" s="544">
        <f t="shared" si="31"/>
        <v>84</v>
      </c>
      <c r="L121" s="544">
        <f t="shared" si="31"/>
        <v>82</v>
      </c>
      <c r="M121" s="545">
        <f t="shared" si="31"/>
        <v>80</v>
      </c>
      <c r="N121" s="1153"/>
      <c r="O121" s="1153"/>
      <c r="P121" s="2626"/>
      <c r="Q121" s="559"/>
    </row>
    <row r="122" spans="1:17" ht="15" thickTop="1">
      <c r="A122" s="599"/>
      <c r="B122" s="538" t="s">
        <v>2608</v>
      </c>
      <c r="C122" s="2959" t="s">
        <v>3079</v>
      </c>
      <c r="D122" s="2959" t="s">
        <v>3081</v>
      </c>
      <c r="E122" s="2959" t="s">
        <v>3083</v>
      </c>
      <c r="F122" s="2963" t="s">
        <v>3085</v>
      </c>
      <c r="G122" s="583"/>
      <c r="H122" s="583"/>
      <c r="I122" s="583"/>
      <c r="J122" s="583"/>
      <c r="K122" s="584"/>
      <c r="L122" s="585"/>
      <c r="M122" s="586"/>
      <c r="N122" s="1151"/>
      <c r="O122" s="1151"/>
      <c r="P122" s="2625"/>
      <c r="Q122" s="504"/>
    </row>
    <row r="123" spans="1:17" ht="15.75" thickBot="1">
      <c r="A123" s="534"/>
      <c r="B123" s="543"/>
      <c r="C123" s="544">
        <v>100</v>
      </c>
      <c r="D123" s="544">
        <f t="shared" ref="D123:M123" si="32">C123-$K42</f>
        <v>98.5</v>
      </c>
      <c r="E123" s="544">
        <f t="shared" si="32"/>
        <v>97</v>
      </c>
      <c r="F123" s="544">
        <f t="shared" si="32"/>
        <v>95.5</v>
      </c>
      <c r="G123" s="544">
        <f t="shared" si="32"/>
        <v>94</v>
      </c>
      <c r="H123" s="544">
        <f t="shared" si="32"/>
        <v>92.5</v>
      </c>
      <c r="I123" s="544">
        <f t="shared" si="32"/>
        <v>91</v>
      </c>
      <c r="J123" s="544">
        <f t="shared" si="32"/>
        <v>89.5</v>
      </c>
      <c r="K123" s="544">
        <f t="shared" si="32"/>
        <v>88</v>
      </c>
      <c r="L123" s="544">
        <f t="shared" si="32"/>
        <v>86.5</v>
      </c>
      <c r="M123" s="545">
        <f t="shared" si="32"/>
        <v>85</v>
      </c>
      <c r="N123" s="1152"/>
      <c r="O123" s="1152"/>
      <c r="P123" s="2625"/>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1"/>
      <c r="O124" s="1151"/>
      <c r="P124" s="2626"/>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36"/>
      <c r="E129" s="536"/>
      <c r="F129" s="536"/>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cfRule type="containsText" dxfId="15" priority="16"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30669</v>
      </c>
      <c r="C2" s="2" t="s">
        <v>133</v>
      </c>
      <c r="D2" s="243"/>
      <c r="E2" s="243"/>
      <c r="F2" s="243"/>
      <c r="G2" s="243"/>
    </row>
    <row r="3" spans="1:7" s="244" customFormat="1" ht="18" customHeight="1" thickBot="1">
      <c r="A3" s="247" t="s">
        <v>85</v>
      </c>
      <c r="B3" s="248">
        <f ca="1">ROUND(B2*10000/'数据-汇总表'!E3,0)</f>
        <v>73662</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1" t="s">
        <v>791</v>
      </c>
      <c r="B6" s="259" t="s">
        <v>91</v>
      </c>
      <c r="C6" s="260">
        <v>20000</v>
      </c>
      <c r="D6" s="261"/>
      <c r="E6" s="262"/>
      <c r="F6" s="262"/>
      <c r="G6" s="263"/>
    </row>
    <row r="7" spans="1:7" s="258" customFormat="1" ht="13.5" customHeight="1">
      <c r="A7" s="951" t="s">
        <v>792</v>
      </c>
      <c r="B7" s="259" t="s">
        <v>57</v>
      </c>
      <c r="C7" s="264">
        <f>ROUND(C6*F7,0)</f>
        <v>610</v>
      </c>
      <c r="D7" s="264"/>
      <c r="E7" s="262"/>
      <c r="F7" s="265">
        <f>'数据-取费表'!B48+'数据-取费表'!B49</f>
        <v>3.0499999999999999E-2</v>
      </c>
      <c r="G7" s="263"/>
    </row>
    <row r="8" spans="1:7" s="267" customFormat="1">
      <c r="A8" s="951" t="s">
        <v>793</v>
      </c>
      <c r="B8" s="259" t="s">
        <v>92</v>
      </c>
      <c r="C8" s="264" t="str">
        <f>IF(G8="已包含在土地购买价格中","0",'数据-取费表'!B29)</f>
        <v>0</v>
      </c>
      <c r="D8" s="266"/>
      <c r="E8" s="264"/>
      <c r="F8" s="265"/>
      <c r="G8" s="1" t="s">
        <v>1148</v>
      </c>
    </row>
    <row r="9" spans="1:7" s="258" customFormat="1" ht="13.5" customHeight="1">
      <c r="A9" s="952" t="s">
        <v>800</v>
      </c>
      <c r="B9" s="268" t="s">
        <v>93</v>
      </c>
      <c r="C9" s="269">
        <f>ROUND(D9*E9/10000,0)</f>
        <v>0</v>
      </c>
      <c r="D9" s="1034">
        <f>'数据-汇总表'!E5</f>
        <v>0</v>
      </c>
      <c r="E9" s="269">
        <f>'数据-取费表'!B27</f>
        <v>0</v>
      </c>
      <c r="F9" s="265"/>
      <c r="G9" s="270"/>
    </row>
    <row r="10" spans="1:7" s="258" customFormat="1" ht="13.5" customHeight="1">
      <c r="A10" s="952" t="s">
        <v>801</v>
      </c>
      <c r="B10" s="268" t="s">
        <v>94</v>
      </c>
      <c r="C10" s="269">
        <f>ROUND(D10*E10/10000,0)</f>
        <v>83</v>
      </c>
      <c r="D10" s="1034">
        <f>'数据-汇总表'!E6</f>
        <v>4163.47</v>
      </c>
      <c r="E10" s="269">
        <f>'数据-取费表'!B28</f>
        <v>200</v>
      </c>
      <c r="F10" s="265"/>
      <c r="G10" s="270"/>
    </row>
    <row r="11" spans="1:7" s="258" customFormat="1" ht="13.5" hidden="1" customHeight="1">
      <c r="A11" s="271" t="s">
        <v>7</v>
      </c>
      <c r="B11" s="259" t="s">
        <v>95</v>
      </c>
      <c r="C11" s="255"/>
      <c r="D11" s="1036"/>
      <c r="E11" s="262"/>
      <c r="F11" s="262"/>
      <c r="G11" s="263"/>
    </row>
    <row r="12" spans="1:7" s="258" customFormat="1" ht="13.5" hidden="1" customHeight="1">
      <c r="A12" s="271" t="s">
        <v>8</v>
      </c>
      <c r="B12" s="259" t="s">
        <v>96</v>
      </c>
      <c r="C12" s="255">
        <v>0</v>
      </c>
      <c r="D12" s="1036"/>
      <c r="E12" s="272"/>
      <c r="F12" s="265">
        <v>3.0499999999999999E-2</v>
      </c>
      <c r="G12" s="263"/>
    </row>
    <row r="13" spans="1:7" s="258" customFormat="1" ht="13.5" hidden="1" customHeight="1">
      <c r="A13" s="271" t="s">
        <v>9</v>
      </c>
      <c r="B13" s="259" t="s">
        <v>97</v>
      </c>
      <c r="C13" s="255"/>
      <c r="D13" s="1036"/>
      <c r="E13" s="262"/>
      <c r="F13" s="262"/>
      <c r="G13" s="263"/>
    </row>
    <row r="14" spans="1:7" s="258" customFormat="1" ht="13.5" hidden="1" customHeight="1">
      <c r="A14" s="271" t="s">
        <v>10</v>
      </c>
      <c r="B14" s="259" t="s">
        <v>92</v>
      </c>
      <c r="C14" s="255"/>
      <c r="D14" s="1036"/>
      <c r="E14" s="262"/>
      <c r="F14" s="262"/>
      <c r="G14" s="263" t="s">
        <v>98</v>
      </c>
    </row>
    <row r="15" spans="1:7" s="258" customFormat="1" ht="13.5" hidden="1" customHeight="1">
      <c r="A15" s="271" t="s">
        <v>11</v>
      </c>
      <c r="B15" s="259" t="s">
        <v>99</v>
      </c>
      <c r="C15" s="264"/>
      <c r="D15" s="1036"/>
      <c r="E15" s="262"/>
      <c r="F15" s="262"/>
      <c r="G15" s="263" t="s">
        <v>100</v>
      </c>
    </row>
    <row r="16" spans="1:7" s="258" customFormat="1" ht="13.5" hidden="1" customHeight="1">
      <c r="A16" s="271" t="s">
        <v>12</v>
      </c>
      <c r="B16" s="259" t="s">
        <v>92</v>
      </c>
      <c r="C16" s="264"/>
      <c r="D16" s="1036"/>
      <c r="E16" s="262"/>
      <c r="F16" s="262"/>
      <c r="G16" s="263"/>
    </row>
    <row r="17" spans="1:7" s="258" customFormat="1" ht="13.5" hidden="1" customHeight="1">
      <c r="A17" s="271" t="s">
        <v>13</v>
      </c>
      <c r="B17" s="259" t="s">
        <v>101</v>
      </c>
      <c r="C17" s="273"/>
      <c r="D17" s="1037"/>
      <c r="E17" s="273"/>
      <c r="F17" s="273"/>
      <c r="G17" s="263" t="s">
        <v>100</v>
      </c>
    </row>
    <row r="18" spans="1:7" s="258" customFormat="1" ht="13.5" hidden="1" customHeight="1">
      <c r="A18" s="271" t="s">
        <v>14</v>
      </c>
      <c r="B18" s="259" t="s">
        <v>102</v>
      </c>
      <c r="C18" s="264">
        <v>0</v>
      </c>
      <c r="D18" s="1036"/>
      <c r="E18" s="262"/>
      <c r="F18" s="265">
        <v>3.0499999999999999E-2</v>
      </c>
      <c r="G18" s="263" t="s">
        <v>103</v>
      </c>
    </row>
    <row r="19" spans="1:7" s="267" customFormat="1" ht="13.5" customHeight="1">
      <c r="A19" s="950" t="s">
        <v>1055</v>
      </c>
      <c r="B19" s="254" t="s">
        <v>111</v>
      </c>
      <c r="C19" s="255">
        <f>IF(G19="已包含在土地取得成本中","0",ROUND(D19*E19/10000,0))</f>
        <v>83</v>
      </c>
      <c r="D19" s="1038">
        <f>'数据-汇总表'!E3</f>
        <v>4163.47</v>
      </c>
      <c r="E19" s="255">
        <f>'数据-取费表'!B31</f>
        <v>200</v>
      </c>
      <c r="F19" s="275"/>
      <c r="G19" s="1" t="s">
        <v>1074</v>
      </c>
    </row>
    <row r="20" spans="1:7" s="258" customFormat="1" ht="13.5" customHeight="1">
      <c r="A20" s="950" t="s">
        <v>1057</v>
      </c>
      <c r="B20" s="254" t="s">
        <v>104</v>
      </c>
      <c r="C20" s="276">
        <f>ROUND((C5+C19)*F20,0)</f>
        <v>207</v>
      </c>
      <c r="D20" s="276"/>
      <c r="E20" s="276"/>
      <c r="F20" s="277">
        <f>'数据-取费表'!B37</f>
        <v>0.01</v>
      </c>
      <c r="G20" s="1288" t="s">
        <v>1068</v>
      </c>
    </row>
    <row r="21" spans="1:7" s="258" customFormat="1" ht="13.5" customHeight="1">
      <c r="A21" s="950" t="s">
        <v>1059</v>
      </c>
      <c r="B21" s="254" t="s">
        <v>105</v>
      </c>
      <c r="C21" s="279">
        <f>F21</f>
        <v>0.01</v>
      </c>
      <c r="D21" s="280" t="s">
        <v>126</v>
      </c>
      <c r="E21" s="276"/>
      <c r="F21" s="277">
        <f>'数据-取费表'!B38</f>
        <v>0.01</v>
      </c>
      <c r="G21" s="278" t="s">
        <v>106</v>
      </c>
    </row>
    <row r="22" spans="1:7" s="258" customFormat="1" ht="13.5" customHeight="1">
      <c r="A22" s="950" t="s">
        <v>786</v>
      </c>
      <c r="B22" s="254" t="s">
        <v>107</v>
      </c>
      <c r="C22" s="1353">
        <f ca="1">ROUND(SUM(C23:C25),0)</f>
        <v>2022</v>
      </c>
      <c r="D22" s="279">
        <f ca="1">C26</f>
        <v>5.0000000000000001E-4</v>
      </c>
      <c r="E22" s="280" t="s">
        <v>126</v>
      </c>
      <c r="F22" s="281">
        <f ca="1">'数据-取费表'!B40</f>
        <v>4.7500000000000001E-2</v>
      </c>
      <c r="G22" s="1288" t="str">
        <f>IF('数据-取费表'!B22&lt;=1,"单利计息","复利计息")</f>
        <v>复利计息</v>
      </c>
    </row>
    <row r="23" spans="1:7" s="258" customFormat="1" ht="13.5" customHeight="1">
      <c r="A23" s="953" t="s">
        <v>794</v>
      </c>
      <c r="B23" s="259" t="s">
        <v>1061</v>
      </c>
      <c r="C23" s="1354">
        <f ca="1">ROUND(IF('数据-取费表'!B22&lt;=1,C5*F22*'数据-取费表'!B23,C5*(POWER((1+F22),'数据-取费表'!B23)-1)),0)</f>
        <v>2004</v>
      </c>
      <c r="D23" s="282"/>
      <c r="E23" s="282"/>
      <c r="F23" s="283"/>
      <c r="G23" s="284" t="s">
        <v>108</v>
      </c>
    </row>
    <row r="24" spans="1:7" s="258" customFormat="1" ht="13.5" customHeight="1">
      <c r="A24" s="953" t="s">
        <v>792</v>
      </c>
      <c r="B24" s="259" t="s">
        <v>1056</v>
      </c>
      <c r="C24" s="1354">
        <f ca="1">ROUND(IF('数据-取费表'!B22&lt;=1,C19*F22*('数据-取费表'!B19/2+'数据-取费表'!B21),C19*(POWER((1+F22),('数据-取费表'!B19/2+'数据-取费表'!B21))-1)),0)</f>
        <v>8</v>
      </c>
      <c r="D24" s="282"/>
      <c r="E24" s="282"/>
      <c r="F24" s="283"/>
      <c r="G24" s="284" t="s">
        <v>109</v>
      </c>
    </row>
    <row r="25" spans="1:7" s="258" customFormat="1" ht="24">
      <c r="A25" s="953" t="s">
        <v>793</v>
      </c>
      <c r="B25" s="259" t="s">
        <v>1058</v>
      </c>
      <c r="C25" s="1354">
        <f ca="1">ROUND(IF('数据-取费表'!B22&lt;=1,C20*F22*'数据-取费表'!B23/2,C20*(POWER((1+F22),'数据-取费表'!B23/2)-1)),0)</f>
        <v>10</v>
      </c>
      <c r="D25" s="282"/>
      <c r="E25" s="285"/>
      <c r="F25" s="283"/>
      <c r="G25" s="286" t="s">
        <v>110</v>
      </c>
    </row>
    <row r="26" spans="1:7" s="258" customFormat="1">
      <c r="A26" s="953" t="s">
        <v>795</v>
      </c>
      <c r="B26" s="259" t="s">
        <v>1060</v>
      </c>
      <c r="C26" s="282">
        <f ca="1">ROUND(IF('数据-取费表'!B22&lt;=1,F21*F22*'数据-取费表'!B23/2,F21*(POWER((1+F22),'数据-取费表'!B23/2)-1)),4)</f>
        <v>5.0000000000000001E-4</v>
      </c>
      <c r="D26" s="282"/>
      <c r="E26" s="285"/>
      <c r="F26" s="283"/>
      <c r="G26" s="287"/>
    </row>
    <row r="27" spans="1:7" s="258" customFormat="1" ht="24.75">
      <c r="A27" s="950" t="s">
        <v>787</v>
      </c>
      <c r="B27" s="288" t="s">
        <v>112</v>
      </c>
      <c r="C27" s="289">
        <f>C28</f>
        <v>4180</v>
      </c>
      <c r="D27" s="279">
        <f>C29</f>
        <v>2E-3</v>
      </c>
      <c r="E27" s="280" t="s">
        <v>126</v>
      </c>
      <c r="F27" s="290">
        <f>'数据-取费表'!Q16</f>
        <v>0.2</v>
      </c>
      <c r="G27" s="291" t="s">
        <v>1069</v>
      </c>
    </row>
    <row r="28" spans="1:7" s="258" customFormat="1" ht="13.5" customHeight="1">
      <c r="A28" s="953" t="s">
        <v>794</v>
      </c>
      <c r="B28" s="292" t="s">
        <v>1062</v>
      </c>
      <c r="C28" s="293">
        <f>ROUND((C5+C19+C20)*F27*'数据-取费表'!B21/'数据-取费表'!B20,0)</f>
        <v>4180</v>
      </c>
      <c r="D28" s="279"/>
      <c r="E28" s="280"/>
      <c r="F28" s="290"/>
      <c r="G28" s="291"/>
    </row>
    <row r="29" spans="1:7" s="258" customFormat="1" ht="13.5" customHeight="1">
      <c r="A29" s="953" t="s">
        <v>792</v>
      </c>
      <c r="B29" s="292" t="s">
        <v>1063</v>
      </c>
      <c r="C29" s="282">
        <f>ROUND(C21*F27*'数据-取费表'!B21/'数据-取费表'!B20,4)</f>
        <v>2E-3</v>
      </c>
      <c r="D29" s="279"/>
      <c r="E29" s="280"/>
      <c r="F29" s="290"/>
      <c r="G29" s="291"/>
    </row>
    <row r="30" spans="1:7" s="258" customFormat="1" ht="13.5" customHeight="1">
      <c r="A30" s="950"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29012</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1413</v>
      </c>
      <c r="D33" s="276"/>
      <c r="E33" s="256"/>
      <c r="F33" s="285"/>
      <c r="G33" s="278"/>
    </row>
    <row r="34" spans="1:7" s="302" customFormat="1" ht="13.5" customHeight="1">
      <c r="A34" s="953" t="s">
        <v>794</v>
      </c>
      <c r="B34" s="259" t="s">
        <v>59</v>
      </c>
      <c r="C34" s="264">
        <f>IF(F34=100%,'数据-取费表'!M16-SUMIF('数据-取费表'!C:C,"公共配套",'数据-取费表'!M:M),'数据-取费表'!O16-SUMIF('数据-取费表'!C:C,"公共配套",'数据-取费表'!O:O))</f>
        <v>1249</v>
      </c>
      <c r="D34" s="261"/>
      <c r="E34" s="264"/>
      <c r="F34" s="301">
        <f>IF('数据-取费表'!B24=0,1,'数据-取费表'!N16)</f>
        <v>1</v>
      </c>
      <c r="G34" s="263" t="s">
        <v>116</v>
      </c>
    </row>
    <row r="35" spans="1:7" ht="13.5" customHeight="1">
      <c r="A35" s="953" t="s">
        <v>796</v>
      </c>
      <c r="B35" s="259" t="s">
        <v>60</v>
      </c>
      <c r="C35" s="264">
        <f>ROUND(C34*F35,0)</f>
        <v>62</v>
      </c>
      <c r="D35" s="264"/>
      <c r="E35" s="264"/>
      <c r="F35" s="303">
        <f>'数据-取费表'!B33</f>
        <v>0.05</v>
      </c>
      <c r="G35" s="263" t="s">
        <v>117</v>
      </c>
    </row>
    <row r="36" spans="1:7" ht="24">
      <c r="A36" s="953"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3" t="s">
        <v>798</v>
      </c>
      <c r="B37" s="259" t="s">
        <v>118</v>
      </c>
      <c r="C37" s="293">
        <f>ROUND(E37*D37*F34/10000,0)</f>
        <v>83</v>
      </c>
      <c r="D37" s="261">
        <f>'数据-汇总表'!E3</f>
        <v>4163.47</v>
      </c>
      <c r="E37" s="293">
        <f>'数据-取费表'!B35</f>
        <v>200</v>
      </c>
      <c r="F37" s="303"/>
      <c r="G37" s="305" t="s">
        <v>119</v>
      </c>
    </row>
    <row r="38" spans="1:7" ht="13.5" customHeight="1">
      <c r="A38" s="953" t="s">
        <v>799</v>
      </c>
      <c r="B38" s="259" t="s">
        <v>63</v>
      </c>
      <c r="C38" s="264">
        <f>ROUND(C34*F38,0)</f>
        <v>19</v>
      </c>
      <c r="D38" s="264"/>
      <c r="E38" s="264"/>
      <c r="F38" s="303">
        <f>'数据-取费表'!B36</f>
        <v>1.4999999999999999E-2</v>
      </c>
      <c r="G38" s="263" t="s">
        <v>117</v>
      </c>
    </row>
    <row r="39" spans="1:7" s="258" customFormat="1" ht="13.5" customHeight="1">
      <c r="A39" s="950" t="s">
        <v>783</v>
      </c>
      <c r="B39" s="254" t="s">
        <v>104</v>
      </c>
      <c r="C39" s="276">
        <f>ROUND(C33*F20,0)</f>
        <v>14</v>
      </c>
      <c r="D39" s="276"/>
      <c r="E39" s="276"/>
      <c r="F39" s="277"/>
      <c r="G39" s="1288" t="s">
        <v>1071</v>
      </c>
    </row>
    <row r="40" spans="1:7" s="258" customFormat="1" ht="13.5" customHeight="1">
      <c r="A40" s="950" t="s">
        <v>784</v>
      </c>
      <c r="B40" s="254" t="s">
        <v>105</v>
      </c>
      <c r="C40" s="306">
        <f>F21</f>
        <v>0.01</v>
      </c>
      <c r="D40" s="280" t="s">
        <v>129</v>
      </c>
      <c r="E40" s="276"/>
      <c r="F40" s="277"/>
      <c r="G40" s="278" t="s">
        <v>120</v>
      </c>
    </row>
    <row r="41" spans="1:7" s="258" customFormat="1" ht="13.5" customHeight="1">
      <c r="A41" s="950" t="s">
        <v>785</v>
      </c>
      <c r="B41" s="254" t="s">
        <v>107</v>
      </c>
      <c r="C41" s="276">
        <f ca="1">ROUND(SUM(C42:C43),0)</f>
        <v>68</v>
      </c>
      <c r="D41" s="279">
        <f ca="1">C44</f>
        <v>5.0000000000000001E-4</v>
      </c>
      <c r="E41" s="280" t="s">
        <v>129</v>
      </c>
      <c r="F41" s="281"/>
      <c r="G41" s="1288" t="str">
        <f>IF('数据-取费表'!B22&lt;=1,"单利计息","复利计息")</f>
        <v>复利计息</v>
      </c>
    </row>
    <row r="42" spans="1:7" ht="13.5" customHeight="1">
      <c r="A42" s="953" t="s">
        <v>794</v>
      </c>
      <c r="B42" s="259" t="s">
        <v>1061</v>
      </c>
      <c r="C42" s="282">
        <f ca="1">ROUND(IF('数据-取费表'!B22&lt;=1,C33*F22*'数据-取费表'!B21/2,C33*(POWER((1+F22),'数据-取费表'!B21/2)-1)),0)</f>
        <v>67</v>
      </c>
      <c r="D42" s="282"/>
      <c r="E42" s="282"/>
      <c r="F42" s="283"/>
      <c r="G42" s="3202" t="s">
        <v>121</v>
      </c>
    </row>
    <row r="43" spans="1:7" ht="13.5" customHeight="1">
      <c r="A43" s="953" t="s">
        <v>792</v>
      </c>
      <c r="B43" s="259" t="s">
        <v>1064</v>
      </c>
      <c r="C43" s="282">
        <f ca="1">ROUND(IF('数据-取费表'!B22&lt;=1,C39*F22*'数据-取费表'!B21/2,C39*(POWER((1+F22),'数据-取费表'!B21/2)-1)),0)</f>
        <v>1</v>
      </c>
      <c r="D43" s="282"/>
      <c r="E43" s="282"/>
      <c r="F43" s="283"/>
      <c r="G43" s="3203"/>
    </row>
    <row r="44" spans="1:7" ht="13.5" customHeight="1">
      <c r="A44" s="953" t="s">
        <v>793</v>
      </c>
      <c r="B44" s="259" t="s">
        <v>1066</v>
      </c>
      <c r="C44" s="282">
        <f ca="1">ROUND(IF('数据-取费表'!B22&lt;=1,C40*F22*'数据-取费表'!B21/2,C40*(POWER((1+F22),'数据-取费表'!B21/2)-1)),4)</f>
        <v>5.0000000000000001E-4</v>
      </c>
      <c r="D44" s="282"/>
      <c r="E44" s="282"/>
      <c r="F44" s="283"/>
      <c r="G44" s="3204"/>
    </row>
    <row r="45" spans="1:7" s="258" customFormat="1" ht="13.5" customHeight="1">
      <c r="A45" s="950" t="s">
        <v>786</v>
      </c>
      <c r="B45" s="288" t="s">
        <v>112</v>
      </c>
      <c r="C45" s="289">
        <f>C46</f>
        <v>285</v>
      </c>
      <c r="D45" s="279">
        <f>C47</f>
        <v>2E-3</v>
      </c>
      <c r="E45" s="280" t="s">
        <v>129</v>
      </c>
      <c r="F45" s="290"/>
      <c r="G45" s="291" t="s">
        <v>1072</v>
      </c>
    </row>
    <row r="46" spans="1:7" s="258" customFormat="1" ht="13.5" customHeight="1">
      <c r="A46" s="953" t="s">
        <v>794</v>
      </c>
      <c r="B46" s="292" t="s">
        <v>1065</v>
      </c>
      <c r="C46" s="293">
        <f>ROUND((C33+C39)*F27,0)</f>
        <v>285</v>
      </c>
      <c r="D46" s="307"/>
      <c r="E46" s="280"/>
      <c r="F46" s="290"/>
      <c r="G46" s="291"/>
    </row>
    <row r="47" spans="1:7" s="258" customFormat="1" ht="13.5" customHeight="1">
      <c r="A47" s="953" t="s">
        <v>792</v>
      </c>
      <c r="B47" s="292" t="s">
        <v>1067</v>
      </c>
      <c r="C47" s="282">
        <f>ROUND(C40*F27,4)</f>
        <v>2E-3</v>
      </c>
      <c r="D47" s="307"/>
      <c r="E47" s="280"/>
      <c r="F47" s="290"/>
      <c r="G47" s="291"/>
    </row>
    <row r="48" spans="1:7" s="258" customFormat="1" ht="13.5" customHeight="1">
      <c r="A48" s="950" t="s">
        <v>787</v>
      </c>
      <c r="B48" s="254" t="s">
        <v>122</v>
      </c>
      <c r="C48" s="306">
        <f>F30</f>
        <v>5.6000000000000001E-2</v>
      </c>
      <c r="D48" s="280" t="s">
        <v>130</v>
      </c>
      <c r="E48" s="276"/>
      <c r="F48" s="281"/>
      <c r="G48" s="278" t="s">
        <v>123</v>
      </c>
    </row>
    <row r="49" spans="1:7" ht="16.5" customHeight="1">
      <c r="A49" s="950" t="s">
        <v>788</v>
      </c>
      <c r="B49" s="254" t="s">
        <v>131</v>
      </c>
      <c r="C49" s="276">
        <f ca="1">ROUND((C33+C39+C41+C45)/(1-C40-D41-D45-C48/(1+'数据-取费表'!B42)),0)</f>
        <v>1905</v>
      </c>
      <c r="D49" s="276"/>
      <c r="E49" s="276"/>
      <c r="F49" s="308"/>
      <c r="G49" s="278" t="s">
        <v>1073</v>
      </c>
    </row>
    <row r="50" spans="1:7" s="302" customFormat="1" ht="24">
      <c r="A50" s="950" t="s">
        <v>789</v>
      </c>
      <c r="B50" s="254" t="s">
        <v>124</v>
      </c>
      <c r="C50" s="276"/>
      <c r="D50" s="276"/>
      <c r="E50" s="276"/>
      <c r="F50" s="308">
        <f>IF('数据-取费表'!B24=0,'数据-取费表'!N16,1)</f>
        <v>0.87</v>
      </c>
      <c r="G50" s="291" t="s">
        <v>125</v>
      </c>
    </row>
    <row r="51" spans="1:7" ht="16.5" customHeight="1">
      <c r="A51" s="950" t="s">
        <v>790</v>
      </c>
      <c r="B51" s="254" t="s">
        <v>132</v>
      </c>
      <c r="C51" s="276">
        <f ca="1">ROUND(C49*F50,0)</f>
        <v>1657</v>
      </c>
      <c r="D51" s="276"/>
      <c r="E51" s="276"/>
      <c r="F51" s="308"/>
      <c r="G51" s="278" t="s">
        <v>64</v>
      </c>
    </row>
    <row r="52" spans="1:7" s="252" customFormat="1" ht="16.5" thickBot="1">
      <c r="A52" s="309" t="s">
        <v>65</v>
      </c>
      <c r="B52" s="310"/>
      <c r="C52" s="311">
        <f ca="1">C31+C51</f>
        <v>30669</v>
      </c>
      <c r="D52" s="310"/>
      <c r="E52" s="310"/>
      <c r="F52" s="310"/>
      <c r="G52" s="312"/>
    </row>
    <row r="55" spans="1:7" ht="15">
      <c r="B55" s="314" t="s">
        <v>66</v>
      </c>
      <c r="C55" s="315"/>
    </row>
    <row r="56" spans="1:7">
      <c r="B56" s="317" t="s">
        <v>67</v>
      </c>
      <c r="C56" s="318">
        <f ca="1">ROUND(C51/C52,3)</f>
        <v>5.3999999999999999E-2</v>
      </c>
    </row>
    <row r="57" spans="1:7">
      <c r="B57" s="317" t="s">
        <v>68</v>
      </c>
      <c r="C57" s="319">
        <f ca="1">1-C56</f>
        <v>0.94599999999999995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4" customWidth="1"/>
    <col min="2" max="5" width="10.25" style="812" customWidth="1"/>
    <col min="6" max="6" width="9" style="812"/>
    <col min="7" max="8" width="9" style="827"/>
    <col min="9" max="16384" width="9" style="812"/>
  </cols>
  <sheetData>
    <row r="1" spans="1:19">
      <c r="A1" s="3339" t="s">
        <v>156</v>
      </c>
      <c r="B1" s="3339"/>
      <c r="C1" s="3339"/>
      <c r="D1" s="3339"/>
      <c r="E1" s="3339"/>
      <c r="F1" s="3339"/>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40" t="s">
        <v>169</v>
      </c>
      <c r="B2" s="3340"/>
      <c r="C2" s="3340"/>
      <c r="D2" s="3340"/>
      <c r="E2" s="3340"/>
      <c r="F2" s="3340"/>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41"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42"/>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1053</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1053</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39" t="s">
        <v>871</v>
      </c>
      <c r="B1" s="3339"/>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9" t="s">
        <v>878</v>
      </c>
      <c r="B5" s="840" t="s">
        <v>879</v>
      </c>
      <c r="C5" s="1062">
        <v>8.8999999999999996E-2</v>
      </c>
      <c r="D5" s="1062">
        <v>7.3999999999999996E-2</v>
      </c>
      <c r="E5" s="1062">
        <v>7.4999999999999997E-2</v>
      </c>
      <c r="F5" s="1063">
        <v>0.1</v>
      </c>
    </row>
    <row r="6" spans="1:6" ht="14.25" thickBot="1">
      <c r="A6" s="839" t="s">
        <v>212</v>
      </c>
      <c r="B6" s="833" t="s">
        <v>880</v>
      </c>
      <c r="C6" s="1064">
        <v>0.1</v>
      </c>
      <c r="D6" s="1064">
        <v>9.0999999999999998E-2</v>
      </c>
      <c r="E6" s="1064">
        <v>9.0999999999999998E-2</v>
      </c>
      <c r="F6" s="1065">
        <v>0.1</v>
      </c>
    </row>
    <row r="7" spans="1:6" ht="14.25" thickBot="1">
      <c r="A7" s="839" t="s">
        <v>212</v>
      </c>
      <c r="B7" s="843" t="s">
        <v>201</v>
      </c>
      <c r="C7" s="1064">
        <v>8.5999999999999993E-2</v>
      </c>
      <c r="D7" s="1064">
        <v>9.6000000000000002E-2</v>
      </c>
      <c r="E7" s="1064">
        <v>7.5999999999999998E-2</v>
      </c>
      <c r="F7" s="1065">
        <v>0.1</v>
      </c>
    </row>
    <row r="8" spans="1:6" ht="14.25" thickBot="1">
      <c r="A8" s="839" t="s">
        <v>212</v>
      </c>
      <c r="B8" s="833" t="s">
        <v>213</v>
      </c>
      <c r="C8" s="1064">
        <v>9.9000000000000005E-2</v>
      </c>
      <c r="D8" s="1064">
        <v>9.8000000000000004E-2</v>
      </c>
      <c r="E8" s="1064">
        <v>9.8000000000000004E-2</v>
      </c>
      <c r="F8" s="1065">
        <v>0.1</v>
      </c>
    </row>
    <row r="9" spans="1:6" ht="14.25" thickBot="1">
      <c r="A9" s="849" t="s">
        <v>212</v>
      </c>
      <c r="B9" s="844" t="s">
        <v>225</v>
      </c>
      <c r="C9" s="1066">
        <v>0.05</v>
      </c>
      <c r="D9" s="1074"/>
      <c r="E9" s="1074"/>
      <c r="F9" s="1075"/>
    </row>
    <row r="10" spans="1:6" ht="14.25" thickBot="1">
      <c r="A10" s="839" t="s">
        <v>269</v>
      </c>
      <c r="B10" s="840" t="s">
        <v>881</v>
      </c>
      <c r="C10" s="1062">
        <v>8.8999999999999996E-2</v>
      </c>
      <c r="D10" s="1062">
        <v>7.2999999999999995E-2</v>
      </c>
      <c r="E10" s="1062">
        <v>8.2000000000000003E-2</v>
      </c>
      <c r="F10" s="1063">
        <v>0.1</v>
      </c>
    </row>
    <row r="11" spans="1:6" ht="14.25" thickBot="1">
      <c r="A11" s="839" t="s">
        <v>269</v>
      </c>
      <c r="B11" s="843" t="s">
        <v>188</v>
      </c>
      <c r="C11" s="1064">
        <v>8.8999999999999996E-2</v>
      </c>
      <c r="D11" s="1064">
        <v>7.2999999999999995E-2</v>
      </c>
      <c r="E11" s="1064">
        <v>8.2000000000000003E-2</v>
      </c>
      <c r="F11" s="1065">
        <v>0.1</v>
      </c>
    </row>
    <row r="12" spans="1:6" ht="14.25" thickBot="1">
      <c r="A12" s="839" t="s">
        <v>269</v>
      </c>
      <c r="B12" s="843" t="s">
        <v>138</v>
      </c>
      <c r="C12" s="1064">
        <v>6.0999999999999999E-2</v>
      </c>
      <c r="D12" s="1064">
        <v>7.0999999999999994E-2</v>
      </c>
      <c r="E12" s="1064">
        <v>9.6000000000000002E-2</v>
      </c>
      <c r="F12" s="1065">
        <v>0.1</v>
      </c>
    </row>
    <row r="13" spans="1:6" ht="14.25" thickBot="1">
      <c r="A13" s="839" t="s">
        <v>269</v>
      </c>
      <c r="B13" s="843" t="s">
        <v>214</v>
      </c>
      <c r="C13" s="1064">
        <v>6.9000000000000006E-2</v>
      </c>
      <c r="D13" s="1064">
        <v>6.5000000000000002E-2</v>
      </c>
      <c r="E13" s="1064">
        <v>6.6000000000000003E-2</v>
      </c>
      <c r="F13" s="1065">
        <v>0.1</v>
      </c>
    </row>
    <row r="14" spans="1:6" ht="14.25" thickBot="1">
      <c r="A14" s="839" t="s">
        <v>269</v>
      </c>
      <c r="B14" s="843" t="s">
        <v>226</v>
      </c>
      <c r="C14" s="1064">
        <v>0.1</v>
      </c>
      <c r="D14" s="1064">
        <v>6.5000000000000002E-2</v>
      </c>
      <c r="E14" s="1064">
        <v>7.0000000000000007E-2</v>
      </c>
      <c r="F14" s="1065">
        <v>0.1</v>
      </c>
    </row>
    <row r="15" spans="1:6" ht="14.25" thickBot="1">
      <c r="A15" s="839" t="s">
        <v>269</v>
      </c>
      <c r="B15" s="843" t="s">
        <v>237</v>
      </c>
      <c r="C15" s="1064">
        <v>9.8000000000000004E-2</v>
      </c>
      <c r="D15" s="1064">
        <v>8.8999999999999996E-2</v>
      </c>
      <c r="E15" s="1064">
        <v>8.8999999999999996E-2</v>
      </c>
      <c r="F15" s="1065">
        <v>0.1</v>
      </c>
    </row>
    <row r="16" spans="1:6" ht="14.25" thickBot="1">
      <c r="A16" s="839" t="s">
        <v>269</v>
      </c>
      <c r="B16" s="843" t="s">
        <v>248</v>
      </c>
      <c r="C16" s="1064">
        <v>7.0000000000000007E-2</v>
      </c>
      <c r="D16" s="1064">
        <v>9.2999999999999999E-2</v>
      </c>
      <c r="E16" s="1064">
        <v>9.6000000000000002E-2</v>
      </c>
      <c r="F16" s="1065">
        <v>0.1</v>
      </c>
    </row>
    <row r="17" spans="1:6" ht="14.25" thickBot="1">
      <c r="A17" s="839" t="s">
        <v>269</v>
      </c>
      <c r="B17" s="843" t="s">
        <v>259</v>
      </c>
      <c r="C17" s="1064">
        <v>9.5000000000000001E-2</v>
      </c>
      <c r="D17" s="1064">
        <v>0.1</v>
      </c>
      <c r="E17" s="1064">
        <v>0.1</v>
      </c>
      <c r="F17" s="1076"/>
    </row>
    <row r="18" spans="1:6" ht="14.25" thickBot="1">
      <c r="A18" s="839" t="s">
        <v>269</v>
      </c>
      <c r="B18" s="843" t="s">
        <v>271</v>
      </c>
      <c r="C18" s="1064">
        <v>7.3999999999999996E-2</v>
      </c>
      <c r="D18" s="1064">
        <v>9.9000000000000005E-2</v>
      </c>
      <c r="E18" s="1064">
        <v>0.1</v>
      </c>
      <c r="F18" s="1076"/>
    </row>
    <row r="19" spans="1:6" ht="14.25" thickBot="1">
      <c r="A19" s="839" t="s">
        <v>269</v>
      </c>
      <c r="B19" s="843" t="s">
        <v>281</v>
      </c>
      <c r="C19" s="1064">
        <v>9.9000000000000005E-2</v>
      </c>
      <c r="D19" s="1064">
        <v>7.5999999999999998E-2</v>
      </c>
      <c r="E19" s="1064">
        <v>8.6999999999999994E-2</v>
      </c>
      <c r="F19" s="1076"/>
    </row>
    <row r="20" spans="1:6" ht="14.25" thickBot="1">
      <c r="A20" s="839" t="s">
        <v>269</v>
      </c>
      <c r="B20" s="843" t="s">
        <v>291</v>
      </c>
      <c r="C20" s="1064">
        <v>9.8000000000000004E-2</v>
      </c>
      <c r="D20" s="1064">
        <v>8.5000000000000006E-2</v>
      </c>
      <c r="E20" s="1064">
        <v>8.2000000000000003E-2</v>
      </c>
      <c r="F20" s="1076"/>
    </row>
    <row r="21" spans="1:6" ht="14.25" thickBot="1">
      <c r="A21" s="839" t="s">
        <v>269</v>
      </c>
      <c r="B21" s="843" t="s">
        <v>301</v>
      </c>
      <c r="C21" s="1064">
        <v>6.6000000000000003E-2</v>
      </c>
      <c r="D21" s="1064">
        <v>6.4000000000000001E-2</v>
      </c>
      <c r="E21" s="1064">
        <v>6.5000000000000002E-2</v>
      </c>
      <c r="F21" s="1076"/>
    </row>
    <row r="22" spans="1:6" ht="14.25" thickBot="1">
      <c r="A22" s="839" t="s">
        <v>269</v>
      </c>
      <c r="B22" s="843" t="s">
        <v>882</v>
      </c>
      <c r="C22" s="1064">
        <v>0.08</v>
      </c>
      <c r="D22" s="1064">
        <v>9.8000000000000004E-2</v>
      </c>
      <c r="E22" s="1064">
        <v>9.8000000000000004E-2</v>
      </c>
      <c r="F22" s="1076"/>
    </row>
    <row r="23" spans="1:6" ht="14.25" thickBot="1">
      <c r="A23" s="839" t="s">
        <v>269</v>
      </c>
      <c r="B23" s="843" t="s">
        <v>322</v>
      </c>
      <c r="C23" s="1064">
        <v>9.9000000000000005E-2</v>
      </c>
      <c r="D23" s="1064">
        <v>9.8000000000000004E-2</v>
      </c>
      <c r="E23" s="1064">
        <v>9.0999999999999998E-2</v>
      </c>
      <c r="F23" s="1076"/>
    </row>
    <row r="24" spans="1:6" ht="14.25" thickBot="1">
      <c r="A24" s="839" t="s">
        <v>269</v>
      </c>
      <c r="B24" s="843" t="s">
        <v>333</v>
      </c>
      <c r="C24" s="1064">
        <v>8.8999999999999996E-2</v>
      </c>
      <c r="D24" s="1064">
        <v>9.7000000000000003E-2</v>
      </c>
      <c r="E24" s="1064">
        <v>7.0000000000000007E-2</v>
      </c>
      <c r="F24" s="1076"/>
    </row>
    <row r="25" spans="1:6" ht="14.25" thickBot="1">
      <c r="A25" s="839" t="s">
        <v>269</v>
      </c>
      <c r="B25" s="843" t="s">
        <v>343</v>
      </c>
      <c r="C25" s="1064">
        <v>8.8999999999999996E-2</v>
      </c>
      <c r="D25" s="1064">
        <v>0.1</v>
      </c>
      <c r="E25" s="1064">
        <v>8.1000000000000003E-2</v>
      </c>
      <c r="F25" s="1076"/>
    </row>
    <row r="26" spans="1:6" ht="14.25" thickBot="1">
      <c r="A26" s="839" t="s">
        <v>269</v>
      </c>
      <c r="B26" s="843" t="s">
        <v>353</v>
      </c>
      <c r="C26" s="1077"/>
      <c r="D26" s="1064">
        <v>9.6000000000000002E-2</v>
      </c>
      <c r="E26" s="1064">
        <v>9.2999999999999999E-2</v>
      </c>
      <c r="F26" s="1076"/>
    </row>
    <row r="27" spans="1:6" ht="14.25" thickBot="1">
      <c r="A27" s="839" t="s">
        <v>269</v>
      </c>
      <c r="B27" s="843" t="s">
        <v>363</v>
      </c>
      <c r="C27" s="1077"/>
      <c r="D27" s="1064">
        <v>7.5999999999999998E-2</v>
      </c>
      <c r="E27" s="1064">
        <v>9.1999999999999998E-2</v>
      </c>
      <c r="F27" s="1076"/>
    </row>
    <row r="28" spans="1:6" ht="14.25" thickBot="1">
      <c r="A28" s="849" t="s">
        <v>269</v>
      </c>
      <c r="B28" s="844" t="s">
        <v>373</v>
      </c>
      <c r="C28" s="1074"/>
      <c r="D28" s="1066">
        <v>7.5999999999999998E-2</v>
      </c>
      <c r="E28" s="1066">
        <v>9.1999999999999998E-2</v>
      </c>
      <c r="F28" s="1075"/>
    </row>
    <row r="29" spans="1:6" ht="14.25" thickBot="1">
      <c r="A29" s="839" t="s">
        <v>442</v>
      </c>
      <c r="B29" s="840" t="s">
        <v>883</v>
      </c>
      <c r="C29" s="1062">
        <v>6.4000000000000001E-2</v>
      </c>
      <c r="D29" s="1062">
        <v>6.5000000000000002E-2</v>
      </c>
      <c r="E29" s="1062">
        <v>6.9000000000000006E-2</v>
      </c>
      <c r="F29" s="1063">
        <v>0.1</v>
      </c>
    </row>
    <row r="30" spans="1:6" ht="14.25" thickBot="1">
      <c r="A30" s="839" t="s">
        <v>442</v>
      </c>
      <c r="B30" s="843" t="s">
        <v>189</v>
      </c>
      <c r="C30" s="1064">
        <v>6.4000000000000001E-2</v>
      </c>
      <c r="D30" s="1064">
        <v>9.9000000000000005E-2</v>
      </c>
      <c r="E30" s="1064">
        <v>0.1</v>
      </c>
      <c r="F30" s="1065">
        <v>0.1</v>
      </c>
    </row>
    <row r="31" spans="1:6" ht="14.25" thickBot="1">
      <c r="A31" s="839" t="s">
        <v>442</v>
      </c>
      <c r="B31" s="843" t="s">
        <v>202</v>
      </c>
      <c r="C31" s="1064">
        <v>0.1</v>
      </c>
      <c r="D31" s="1064">
        <v>9.5000000000000001E-2</v>
      </c>
      <c r="E31" s="1064">
        <v>8.8999999999999996E-2</v>
      </c>
      <c r="F31" s="1065">
        <v>0.1</v>
      </c>
    </row>
    <row r="32" spans="1:6" ht="14.25" thickBot="1">
      <c r="A32" s="839" t="s">
        <v>442</v>
      </c>
      <c r="B32" s="843" t="s">
        <v>215</v>
      </c>
      <c r="C32" s="1064">
        <v>0.05</v>
      </c>
      <c r="D32" s="1064">
        <v>0.05</v>
      </c>
      <c r="E32" s="1064">
        <v>8.7999999999999995E-2</v>
      </c>
      <c r="F32" s="1065">
        <v>0.1</v>
      </c>
    </row>
    <row r="33" spans="1:6" ht="14.25" thickBot="1">
      <c r="A33" s="839" t="s">
        <v>442</v>
      </c>
      <c r="B33" s="843" t="s">
        <v>227</v>
      </c>
      <c r="C33" s="1064">
        <v>7.4999999999999997E-2</v>
      </c>
      <c r="D33" s="1064">
        <v>9.4E-2</v>
      </c>
      <c r="E33" s="1064">
        <v>9.7000000000000003E-2</v>
      </c>
      <c r="F33" s="1065">
        <v>0.1</v>
      </c>
    </row>
    <row r="34" spans="1:6" ht="14.25" thickBot="1">
      <c r="A34" s="839" t="s">
        <v>442</v>
      </c>
      <c r="B34" s="843" t="s">
        <v>238</v>
      </c>
      <c r="C34" s="1064">
        <v>9.8000000000000004E-2</v>
      </c>
      <c r="D34" s="1064">
        <v>8.5999999999999993E-2</v>
      </c>
      <c r="E34" s="1064">
        <v>9.7000000000000003E-2</v>
      </c>
      <c r="F34" s="1065">
        <v>0.1</v>
      </c>
    </row>
    <row r="35" spans="1:6" ht="14.25" thickBot="1">
      <c r="A35" s="839" t="s">
        <v>442</v>
      </c>
      <c r="B35" s="843" t="s">
        <v>249</v>
      </c>
      <c r="C35" s="1064">
        <v>5.8999999999999997E-2</v>
      </c>
      <c r="D35" s="1064">
        <v>6.5000000000000002E-2</v>
      </c>
      <c r="E35" s="1064">
        <v>7.0000000000000007E-2</v>
      </c>
      <c r="F35" s="1065">
        <v>0.1</v>
      </c>
    </row>
    <row r="36" spans="1:6" ht="14.25" thickBot="1">
      <c r="A36" s="839" t="s">
        <v>442</v>
      </c>
      <c r="B36" s="843" t="s">
        <v>260</v>
      </c>
      <c r="C36" s="1064">
        <v>6.3E-2</v>
      </c>
      <c r="D36" s="1064">
        <v>0.1</v>
      </c>
      <c r="E36" s="1064">
        <v>0.1</v>
      </c>
      <c r="F36" s="1065">
        <v>0.1</v>
      </c>
    </row>
    <row r="37" spans="1:6" ht="14.25" thickBot="1">
      <c r="A37" s="839" t="s">
        <v>442</v>
      </c>
      <c r="B37" s="843" t="s">
        <v>272</v>
      </c>
      <c r="C37" s="1064">
        <v>7.3999999999999996E-2</v>
      </c>
      <c r="D37" s="1064">
        <v>0.1</v>
      </c>
      <c r="E37" s="1064">
        <v>0.1</v>
      </c>
      <c r="F37" s="1065">
        <v>0.1</v>
      </c>
    </row>
    <row r="38" spans="1:6" ht="14.25" thickBot="1">
      <c r="A38" s="839" t="s">
        <v>442</v>
      </c>
      <c r="B38" s="843" t="s">
        <v>282</v>
      </c>
      <c r="C38" s="1064">
        <v>0.1</v>
      </c>
      <c r="D38" s="1064">
        <v>9.6000000000000002E-2</v>
      </c>
      <c r="E38" s="1064">
        <v>9.6000000000000002E-2</v>
      </c>
      <c r="F38" s="1076"/>
    </row>
    <row r="39" spans="1:6" ht="14.25" thickBot="1">
      <c r="A39" s="839" t="s">
        <v>442</v>
      </c>
      <c r="B39" s="843" t="s">
        <v>292</v>
      </c>
      <c r="C39" s="1064">
        <v>0.1</v>
      </c>
      <c r="D39" s="1064">
        <v>9.6000000000000002E-2</v>
      </c>
      <c r="E39" s="1064">
        <v>9.6000000000000002E-2</v>
      </c>
      <c r="F39" s="1076"/>
    </row>
    <row r="40" spans="1:6" ht="14.25" thickBot="1">
      <c r="A40" s="839" t="s">
        <v>442</v>
      </c>
      <c r="B40" s="843" t="s">
        <v>302</v>
      </c>
      <c r="C40" s="1064">
        <v>9.6000000000000002E-2</v>
      </c>
      <c r="D40" s="1064">
        <v>0.1</v>
      </c>
      <c r="E40" s="1064">
        <v>9.9000000000000005E-2</v>
      </c>
      <c r="F40" s="1076"/>
    </row>
    <row r="41" spans="1:6" ht="14.25" thickBot="1">
      <c r="A41" s="839" t="s">
        <v>442</v>
      </c>
      <c r="B41" s="843" t="s">
        <v>312</v>
      </c>
      <c r="C41" s="1064">
        <v>9.6000000000000002E-2</v>
      </c>
      <c r="D41" s="1064">
        <v>9.8000000000000004E-2</v>
      </c>
      <c r="E41" s="1064">
        <v>9.8000000000000004E-2</v>
      </c>
      <c r="F41" s="1076"/>
    </row>
    <row r="42" spans="1:6" ht="14.25" thickBot="1">
      <c r="A42" s="839" t="s">
        <v>442</v>
      </c>
      <c r="B42" s="843" t="s">
        <v>323</v>
      </c>
      <c r="C42" s="1064">
        <v>0.1</v>
      </c>
      <c r="D42" s="1064">
        <v>8.7999999999999995E-2</v>
      </c>
      <c r="E42" s="1064">
        <v>0.1</v>
      </c>
      <c r="F42" s="1076"/>
    </row>
    <row r="43" spans="1:6" ht="14.25" thickBot="1">
      <c r="A43" s="839" t="s">
        <v>442</v>
      </c>
      <c r="B43" s="843" t="s">
        <v>334</v>
      </c>
      <c r="C43" s="1064">
        <v>9.8000000000000004E-2</v>
      </c>
      <c r="D43" s="1064">
        <v>9.7000000000000003E-2</v>
      </c>
      <c r="E43" s="1064">
        <v>9.6000000000000002E-2</v>
      </c>
      <c r="F43" s="1076"/>
    </row>
    <row r="44" spans="1:6" ht="14.25" thickBot="1">
      <c r="A44" s="839" t="s">
        <v>442</v>
      </c>
      <c r="B44" s="843" t="s">
        <v>344</v>
      </c>
      <c r="C44" s="1064">
        <v>8.5999999999999993E-2</v>
      </c>
      <c r="D44" s="1064">
        <v>7.9000000000000001E-2</v>
      </c>
      <c r="E44" s="1064">
        <v>7.0999999999999994E-2</v>
      </c>
      <c r="F44" s="1076"/>
    </row>
    <row r="45" spans="1:6" ht="14.25" thickBot="1">
      <c r="A45" s="839" t="s">
        <v>442</v>
      </c>
      <c r="B45" s="843" t="s">
        <v>354</v>
      </c>
      <c r="C45" s="1064">
        <v>9.8000000000000004E-2</v>
      </c>
      <c r="D45" s="1064">
        <v>9.6000000000000002E-2</v>
      </c>
      <c r="E45" s="1064">
        <v>9.6000000000000002E-2</v>
      </c>
      <c r="F45" s="1076"/>
    </row>
    <row r="46" spans="1:6" ht="14.25" thickBot="1">
      <c r="A46" s="839" t="s">
        <v>442</v>
      </c>
      <c r="B46" s="843" t="s">
        <v>364</v>
      </c>
      <c r="C46" s="1064">
        <v>8.5999999999999993E-2</v>
      </c>
      <c r="D46" s="1064">
        <v>9.8000000000000004E-2</v>
      </c>
      <c r="E46" s="1064">
        <v>8.7999999999999995E-2</v>
      </c>
      <c r="F46" s="1076"/>
    </row>
    <row r="47" spans="1:6" ht="14.25" thickBot="1">
      <c r="A47" s="839" t="s">
        <v>442</v>
      </c>
      <c r="B47" s="843" t="s">
        <v>374</v>
      </c>
      <c r="C47" s="1064">
        <v>9.6000000000000002E-2</v>
      </c>
      <c r="D47" s="1077"/>
      <c r="E47" s="1064">
        <v>6.9000000000000006E-2</v>
      </c>
      <c r="F47" s="1076"/>
    </row>
    <row r="48" spans="1:6" ht="14.25" thickBot="1">
      <c r="A48" s="849" t="s">
        <v>442</v>
      </c>
      <c r="B48" s="844" t="s">
        <v>383</v>
      </c>
      <c r="C48" s="1066">
        <v>9.8000000000000004E-2</v>
      </c>
      <c r="D48" s="1074"/>
      <c r="E48" s="1066">
        <v>9.5000000000000001E-2</v>
      </c>
      <c r="F48" s="1075"/>
    </row>
    <row r="49" spans="1:6" ht="14.25" thickBot="1">
      <c r="A49" s="839" t="s">
        <v>137</v>
      </c>
      <c r="B49" s="840" t="s">
        <v>884</v>
      </c>
      <c r="C49" s="1062">
        <v>9.7000000000000003E-2</v>
      </c>
      <c r="D49" s="1062">
        <v>9.5000000000000001E-2</v>
      </c>
      <c r="E49" s="1062">
        <v>9.7000000000000003E-2</v>
      </c>
      <c r="F49" s="1063">
        <v>0.1</v>
      </c>
    </row>
    <row r="50" spans="1:6" ht="14.25" thickBot="1">
      <c r="A50" s="839" t="s">
        <v>137</v>
      </c>
      <c r="B50" s="833" t="s">
        <v>190</v>
      </c>
      <c r="C50" s="1064">
        <v>7.4999999999999997E-2</v>
      </c>
      <c r="D50" s="1064">
        <v>9.5000000000000001E-2</v>
      </c>
      <c r="E50" s="1064">
        <v>0.1</v>
      </c>
      <c r="F50" s="1065">
        <v>0.1</v>
      </c>
    </row>
    <row r="51" spans="1:6" ht="14.25" thickBot="1">
      <c r="A51" s="839" t="s">
        <v>137</v>
      </c>
      <c r="B51" s="833" t="s">
        <v>203</v>
      </c>
      <c r="C51" s="1064">
        <v>9.8000000000000004E-2</v>
      </c>
      <c r="D51" s="1064">
        <v>8.8999999999999996E-2</v>
      </c>
      <c r="E51" s="1064">
        <v>0.1</v>
      </c>
      <c r="F51" s="1065">
        <v>0.1</v>
      </c>
    </row>
    <row r="52" spans="1:6" ht="14.25" thickBot="1">
      <c r="A52" s="839" t="s">
        <v>137</v>
      </c>
      <c r="B52" s="833" t="s">
        <v>216</v>
      </c>
      <c r="C52" s="1064">
        <v>9.8000000000000004E-2</v>
      </c>
      <c r="D52" s="1064">
        <v>9.7000000000000003E-2</v>
      </c>
      <c r="E52" s="1064">
        <v>8.1000000000000003E-2</v>
      </c>
      <c r="F52" s="1065">
        <v>0.1</v>
      </c>
    </row>
    <row r="53" spans="1:6" ht="14.25" thickBot="1">
      <c r="A53" s="839" t="s">
        <v>137</v>
      </c>
      <c r="B53" s="833" t="s">
        <v>228</v>
      </c>
      <c r="C53" s="1064">
        <v>9.7000000000000003E-2</v>
      </c>
      <c r="D53" s="1064">
        <v>7.5999999999999998E-2</v>
      </c>
      <c r="E53" s="1064">
        <v>7.0999999999999994E-2</v>
      </c>
      <c r="F53" s="1065">
        <v>0.1</v>
      </c>
    </row>
    <row r="54" spans="1:6" ht="14.25" thickBot="1">
      <c r="A54" s="839" t="s">
        <v>137</v>
      </c>
      <c r="B54" s="833" t="s">
        <v>239</v>
      </c>
      <c r="C54" s="1064">
        <v>7.5999999999999998E-2</v>
      </c>
      <c r="D54" s="1064">
        <v>0.1</v>
      </c>
      <c r="E54" s="1064">
        <v>9.9000000000000005E-2</v>
      </c>
      <c r="F54" s="1065">
        <v>0.1</v>
      </c>
    </row>
    <row r="55" spans="1:6" ht="14.25" thickBot="1">
      <c r="A55" s="839" t="s">
        <v>137</v>
      </c>
      <c r="B55" s="833" t="s">
        <v>250</v>
      </c>
      <c r="C55" s="1064">
        <v>0.1</v>
      </c>
      <c r="D55" s="1064">
        <v>0.1</v>
      </c>
      <c r="E55" s="1064">
        <v>9.6000000000000002E-2</v>
      </c>
      <c r="F55" s="1065">
        <v>0.1</v>
      </c>
    </row>
    <row r="56" spans="1:6" ht="14.25" thickBot="1">
      <c r="A56" s="839" t="s">
        <v>137</v>
      </c>
      <c r="B56" s="833" t="s">
        <v>261</v>
      </c>
      <c r="C56" s="1064">
        <v>0.1</v>
      </c>
      <c r="D56" s="1064">
        <v>9.6000000000000002E-2</v>
      </c>
      <c r="E56" s="1064">
        <v>5.1999999999999998E-2</v>
      </c>
      <c r="F56" s="1065">
        <v>0.1</v>
      </c>
    </row>
    <row r="57" spans="1:6" ht="14.25" thickBot="1">
      <c r="A57" s="839" t="s">
        <v>137</v>
      </c>
      <c r="B57" s="833" t="s">
        <v>273</v>
      </c>
      <c r="C57" s="1064">
        <v>9.7000000000000003E-2</v>
      </c>
      <c r="D57" s="1064">
        <v>9.6000000000000002E-2</v>
      </c>
      <c r="E57" s="1064">
        <v>9.6000000000000002E-2</v>
      </c>
      <c r="F57" s="1065">
        <v>0.1</v>
      </c>
    </row>
    <row r="58" spans="1:6" ht="14.25" thickBot="1">
      <c r="A58" s="839" t="s">
        <v>137</v>
      </c>
      <c r="B58" s="833" t="s">
        <v>283</v>
      </c>
      <c r="C58" s="1064">
        <v>9.6000000000000002E-2</v>
      </c>
      <c r="D58" s="1064">
        <v>9.9000000000000005E-2</v>
      </c>
      <c r="E58" s="1064">
        <v>9.6000000000000002E-2</v>
      </c>
      <c r="F58" s="1065">
        <v>0.1</v>
      </c>
    </row>
    <row r="59" spans="1:6" ht="14.25" thickBot="1">
      <c r="A59" s="839" t="s">
        <v>137</v>
      </c>
      <c r="B59" s="833" t="s">
        <v>293</v>
      </c>
      <c r="C59" s="1064">
        <v>7.1999999999999995E-2</v>
      </c>
      <c r="D59" s="1064">
        <v>9.6000000000000002E-2</v>
      </c>
      <c r="E59" s="1064">
        <v>7.0999999999999994E-2</v>
      </c>
      <c r="F59" s="1065">
        <v>0.1</v>
      </c>
    </row>
    <row r="60" spans="1:6" ht="14.25" thickBot="1">
      <c r="A60" s="839" t="s">
        <v>137</v>
      </c>
      <c r="B60" s="833" t="s">
        <v>303</v>
      </c>
      <c r="C60" s="1064">
        <v>9.6000000000000002E-2</v>
      </c>
      <c r="D60" s="1064">
        <v>8.8999999999999996E-2</v>
      </c>
      <c r="E60" s="1064">
        <v>9.6000000000000002E-2</v>
      </c>
      <c r="F60" s="1065">
        <v>0.1</v>
      </c>
    </row>
    <row r="61" spans="1:6" ht="14.25" thickBot="1">
      <c r="A61" s="839" t="s">
        <v>137</v>
      </c>
      <c r="B61" s="833" t="s">
        <v>313</v>
      </c>
      <c r="C61" s="1064">
        <v>8.8999999999999996E-2</v>
      </c>
      <c r="D61" s="1064">
        <v>9.8000000000000004E-2</v>
      </c>
      <c r="E61" s="1064">
        <v>8.7999999999999995E-2</v>
      </c>
      <c r="F61" s="1076"/>
    </row>
    <row r="62" spans="1:6" ht="14.25" thickBot="1">
      <c r="A62" s="839" t="s">
        <v>137</v>
      </c>
      <c r="B62" s="833" t="s">
        <v>324</v>
      </c>
      <c r="C62" s="1064">
        <v>9.8000000000000004E-2</v>
      </c>
      <c r="D62" s="1064">
        <v>9.2999999999999999E-2</v>
      </c>
      <c r="E62" s="1064">
        <v>9.7000000000000003E-2</v>
      </c>
      <c r="F62" s="1076"/>
    </row>
    <row r="63" spans="1:6" ht="14.25" thickBot="1">
      <c r="A63" s="839" t="s">
        <v>137</v>
      </c>
      <c r="B63" s="833" t="s">
        <v>335</v>
      </c>
      <c r="C63" s="1064">
        <v>9.6000000000000002E-2</v>
      </c>
      <c r="D63" s="1064">
        <v>9.8000000000000004E-2</v>
      </c>
      <c r="E63" s="1064">
        <v>0.09</v>
      </c>
      <c r="F63" s="1076"/>
    </row>
    <row r="64" spans="1:6" ht="14.25" thickBot="1">
      <c r="A64" s="839" t="s">
        <v>137</v>
      </c>
      <c r="B64" s="833" t="s">
        <v>345</v>
      </c>
      <c r="C64" s="1064">
        <v>9.9000000000000005E-2</v>
      </c>
      <c r="D64" s="1064">
        <v>9.7000000000000003E-2</v>
      </c>
      <c r="E64" s="1064">
        <v>9.9000000000000005E-2</v>
      </c>
      <c r="F64" s="1076"/>
    </row>
    <row r="65" spans="1:6" ht="14.25" thickBot="1">
      <c r="A65" s="839" t="s">
        <v>137</v>
      </c>
      <c r="B65" s="833" t="s">
        <v>355</v>
      </c>
      <c r="C65" s="1064">
        <v>9.8000000000000004E-2</v>
      </c>
      <c r="D65" s="1064">
        <v>9.6000000000000002E-2</v>
      </c>
      <c r="E65" s="1064">
        <v>9.6000000000000002E-2</v>
      </c>
      <c r="F65" s="1076"/>
    </row>
    <row r="66" spans="1:6" ht="14.25" thickBot="1">
      <c r="A66" s="839" t="s">
        <v>137</v>
      </c>
      <c r="B66" s="833" t="s">
        <v>365</v>
      </c>
      <c r="C66" s="1064">
        <v>9.6000000000000002E-2</v>
      </c>
      <c r="D66" s="1064">
        <v>9.1999999999999998E-2</v>
      </c>
      <c r="E66" s="1064">
        <v>9.6000000000000002E-2</v>
      </c>
      <c r="F66" s="1076"/>
    </row>
    <row r="67" spans="1:6" ht="14.25" thickBot="1">
      <c r="A67" s="839" t="s">
        <v>137</v>
      </c>
      <c r="B67" s="833" t="s">
        <v>375</v>
      </c>
      <c r="C67" s="1064">
        <v>9.4E-2</v>
      </c>
      <c r="D67" s="1064">
        <v>0.1</v>
      </c>
      <c r="E67" s="1064">
        <v>8.7999999999999995E-2</v>
      </c>
      <c r="F67" s="1076"/>
    </row>
    <row r="68" spans="1:6" ht="14.25" thickBot="1">
      <c r="A68" s="839" t="s">
        <v>137</v>
      </c>
      <c r="B68" s="833" t="s">
        <v>384</v>
      </c>
      <c r="C68" s="1064">
        <v>0.1</v>
      </c>
      <c r="D68" s="1064">
        <v>8.7999999999999995E-2</v>
      </c>
      <c r="E68" s="1064">
        <v>9.7000000000000003E-2</v>
      </c>
      <c r="F68" s="1076"/>
    </row>
    <row r="69" spans="1:6" ht="14.25" thickBot="1">
      <c r="A69" s="839" t="s">
        <v>137</v>
      </c>
      <c r="B69" s="833" t="s">
        <v>393</v>
      </c>
      <c r="C69" s="1064">
        <v>6.4000000000000001E-2</v>
      </c>
      <c r="D69" s="1064">
        <v>0.1</v>
      </c>
      <c r="E69" s="1064">
        <v>0.1</v>
      </c>
      <c r="F69" s="1076"/>
    </row>
    <row r="70" spans="1:6" ht="14.25" thickBot="1">
      <c r="A70" s="839" t="s">
        <v>137</v>
      </c>
      <c r="B70" s="833" t="s">
        <v>401</v>
      </c>
      <c r="C70" s="1064">
        <v>9.0999999999999998E-2</v>
      </c>
      <c r="D70" s="1077"/>
      <c r="E70" s="1077"/>
      <c r="F70" s="1076"/>
    </row>
    <row r="71" spans="1:6" ht="14.25" thickBot="1">
      <c r="A71" s="839" t="s">
        <v>137</v>
      </c>
      <c r="B71" s="833" t="s">
        <v>408</v>
      </c>
      <c r="C71" s="1064">
        <v>0.1</v>
      </c>
      <c r="D71" s="1077"/>
      <c r="E71" s="1077"/>
      <c r="F71" s="1076"/>
    </row>
    <row r="72" spans="1:6" ht="14.25" thickBot="1">
      <c r="A72" s="839" t="s">
        <v>137</v>
      </c>
      <c r="B72" s="833" t="s">
        <v>885</v>
      </c>
      <c r="C72" s="1077"/>
      <c r="D72" s="1077"/>
      <c r="E72" s="1077"/>
      <c r="F72" s="1065">
        <v>0.05</v>
      </c>
    </row>
    <row r="73" spans="1:6" ht="14.25" thickBot="1">
      <c r="A73" s="839" t="s">
        <v>137</v>
      </c>
      <c r="B73" s="833" t="s">
        <v>886</v>
      </c>
      <c r="C73" s="1077"/>
      <c r="D73" s="1077"/>
      <c r="E73" s="1077"/>
      <c r="F73" s="1065">
        <v>0.05</v>
      </c>
    </row>
    <row r="74" spans="1:6" ht="14.25" thickBot="1">
      <c r="A74" s="839" t="s">
        <v>137</v>
      </c>
      <c r="B74" s="833" t="s">
        <v>887</v>
      </c>
      <c r="C74" s="1077"/>
      <c r="D74" s="1077"/>
      <c r="E74" s="1077"/>
      <c r="F74" s="1065">
        <v>0.05</v>
      </c>
    </row>
    <row r="75" spans="1:6" ht="14.25" thickBot="1">
      <c r="A75" s="849" t="s">
        <v>137</v>
      </c>
      <c r="B75" s="845" t="s">
        <v>888</v>
      </c>
      <c r="C75" s="1074"/>
      <c r="D75" s="1074"/>
      <c r="E75" s="1074"/>
      <c r="F75" s="1067">
        <v>0.05</v>
      </c>
    </row>
    <row r="76" spans="1:6" ht="14.25" thickBot="1">
      <c r="A76" s="839" t="s">
        <v>523</v>
      </c>
      <c r="B76" s="840" t="s">
        <v>889</v>
      </c>
      <c r="C76" s="1062">
        <v>0.1</v>
      </c>
      <c r="D76" s="1062">
        <v>0.1</v>
      </c>
      <c r="E76" s="1062">
        <v>0.1</v>
      </c>
      <c r="F76" s="1063">
        <v>0.1</v>
      </c>
    </row>
    <row r="77" spans="1:6" ht="14.25" thickBot="1">
      <c r="A77" s="839" t="s">
        <v>523</v>
      </c>
      <c r="B77" s="833" t="s">
        <v>191</v>
      </c>
      <c r="C77" s="1064">
        <v>8.7999999999999995E-2</v>
      </c>
      <c r="D77" s="1064">
        <v>8.6999999999999994E-2</v>
      </c>
      <c r="E77" s="1064">
        <v>7.9000000000000001E-2</v>
      </c>
      <c r="F77" s="1065">
        <v>0.1</v>
      </c>
    </row>
    <row r="78" spans="1:6" ht="14.25" thickBot="1">
      <c r="A78" s="839" t="s">
        <v>523</v>
      </c>
      <c r="B78" s="833" t="s">
        <v>204</v>
      </c>
      <c r="C78" s="1064">
        <v>8.6999999999999994E-2</v>
      </c>
      <c r="D78" s="1064">
        <v>8.4000000000000005E-2</v>
      </c>
      <c r="E78" s="1064">
        <v>9.6000000000000002E-2</v>
      </c>
      <c r="F78" s="1065">
        <v>0.1</v>
      </c>
    </row>
    <row r="79" spans="1:6" ht="14.25" thickBot="1">
      <c r="A79" s="839" t="s">
        <v>523</v>
      </c>
      <c r="B79" s="833" t="s">
        <v>217</v>
      </c>
      <c r="C79" s="1064">
        <v>9.8000000000000004E-2</v>
      </c>
      <c r="D79" s="1064">
        <v>9.8000000000000004E-2</v>
      </c>
      <c r="E79" s="1064">
        <v>9.0999999999999998E-2</v>
      </c>
      <c r="F79" s="1065">
        <v>0.1</v>
      </c>
    </row>
    <row r="80" spans="1:6" ht="14.25" thickBot="1">
      <c r="A80" s="839" t="s">
        <v>523</v>
      </c>
      <c r="B80" s="833" t="s">
        <v>229</v>
      </c>
      <c r="C80" s="1064">
        <v>9.6000000000000002E-2</v>
      </c>
      <c r="D80" s="1064">
        <v>9.6000000000000002E-2</v>
      </c>
      <c r="E80" s="1064">
        <v>0.1</v>
      </c>
      <c r="F80" s="1065">
        <v>0.1</v>
      </c>
    </row>
    <row r="81" spans="1:6" ht="14.25" thickBot="1">
      <c r="A81" s="839" t="s">
        <v>523</v>
      </c>
      <c r="B81" s="833" t="s">
        <v>240</v>
      </c>
      <c r="C81" s="1064">
        <v>9.9000000000000005E-2</v>
      </c>
      <c r="D81" s="1064">
        <v>9.9000000000000005E-2</v>
      </c>
      <c r="E81" s="1064">
        <v>9.8000000000000004E-2</v>
      </c>
      <c r="F81" s="1065">
        <v>0.1</v>
      </c>
    </row>
    <row r="82" spans="1:6" ht="14.25" thickBot="1">
      <c r="A82" s="839" t="s">
        <v>523</v>
      </c>
      <c r="B82" s="833" t="s">
        <v>251</v>
      </c>
      <c r="C82" s="1064">
        <v>9.9000000000000005E-2</v>
      </c>
      <c r="D82" s="1064">
        <v>9.9000000000000005E-2</v>
      </c>
      <c r="E82" s="1064">
        <v>9.7000000000000003E-2</v>
      </c>
      <c r="F82" s="1065">
        <v>0.1</v>
      </c>
    </row>
    <row r="83" spans="1:6" ht="14.25" thickBot="1">
      <c r="A83" s="839" t="s">
        <v>523</v>
      </c>
      <c r="B83" s="833" t="s">
        <v>262</v>
      </c>
      <c r="C83" s="1064">
        <v>9.8000000000000004E-2</v>
      </c>
      <c r="D83" s="1064">
        <v>9.8000000000000004E-2</v>
      </c>
      <c r="E83" s="1064">
        <v>9.8000000000000004E-2</v>
      </c>
      <c r="F83" s="1065">
        <v>0.1</v>
      </c>
    </row>
    <row r="84" spans="1:6" ht="14.25" thickBot="1">
      <c r="A84" s="839" t="s">
        <v>523</v>
      </c>
      <c r="B84" s="833" t="s">
        <v>274</v>
      </c>
      <c r="C84" s="1064">
        <v>9.9000000000000005E-2</v>
      </c>
      <c r="D84" s="1064">
        <v>9.9000000000000005E-2</v>
      </c>
      <c r="E84" s="1064">
        <v>9.9000000000000005E-2</v>
      </c>
      <c r="F84" s="1065">
        <v>0.1</v>
      </c>
    </row>
    <row r="85" spans="1:6" ht="14.25" thickBot="1">
      <c r="A85" s="839" t="s">
        <v>523</v>
      </c>
      <c r="B85" s="833" t="s">
        <v>284</v>
      </c>
      <c r="C85" s="1064">
        <v>9.9000000000000005E-2</v>
      </c>
      <c r="D85" s="1064">
        <v>9.9000000000000005E-2</v>
      </c>
      <c r="E85" s="1064">
        <v>9.9000000000000005E-2</v>
      </c>
      <c r="F85" s="1065">
        <v>0.1</v>
      </c>
    </row>
    <row r="86" spans="1:6" ht="14.25" thickBot="1">
      <c r="A86" s="839" t="s">
        <v>523</v>
      </c>
      <c r="B86" s="833" t="s">
        <v>294</v>
      </c>
      <c r="C86" s="1064">
        <v>0.1</v>
      </c>
      <c r="D86" s="1064">
        <v>0.1</v>
      </c>
      <c r="E86" s="1064">
        <v>7.6999999999999999E-2</v>
      </c>
      <c r="F86" s="1065">
        <v>0.1</v>
      </c>
    </row>
    <row r="87" spans="1:6" ht="14.25" thickBot="1">
      <c r="A87" s="839" t="s">
        <v>523</v>
      </c>
      <c r="B87" s="833" t="s">
        <v>304</v>
      </c>
      <c r="C87" s="1064">
        <v>0.1</v>
      </c>
      <c r="D87" s="1064">
        <v>0.1</v>
      </c>
      <c r="E87" s="1064">
        <v>9.8000000000000004E-2</v>
      </c>
      <c r="F87" s="1076"/>
    </row>
    <row r="88" spans="1:6" ht="14.25" thickBot="1">
      <c r="A88" s="839" t="s">
        <v>523</v>
      </c>
      <c r="B88" s="833" t="s">
        <v>314</v>
      </c>
      <c r="C88" s="1064">
        <v>9.1999999999999998E-2</v>
      </c>
      <c r="D88" s="1064">
        <v>8.5000000000000006E-2</v>
      </c>
      <c r="E88" s="1064">
        <v>9.6000000000000002E-2</v>
      </c>
      <c r="F88" s="1076"/>
    </row>
    <row r="89" spans="1:6" ht="14.25" thickBot="1">
      <c r="A89" s="839" t="s">
        <v>523</v>
      </c>
      <c r="B89" s="833" t="s">
        <v>325</v>
      </c>
      <c r="C89" s="1064">
        <v>0.1</v>
      </c>
      <c r="D89" s="1064">
        <v>0.1</v>
      </c>
      <c r="E89" s="1064">
        <v>9.7000000000000003E-2</v>
      </c>
      <c r="F89" s="1076"/>
    </row>
    <row r="90" spans="1:6" ht="14.25" thickBot="1">
      <c r="A90" s="839" t="s">
        <v>523</v>
      </c>
      <c r="B90" s="833" t="s">
        <v>336</v>
      </c>
      <c r="C90" s="1064">
        <v>9.8000000000000004E-2</v>
      </c>
      <c r="D90" s="1064">
        <v>9.8000000000000004E-2</v>
      </c>
      <c r="E90" s="1064">
        <v>8.7999999999999995E-2</v>
      </c>
      <c r="F90" s="1076"/>
    </row>
    <row r="91" spans="1:6" ht="14.25" thickBot="1">
      <c r="A91" s="839" t="s">
        <v>523</v>
      </c>
      <c r="B91" s="833" t="s">
        <v>346</v>
      </c>
      <c r="C91" s="1064">
        <v>9.9000000000000005E-2</v>
      </c>
      <c r="D91" s="1064">
        <v>9.9000000000000005E-2</v>
      </c>
      <c r="E91" s="1064">
        <v>9.0999999999999998E-2</v>
      </c>
      <c r="F91" s="1076"/>
    </row>
    <row r="92" spans="1:6" ht="14.25" thickBot="1">
      <c r="A92" s="839" t="s">
        <v>523</v>
      </c>
      <c r="B92" s="833" t="s">
        <v>356</v>
      </c>
      <c r="C92" s="1064">
        <v>9.6000000000000002E-2</v>
      </c>
      <c r="D92" s="1064">
        <v>9.6000000000000002E-2</v>
      </c>
      <c r="E92" s="1064">
        <v>7.2999999999999995E-2</v>
      </c>
      <c r="F92" s="1076"/>
    </row>
    <row r="93" spans="1:6" ht="14.25" thickBot="1">
      <c r="A93" s="839" t="s">
        <v>523</v>
      </c>
      <c r="B93" s="833" t="s">
        <v>366</v>
      </c>
      <c r="C93" s="1064">
        <v>9.6000000000000002E-2</v>
      </c>
      <c r="D93" s="1064">
        <v>9.6000000000000002E-2</v>
      </c>
      <c r="E93" s="1064">
        <v>9.9000000000000005E-2</v>
      </c>
      <c r="F93" s="1076"/>
    </row>
    <row r="94" spans="1:6" ht="14.25" thickBot="1">
      <c r="A94" s="839" t="s">
        <v>523</v>
      </c>
      <c r="B94" s="833" t="s">
        <v>376</v>
      </c>
      <c r="C94" s="1064">
        <v>7.5999999999999998E-2</v>
      </c>
      <c r="D94" s="1064">
        <v>7.3999999999999996E-2</v>
      </c>
      <c r="E94" s="1064">
        <v>9.7000000000000003E-2</v>
      </c>
      <c r="F94" s="1076"/>
    </row>
    <row r="95" spans="1:6" ht="14.25" thickBot="1">
      <c r="A95" s="839" t="s">
        <v>523</v>
      </c>
      <c r="B95" s="833" t="s">
        <v>385</v>
      </c>
      <c r="C95" s="1064">
        <v>9.9000000000000005E-2</v>
      </c>
      <c r="D95" s="1064">
        <v>9.4E-2</v>
      </c>
      <c r="E95" s="1064">
        <v>9.6000000000000002E-2</v>
      </c>
      <c r="F95" s="1076"/>
    </row>
    <row r="96" spans="1:6" ht="14.25" thickBot="1">
      <c r="A96" s="839" t="s">
        <v>523</v>
      </c>
      <c r="B96" s="833" t="s">
        <v>394</v>
      </c>
      <c r="C96" s="1064">
        <v>9.9000000000000005E-2</v>
      </c>
      <c r="D96" s="1064">
        <v>9.9000000000000005E-2</v>
      </c>
      <c r="E96" s="1064">
        <v>9.9000000000000005E-2</v>
      </c>
      <c r="F96" s="1076"/>
    </row>
    <row r="97" spans="1:6" ht="14.25" thickBot="1">
      <c r="A97" s="839" t="s">
        <v>523</v>
      </c>
      <c r="B97" s="833" t="s">
        <v>402</v>
      </c>
      <c r="C97" s="1064">
        <v>9.8000000000000004E-2</v>
      </c>
      <c r="D97" s="1064">
        <v>9.8000000000000004E-2</v>
      </c>
      <c r="E97" s="1064">
        <v>9.7000000000000003E-2</v>
      </c>
      <c r="F97" s="1076"/>
    </row>
    <row r="98" spans="1:6" ht="14.25" thickBot="1">
      <c r="A98" s="839" t="s">
        <v>523</v>
      </c>
      <c r="B98" s="833" t="s">
        <v>409</v>
      </c>
      <c r="C98" s="1064">
        <v>0.1</v>
      </c>
      <c r="D98" s="1064">
        <v>0.1</v>
      </c>
      <c r="E98" s="1064">
        <v>9.7000000000000003E-2</v>
      </c>
      <c r="F98" s="1076"/>
    </row>
    <row r="99" spans="1:6" ht="14.25" thickBot="1">
      <c r="A99" s="839" t="s">
        <v>523</v>
      </c>
      <c r="B99" s="833" t="s">
        <v>416</v>
      </c>
      <c r="C99" s="1064">
        <v>0.1</v>
      </c>
      <c r="D99" s="1064">
        <v>0.1</v>
      </c>
      <c r="E99" s="1077"/>
      <c r="F99" s="1076"/>
    </row>
    <row r="100" spans="1:6" ht="14.25" thickBot="1">
      <c r="A100" s="839" t="s">
        <v>523</v>
      </c>
      <c r="B100" s="833" t="s">
        <v>423</v>
      </c>
      <c r="C100" s="1064">
        <v>0.09</v>
      </c>
      <c r="D100" s="1064">
        <v>8.8999999999999996E-2</v>
      </c>
      <c r="E100" s="1077"/>
      <c r="F100" s="1076"/>
    </row>
    <row r="101" spans="1:6" ht="14.25" thickBot="1">
      <c r="A101" s="839" t="s">
        <v>523</v>
      </c>
      <c r="B101" s="833" t="s">
        <v>430</v>
      </c>
      <c r="C101" s="1064">
        <v>9.8000000000000004E-2</v>
      </c>
      <c r="D101" s="1064">
        <v>9.7000000000000003E-2</v>
      </c>
      <c r="E101" s="1077"/>
      <c r="F101" s="1076"/>
    </row>
    <row r="102" spans="1:6" ht="14.25" thickBot="1">
      <c r="A102" s="839" t="s">
        <v>523</v>
      </c>
      <c r="B102" s="833" t="s">
        <v>890</v>
      </c>
      <c r="C102" s="1077"/>
      <c r="D102" s="1077"/>
      <c r="E102" s="1077"/>
      <c r="F102" s="1065">
        <v>0.05</v>
      </c>
    </row>
    <row r="103" spans="1:6" ht="24.75" thickBot="1">
      <c r="A103" s="839" t="s">
        <v>523</v>
      </c>
      <c r="B103" s="833" t="s">
        <v>891</v>
      </c>
      <c r="C103" s="1077"/>
      <c r="D103" s="1077"/>
      <c r="E103" s="1077"/>
      <c r="F103" s="1065">
        <v>0.05</v>
      </c>
    </row>
    <row r="104" spans="1:6" ht="14.25" thickBot="1">
      <c r="A104" s="839" t="s">
        <v>523</v>
      </c>
      <c r="B104" s="833" t="s">
        <v>892</v>
      </c>
      <c r="C104" s="1077"/>
      <c r="D104" s="1077"/>
      <c r="E104" s="1077"/>
      <c r="F104" s="1065">
        <v>0.05</v>
      </c>
    </row>
    <row r="105" spans="1:6" ht="14.25" thickBot="1">
      <c r="A105" s="839" t="s">
        <v>523</v>
      </c>
      <c r="B105" s="833" t="s">
        <v>893</v>
      </c>
      <c r="C105" s="1077"/>
      <c r="D105" s="1077"/>
      <c r="E105" s="1077"/>
      <c r="F105" s="1065">
        <v>0.05</v>
      </c>
    </row>
    <row r="106" spans="1:6" ht="14.25" thickBot="1">
      <c r="A106" s="839" t="s">
        <v>523</v>
      </c>
      <c r="B106" s="833" t="s">
        <v>894</v>
      </c>
      <c r="C106" s="1077"/>
      <c r="D106" s="1077"/>
      <c r="E106" s="1077"/>
      <c r="F106" s="1065">
        <v>0.05</v>
      </c>
    </row>
    <row r="107" spans="1:6" ht="24.75" thickBot="1">
      <c r="A107" s="839" t="s">
        <v>523</v>
      </c>
      <c r="B107" s="833" t="s">
        <v>895</v>
      </c>
      <c r="C107" s="1077"/>
      <c r="D107" s="1077"/>
      <c r="E107" s="1077"/>
      <c r="F107" s="1065">
        <v>0.05</v>
      </c>
    </row>
    <row r="108" spans="1:6" ht="24.75" thickBot="1">
      <c r="A108" s="839" t="s">
        <v>523</v>
      </c>
      <c r="B108" s="833" t="s">
        <v>896</v>
      </c>
      <c r="C108" s="1077"/>
      <c r="D108" s="1077"/>
      <c r="E108" s="1077"/>
      <c r="F108" s="1065">
        <v>0.05</v>
      </c>
    </row>
    <row r="109" spans="1:6" ht="24.75" thickBot="1">
      <c r="A109" s="849" t="s">
        <v>523</v>
      </c>
      <c r="B109" s="845" t="s">
        <v>897</v>
      </c>
      <c r="C109" s="1074"/>
      <c r="D109" s="1074"/>
      <c r="E109" s="1074"/>
      <c r="F109" s="1067">
        <v>0.05</v>
      </c>
    </row>
    <row r="110" spans="1:6" ht="14.25" thickBot="1">
      <c r="A110" s="839" t="s">
        <v>56</v>
      </c>
      <c r="B110" s="840" t="s">
        <v>898</v>
      </c>
      <c r="C110" s="1062">
        <v>0.129</v>
      </c>
      <c r="D110" s="1062">
        <v>0.129</v>
      </c>
      <c r="E110" s="1062">
        <v>0.126</v>
      </c>
      <c r="F110" s="1063">
        <v>0.13</v>
      </c>
    </row>
    <row r="111" spans="1:6" ht="14.25" thickBot="1">
      <c r="A111" s="839" t="s">
        <v>56</v>
      </c>
      <c r="B111" s="833" t="s">
        <v>192</v>
      </c>
      <c r="C111" s="1064">
        <v>0.11</v>
      </c>
      <c r="D111" s="1064">
        <v>0.11</v>
      </c>
      <c r="E111" s="1064">
        <v>9.9000000000000005E-2</v>
      </c>
      <c r="F111" s="1065">
        <v>0.128</v>
      </c>
    </row>
    <row r="112" spans="1:6" ht="14.25" thickBot="1">
      <c r="A112" s="839" t="s">
        <v>56</v>
      </c>
      <c r="B112" s="833" t="s">
        <v>205</v>
      </c>
      <c r="C112" s="1064">
        <v>0.125</v>
      </c>
      <c r="D112" s="1064">
        <v>0.125</v>
      </c>
      <c r="E112" s="1064">
        <v>0.12</v>
      </c>
      <c r="F112" s="1065">
        <v>0.125</v>
      </c>
    </row>
    <row r="113" spans="1:6" ht="14.25" thickBot="1">
      <c r="A113" s="839" t="s">
        <v>56</v>
      </c>
      <c r="B113" s="833" t="s">
        <v>218</v>
      </c>
      <c r="C113" s="1064">
        <v>0.13</v>
      </c>
      <c r="D113" s="1064">
        <v>0.13</v>
      </c>
      <c r="E113" s="1064">
        <v>0.13</v>
      </c>
      <c r="F113" s="1065">
        <v>0.13</v>
      </c>
    </row>
    <row r="114" spans="1:6" ht="14.25" thickBot="1">
      <c r="A114" s="839" t="s">
        <v>56</v>
      </c>
      <c r="B114" s="833" t="s">
        <v>230</v>
      </c>
      <c r="C114" s="1064">
        <v>0.123</v>
      </c>
      <c r="D114" s="1064">
        <v>0.123</v>
      </c>
      <c r="E114" s="1064">
        <v>0.12</v>
      </c>
      <c r="F114" s="1065">
        <v>0.13</v>
      </c>
    </row>
    <row r="115" spans="1:6" ht="14.25" thickBot="1">
      <c r="A115" s="839" t="s">
        <v>56</v>
      </c>
      <c r="B115" s="833" t="s">
        <v>241</v>
      </c>
      <c r="C115" s="1064">
        <v>0.125</v>
      </c>
      <c r="D115" s="1064">
        <v>0.125</v>
      </c>
      <c r="E115" s="1064">
        <v>0.11700000000000001</v>
      </c>
      <c r="F115" s="1065">
        <v>0.13</v>
      </c>
    </row>
    <row r="116" spans="1:6" ht="14.25" thickBot="1">
      <c r="A116" s="839" t="s">
        <v>56</v>
      </c>
      <c r="B116" s="833" t="s">
        <v>252</v>
      </c>
      <c r="C116" s="1064">
        <v>0.11700000000000001</v>
      </c>
      <c r="D116" s="1064">
        <v>0.11700000000000001</v>
      </c>
      <c r="E116" s="1064">
        <v>8.7999999999999995E-2</v>
      </c>
      <c r="F116" s="1065">
        <v>0.13</v>
      </c>
    </row>
    <row r="117" spans="1:6" ht="14.25" thickBot="1">
      <c r="A117" s="839" t="s">
        <v>56</v>
      </c>
      <c r="B117" s="833" t="s">
        <v>263</v>
      </c>
      <c r="C117" s="1064">
        <v>0.13</v>
      </c>
      <c r="D117" s="1064">
        <v>0.13</v>
      </c>
      <c r="E117" s="1064">
        <v>0.129</v>
      </c>
      <c r="F117" s="1065">
        <v>0.13</v>
      </c>
    </row>
    <row r="118" spans="1:6" ht="14.25" thickBot="1">
      <c r="A118" s="839" t="s">
        <v>56</v>
      </c>
      <c r="B118" s="833" t="s">
        <v>275</v>
      </c>
      <c r="C118" s="1064">
        <v>0.123</v>
      </c>
      <c r="D118" s="1064">
        <v>0.123</v>
      </c>
      <c r="E118" s="1064">
        <v>0.11600000000000001</v>
      </c>
      <c r="F118" s="1065">
        <v>0.13</v>
      </c>
    </row>
    <row r="119" spans="1:6" ht="14.25" thickBot="1">
      <c r="A119" s="839" t="s">
        <v>56</v>
      </c>
      <c r="B119" s="833" t="s">
        <v>285</v>
      </c>
      <c r="C119" s="1064">
        <v>0.127</v>
      </c>
      <c r="D119" s="1064">
        <v>0.127</v>
      </c>
      <c r="E119" s="1064">
        <v>0.124</v>
      </c>
      <c r="F119" s="1065">
        <v>0.13</v>
      </c>
    </row>
    <row r="120" spans="1:6" ht="14.25" thickBot="1">
      <c r="A120" s="839" t="s">
        <v>56</v>
      </c>
      <c r="B120" s="833" t="s">
        <v>295</v>
      </c>
      <c r="C120" s="1064">
        <v>0.125</v>
      </c>
      <c r="D120" s="1064">
        <v>0.125</v>
      </c>
      <c r="E120" s="1064">
        <v>0.122</v>
      </c>
      <c r="F120" s="1065">
        <v>0.13</v>
      </c>
    </row>
    <row r="121" spans="1:6" ht="14.25" thickBot="1">
      <c r="A121" s="839" t="s">
        <v>56</v>
      </c>
      <c r="B121" s="833" t="s">
        <v>305</v>
      </c>
      <c r="C121" s="1064">
        <v>0.13</v>
      </c>
      <c r="D121" s="1064">
        <v>0.13</v>
      </c>
      <c r="E121" s="1064">
        <v>0.13</v>
      </c>
      <c r="F121" s="1065">
        <v>0.13</v>
      </c>
    </row>
    <row r="122" spans="1:6" ht="14.25" thickBot="1">
      <c r="A122" s="839" t="s">
        <v>56</v>
      </c>
      <c r="B122" s="833" t="s">
        <v>315</v>
      </c>
      <c r="C122" s="1064">
        <v>0.13</v>
      </c>
      <c r="D122" s="1064">
        <v>0.13</v>
      </c>
      <c r="E122" s="1064">
        <v>0.125</v>
      </c>
      <c r="F122" s="1065">
        <v>0.13</v>
      </c>
    </row>
    <row r="123" spans="1:6" ht="14.25" thickBot="1">
      <c r="A123" s="839" t="s">
        <v>56</v>
      </c>
      <c r="B123" s="833" t="s">
        <v>326</v>
      </c>
      <c r="C123" s="1064">
        <v>0.129</v>
      </c>
      <c r="D123" s="1064">
        <v>0.129</v>
      </c>
      <c r="E123" s="1064">
        <v>0.123</v>
      </c>
      <c r="F123" s="1065">
        <v>0.13</v>
      </c>
    </row>
    <row r="124" spans="1:6" ht="14.25" thickBot="1">
      <c r="A124" s="839" t="s">
        <v>56</v>
      </c>
      <c r="B124" s="833" t="s">
        <v>337</v>
      </c>
      <c r="C124" s="1064">
        <v>0.10199999999999999</v>
      </c>
      <c r="D124" s="1064">
        <v>0.10100000000000001</v>
      </c>
      <c r="E124" s="1064">
        <v>0.08</v>
      </c>
      <c r="F124" s="1076"/>
    </row>
    <row r="125" spans="1:6" ht="14.25" thickBot="1">
      <c r="A125" s="839" t="s">
        <v>56</v>
      </c>
      <c r="B125" s="833" t="s">
        <v>347</v>
      </c>
      <c r="C125" s="1064">
        <v>0.13</v>
      </c>
      <c r="D125" s="1064">
        <v>0.13</v>
      </c>
      <c r="E125" s="1064">
        <v>0.129</v>
      </c>
      <c r="F125" s="1076"/>
    </row>
    <row r="126" spans="1:6" ht="14.25" thickBot="1">
      <c r="A126" s="839" t="s">
        <v>56</v>
      </c>
      <c r="B126" s="833" t="s">
        <v>357</v>
      </c>
      <c r="C126" s="1064">
        <v>0.13</v>
      </c>
      <c r="D126" s="1064">
        <v>0.13</v>
      </c>
      <c r="E126" s="1064">
        <v>0.126</v>
      </c>
      <c r="F126" s="1076"/>
    </row>
    <row r="127" spans="1:6" ht="14.25" thickBot="1">
      <c r="A127" s="839" t="s">
        <v>56</v>
      </c>
      <c r="B127" s="833" t="s">
        <v>367</v>
      </c>
      <c r="C127" s="1064">
        <v>0.125</v>
      </c>
      <c r="D127" s="1064">
        <v>0.125</v>
      </c>
      <c r="E127" s="1064">
        <v>0.121</v>
      </c>
      <c r="F127" s="1076"/>
    </row>
    <row r="128" spans="1:6" ht="14.25" thickBot="1">
      <c r="A128" s="839" t="s">
        <v>56</v>
      </c>
      <c r="B128" s="833" t="s">
        <v>377</v>
      </c>
      <c r="C128" s="1064">
        <v>0.12</v>
      </c>
      <c r="D128" s="1064">
        <v>0.12</v>
      </c>
      <c r="E128" s="1064">
        <v>0.105</v>
      </c>
      <c r="F128" s="1076"/>
    </row>
    <row r="129" spans="1:6" ht="14.25" thickBot="1">
      <c r="A129" s="839" t="s">
        <v>56</v>
      </c>
      <c r="B129" s="833" t="s">
        <v>386</v>
      </c>
      <c r="C129" s="1064">
        <v>0.13</v>
      </c>
      <c r="D129" s="1064">
        <v>0.13</v>
      </c>
      <c r="E129" s="1064">
        <v>0.126</v>
      </c>
      <c r="F129" s="1076"/>
    </row>
    <row r="130" spans="1:6" ht="14.25" thickBot="1">
      <c r="A130" s="839" t="s">
        <v>56</v>
      </c>
      <c r="B130" s="833" t="s">
        <v>395</v>
      </c>
      <c r="C130" s="1064">
        <v>0.125</v>
      </c>
      <c r="D130" s="1064">
        <v>0.125</v>
      </c>
      <c r="E130" s="1064">
        <v>0.122</v>
      </c>
      <c r="F130" s="1076"/>
    </row>
    <row r="131" spans="1:6" ht="14.25" thickBot="1">
      <c r="A131" s="839" t="s">
        <v>56</v>
      </c>
      <c r="B131" s="833" t="s">
        <v>403</v>
      </c>
      <c r="C131" s="1064">
        <v>0.127</v>
      </c>
      <c r="D131" s="1064">
        <v>0.126</v>
      </c>
      <c r="E131" s="1064">
        <v>0.123</v>
      </c>
      <c r="F131" s="1076"/>
    </row>
    <row r="132" spans="1:6" ht="14.25" thickBot="1">
      <c r="A132" s="839" t="s">
        <v>56</v>
      </c>
      <c r="B132" s="833" t="s">
        <v>410</v>
      </c>
      <c r="C132" s="1064">
        <v>9.0999999999999998E-2</v>
      </c>
      <c r="D132" s="1064">
        <v>0.121</v>
      </c>
      <c r="E132" s="1064">
        <v>9.9000000000000005E-2</v>
      </c>
      <c r="F132" s="1076"/>
    </row>
    <row r="133" spans="1:6" ht="14.25" thickBot="1">
      <c r="A133" s="839" t="s">
        <v>56</v>
      </c>
      <c r="B133" s="833" t="s">
        <v>417</v>
      </c>
      <c r="C133" s="1064">
        <v>0.13</v>
      </c>
      <c r="D133" s="1064">
        <v>0.13</v>
      </c>
      <c r="E133" s="1064">
        <v>0.129</v>
      </c>
      <c r="F133" s="1076"/>
    </row>
    <row r="134" spans="1:6" ht="14.25" thickBot="1">
      <c r="A134" s="839" t="s">
        <v>56</v>
      </c>
      <c r="B134" s="833" t="s">
        <v>899</v>
      </c>
      <c r="C134" s="1064">
        <v>6.8000000000000005E-2</v>
      </c>
      <c r="D134" s="1064">
        <v>6.5000000000000002E-2</v>
      </c>
      <c r="E134" s="1064">
        <v>6.5000000000000002E-2</v>
      </c>
      <c r="F134" s="1065">
        <v>0.13</v>
      </c>
    </row>
    <row r="135" spans="1:6" ht="14.25" thickBot="1">
      <c r="A135" s="839" t="s">
        <v>56</v>
      </c>
      <c r="B135" s="833" t="s">
        <v>431</v>
      </c>
      <c r="C135" s="1064">
        <v>0.123</v>
      </c>
      <c r="D135" s="1064">
        <v>0.123</v>
      </c>
      <c r="E135" s="1064">
        <v>0.11</v>
      </c>
      <c r="F135" s="1076"/>
    </row>
    <row r="136" spans="1:6" ht="14.25" thickBot="1">
      <c r="A136" s="839" t="s">
        <v>56</v>
      </c>
      <c r="B136" s="833" t="s">
        <v>438</v>
      </c>
      <c r="C136" s="1064">
        <v>0.13</v>
      </c>
      <c r="D136" s="1064">
        <v>0.13</v>
      </c>
      <c r="E136" s="1064">
        <v>0.125</v>
      </c>
      <c r="F136" s="1076"/>
    </row>
    <row r="137" spans="1:6" ht="14.25" thickBot="1">
      <c r="A137" s="839" t="s">
        <v>56</v>
      </c>
      <c r="B137" s="833" t="s">
        <v>445</v>
      </c>
      <c r="C137" s="1064">
        <v>0.121</v>
      </c>
      <c r="D137" s="1064">
        <v>0.122</v>
      </c>
      <c r="E137" s="1064">
        <v>0.115</v>
      </c>
      <c r="F137" s="1076"/>
    </row>
    <row r="138" spans="1:6" ht="14.25" thickBot="1">
      <c r="A138" s="839" t="s">
        <v>56</v>
      </c>
      <c r="B138" s="833" t="s">
        <v>900</v>
      </c>
      <c r="C138" s="1064">
        <v>0.105</v>
      </c>
      <c r="D138" s="1064">
        <v>0.125</v>
      </c>
      <c r="E138" s="1064">
        <v>0.112</v>
      </c>
      <c r="F138" s="1076"/>
    </row>
    <row r="139" spans="1:6" ht="14.25" thickBot="1">
      <c r="A139" s="839" t="s">
        <v>56</v>
      </c>
      <c r="B139" s="833" t="s">
        <v>901</v>
      </c>
      <c r="C139" s="1064">
        <v>0.127</v>
      </c>
      <c r="D139" s="1064">
        <v>0.127</v>
      </c>
      <c r="E139" s="1064">
        <v>0.122</v>
      </c>
      <c r="F139" s="1065">
        <v>0.13</v>
      </c>
    </row>
    <row r="140" spans="1:6" ht="14.25" thickBot="1">
      <c r="A140" s="839" t="s">
        <v>56</v>
      </c>
      <c r="B140" s="833" t="s">
        <v>902</v>
      </c>
      <c r="C140" s="1064">
        <v>0.125</v>
      </c>
      <c r="D140" s="1064">
        <v>0.125</v>
      </c>
      <c r="E140" s="1064">
        <v>0.11899999999999999</v>
      </c>
      <c r="F140" s="1065">
        <v>0.13</v>
      </c>
    </row>
    <row r="141" spans="1:6" ht="14.25" thickBot="1">
      <c r="A141" s="839" t="s">
        <v>56</v>
      </c>
      <c r="B141" s="833" t="s">
        <v>464</v>
      </c>
      <c r="C141" s="1064">
        <v>0.125</v>
      </c>
      <c r="D141" s="1064">
        <v>0.125</v>
      </c>
      <c r="E141" s="1064">
        <v>0.11700000000000001</v>
      </c>
      <c r="F141" s="1076"/>
    </row>
    <row r="142" spans="1:6" ht="14.25" thickBot="1">
      <c r="A142" s="839" t="s">
        <v>56</v>
      </c>
      <c r="B142" s="833" t="s">
        <v>469</v>
      </c>
      <c r="C142" s="1064">
        <v>0.125</v>
      </c>
      <c r="D142" s="1064">
        <v>0.125</v>
      </c>
      <c r="E142" s="1064">
        <v>0.115</v>
      </c>
      <c r="F142" s="1076"/>
    </row>
    <row r="143" spans="1:6" ht="14.25" thickBot="1">
      <c r="A143" s="839" t="s">
        <v>56</v>
      </c>
      <c r="B143" s="833" t="s">
        <v>474</v>
      </c>
      <c r="C143" s="1064">
        <v>0.121</v>
      </c>
      <c r="D143" s="1064">
        <v>0.121</v>
      </c>
      <c r="E143" s="1064">
        <v>0.108</v>
      </c>
      <c r="F143" s="1076"/>
    </row>
    <row r="144" spans="1:6" ht="14.25" thickBot="1">
      <c r="A144" s="839" t="s">
        <v>56</v>
      </c>
      <c r="B144" s="1068" t="s">
        <v>903</v>
      </c>
      <c r="C144" s="1069">
        <v>0.126</v>
      </c>
      <c r="D144" s="1069">
        <v>0.126</v>
      </c>
      <c r="E144" s="1069">
        <v>0.121</v>
      </c>
      <c r="F144" s="1076"/>
    </row>
    <row r="145" spans="1:6" ht="14.25" thickBot="1">
      <c r="A145" s="849" t="s">
        <v>56</v>
      </c>
      <c r="B145" s="1070" t="s">
        <v>904</v>
      </c>
      <c r="C145" s="1078"/>
      <c r="D145" s="1078"/>
      <c r="E145" s="1078"/>
      <c r="F145" s="1071">
        <v>0.05</v>
      </c>
    </row>
    <row r="146" spans="1:6" ht="24.75" thickBot="1">
      <c r="A146" s="1072" t="s">
        <v>56</v>
      </c>
      <c r="B146" s="843" t="s">
        <v>905</v>
      </c>
      <c r="C146" s="1077"/>
      <c r="D146" s="1077"/>
      <c r="E146" s="1077"/>
      <c r="F146" s="1073">
        <v>0.05</v>
      </c>
    </row>
    <row r="147" spans="1:6" ht="24.75" thickBot="1">
      <c r="A147" s="839" t="s">
        <v>56</v>
      </c>
      <c r="B147" s="833" t="s">
        <v>906</v>
      </c>
      <c r="C147" s="1077"/>
      <c r="D147" s="1077"/>
      <c r="E147" s="1077"/>
      <c r="F147" s="1065">
        <v>0.05</v>
      </c>
    </row>
    <row r="148" spans="1:6" ht="24.75" thickBot="1">
      <c r="A148" s="839" t="s">
        <v>56</v>
      </c>
      <c r="B148" s="833" t="s">
        <v>907</v>
      </c>
      <c r="C148" s="1077"/>
      <c r="D148" s="1077"/>
      <c r="E148" s="1077"/>
      <c r="F148" s="1065">
        <v>0.05</v>
      </c>
    </row>
    <row r="149" spans="1:6" ht="24.75" thickBot="1">
      <c r="A149" s="839" t="s">
        <v>56</v>
      </c>
      <c r="B149" s="833" t="s">
        <v>908</v>
      </c>
      <c r="C149" s="1077"/>
      <c r="D149" s="1077"/>
      <c r="E149" s="1077"/>
      <c r="F149" s="1065">
        <v>0.05</v>
      </c>
    </row>
    <row r="150" spans="1:6" ht="24.75" thickBot="1">
      <c r="A150" s="839" t="s">
        <v>56</v>
      </c>
      <c r="B150" s="833" t="s">
        <v>909</v>
      </c>
      <c r="C150" s="1077"/>
      <c r="D150" s="1077"/>
      <c r="E150" s="1077"/>
      <c r="F150" s="1065">
        <v>0.05</v>
      </c>
    </row>
    <row r="151" spans="1:6" ht="24.75" thickBot="1">
      <c r="A151" s="839" t="s">
        <v>56</v>
      </c>
      <c r="B151" s="833" t="s">
        <v>910</v>
      </c>
      <c r="C151" s="1077"/>
      <c r="D151" s="1077"/>
      <c r="E151" s="1077"/>
      <c r="F151" s="1065">
        <v>0.05</v>
      </c>
    </row>
    <row r="152" spans="1:6" ht="24.75" thickBot="1">
      <c r="A152" s="839" t="s">
        <v>56</v>
      </c>
      <c r="B152" s="833" t="s">
        <v>507</v>
      </c>
      <c r="C152" s="1077"/>
      <c r="D152" s="1077"/>
      <c r="E152" s="1077"/>
      <c r="F152" s="1065">
        <v>0.05</v>
      </c>
    </row>
    <row r="153" spans="1:6" ht="14.25" thickBot="1">
      <c r="A153" s="839" t="s">
        <v>56</v>
      </c>
      <c r="B153" s="833" t="s">
        <v>911</v>
      </c>
      <c r="C153" s="1077"/>
      <c r="D153" s="1077"/>
      <c r="E153" s="1077"/>
      <c r="F153" s="1065">
        <v>0.05</v>
      </c>
    </row>
    <row r="154" spans="1:6" ht="14.25" thickBot="1">
      <c r="A154" s="839" t="s">
        <v>56</v>
      </c>
      <c r="B154" s="833" t="s">
        <v>912</v>
      </c>
      <c r="C154" s="1077"/>
      <c r="D154" s="1077"/>
      <c r="E154" s="1077"/>
      <c r="F154" s="1065">
        <v>0.05</v>
      </c>
    </row>
    <row r="155" spans="1:6" ht="24.75" thickBot="1">
      <c r="A155" s="839" t="s">
        <v>56</v>
      </c>
      <c r="B155" s="833" t="s">
        <v>913</v>
      </c>
      <c r="C155" s="1077"/>
      <c r="D155" s="1077"/>
      <c r="E155" s="1077"/>
      <c r="F155" s="1065">
        <v>0.05</v>
      </c>
    </row>
    <row r="156" spans="1:6" ht="24.75" thickBot="1">
      <c r="A156" s="839" t="s">
        <v>56</v>
      </c>
      <c r="B156" s="833" t="s">
        <v>914</v>
      </c>
      <c r="C156" s="1077"/>
      <c r="D156" s="1077"/>
      <c r="E156" s="1077"/>
      <c r="F156" s="1065">
        <v>0.05</v>
      </c>
    </row>
    <row r="157" spans="1:6" ht="14.25" thickBot="1">
      <c r="A157" s="849" t="s">
        <v>56</v>
      </c>
      <c r="B157" s="845" t="s">
        <v>915</v>
      </c>
      <c r="C157" s="1074"/>
      <c r="D157" s="1074"/>
      <c r="E157" s="1074"/>
      <c r="F157" s="1067">
        <v>0.05</v>
      </c>
    </row>
    <row r="158" spans="1:6" ht="14.25" thickBot="1">
      <c r="A158" s="839" t="s">
        <v>526</v>
      </c>
      <c r="B158" s="840" t="s">
        <v>916</v>
      </c>
      <c r="C158" s="1062">
        <v>0.13</v>
      </c>
      <c r="D158" s="1062">
        <v>0.13</v>
      </c>
      <c r="E158" s="1062">
        <v>0.13</v>
      </c>
      <c r="F158" s="1063">
        <v>0.13</v>
      </c>
    </row>
    <row r="159" spans="1:6" ht="14.25" thickBot="1">
      <c r="A159" s="839" t="s">
        <v>526</v>
      </c>
      <c r="B159" s="833" t="s">
        <v>193</v>
      </c>
      <c r="C159" s="1064">
        <v>0.13</v>
      </c>
      <c r="D159" s="1064">
        <v>0.13</v>
      </c>
      <c r="E159" s="1064">
        <v>0.13</v>
      </c>
      <c r="F159" s="1065">
        <v>0.13</v>
      </c>
    </row>
    <row r="160" spans="1:6" ht="14.25" thickBot="1">
      <c r="A160" s="839" t="s">
        <v>526</v>
      </c>
      <c r="B160" s="833" t="s">
        <v>206</v>
      </c>
      <c r="C160" s="1064">
        <v>0.13</v>
      </c>
      <c r="D160" s="1064">
        <v>0.13</v>
      </c>
      <c r="E160" s="1064">
        <v>0.129</v>
      </c>
      <c r="F160" s="1065">
        <v>0.13</v>
      </c>
    </row>
    <row r="161" spans="1:6" ht="14.25" thickBot="1">
      <c r="A161" s="839" t="s">
        <v>526</v>
      </c>
      <c r="B161" s="833" t="s">
        <v>219</v>
      </c>
      <c r="C161" s="1064">
        <v>0.128</v>
      </c>
      <c r="D161" s="1064">
        <v>0.128</v>
      </c>
      <c r="E161" s="1064">
        <v>0.125</v>
      </c>
      <c r="F161" s="1065">
        <v>0.13</v>
      </c>
    </row>
    <row r="162" spans="1:6" ht="14.25" thickBot="1">
      <c r="A162" s="839" t="s">
        <v>526</v>
      </c>
      <c r="B162" s="833" t="s">
        <v>231</v>
      </c>
      <c r="C162" s="1064">
        <v>0.122</v>
      </c>
      <c r="D162" s="1064">
        <v>0.122</v>
      </c>
      <c r="E162" s="1064">
        <v>0.126</v>
      </c>
      <c r="F162" s="1065">
        <v>0.122</v>
      </c>
    </row>
    <row r="163" spans="1:6" ht="14.25" thickBot="1">
      <c r="A163" s="839" t="s">
        <v>526</v>
      </c>
      <c r="B163" s="833" t="s">
        <v>242</v>
      </c>
      <c r="C163" s="1064">
        <v>0.13</v>
      </c>
      <c r="D163" s="1064">
        <v>0.13</v>
      </c>
      <c r="E163" s="1064">
        <v>0.125</v>
      </c>
      <c r="F163" s="1065">
        <v>0.13</v>
      </c>
    </row>
    <row r="164" spans="1:6" ht="14.25" thickBot="1">
      <c r="A164" s="839" t="s">
        <v>526</v>
      </c>
      <c r="B164" s="833" t="s">
        <v>253</v>
      </c>
      <c r="C164" s="1064">
        <v>0.13</v>
      </c>
      <c r="D164" s="1064">
        <v>0.13</v>
      </c>
      <c r="E164" s="1064">
        <v>0.13</v>
      </c>
      <c r="F164" s="1065">
        <v>0.13</v>
      </c>
    </row>
    <row r="165" spans="1:6" ht="14.25" thickBot="1">
      <c r="A165" s="839" t="s">
        <v>526</v>
      </c>
      <c r="B165" s="833" t="s">
        <v>264</v>
      </c>
      <c r="C165" s="1064">
        <v>0.13</v>
      </c>
      <c r="D165" s="1064">
        <v>0.13</v>
      </c>
      <c r="E165" s="1064">
        <v>0.124</v>
      </c>
      <c r="F165" s="1065">
        <v>0.13</v>
      </c>
    </row>
    <row r="166" spans="1:6" ht="14.25" thickBot="1">
      <c r="A166" s="839" t="s">
        <v>526</v>
      </c>
      <c r="B166" s="833" t="s">
        <v>276</v>
      </c>
      <c r="C166" s="1064">
        <v>0.13</v>
      </c>
      <c r="D166" s="1064">
        <v>0.13</v>
      </c>
      <c r="E166" s="1064">
        <v>0.13</v>
      </c>
      <c r="F166" s="1065">
        <v>0.13</v>
      </c>
    </row>
    <row r="167" spans="1:6" ht="14.25" thickBot="1">
      <c r="A167" s="839" t="s">
        <v>526</v>
      </c>
      <c r="B167" s="833" t="s">
        <v>286</v>
      </c>
      <c r="C167" s="1064">
        <v>0.125</v>
      </c>
      <c r="D167" s="1064">
        <v>0.125</v>
      </c>
      <c r="E167" s="1064">
        <v>0.121</v>
      </c>
      <c r="F167" s="1076"/>
    </row>
    <row r="168" spans="1:6" ht="14.25" thickBot="1">
      <c r="A168" s="839" t="s">
        <v>526</v>
      </c>
      <c r="B168" s="833" t="s">
        <v>296</v>
      </c>
      <c r="C168" s="1064">
        <v>0.13</v>
      </c>
      <c r="D168" s="1064">
        <v>0.13</v>
      </c>
      <c r="E168" s="1064">
        <v>0.126</v>
      </c>
      <c r="F168" s="1076"/>
    </row>
    <row r="169" spans="1:6" ht="14.25" thickBot="1">
      <c r="A169" s="839" t="s">
        <v>526</v>
      </c>
      <c r="B169" s="833" t="s">
        <v>306</v>
      </c>
      <c r="C169" s="1064">
        <v>0.128</v>
      </c>
      <c r="D169" s="1064">
        <v>0.129</v>
      </c>
      <c r="E169" s="1064">
        <v>0.13</v>
      </c>
      <c r="F169" s="1076"/>
    </row>
    <row r="170" spans="1:6" ht="14.25" thickBot="1">
      <c r="A170" s="839" t="s">
        <v>526</v>
      </c>
      <c r="B170" s="833" t="s">
        <v>316</v>
      </c>
      <c r="C170" s="1064">
        <v>0.14099999999999999</v>
      </c>
      <c r="D170" s="1064">
        <v>0.13</v>
      </c>
      <c r="E170" s="1064">
        <v>0.125</v>
      </c>
      <c r="F170" s="1076"/>
    </row>
    <row r="171" spans="1:6" ht="14.25" thickBot="1">
      <c r="A171" s="839" t="s">
        <v>526</v>
      </c>
      <c r="B171" s="833" t="s">
        <v>917</v>
      </c>
      <c r="C171" s="1064">
        <v>0.127</v>
      </c>
      <c r="D171" s="1064">
        <v>0.126</v>
      </c>
      <c r="E171" s="1064">
        <v>0.126</v>
      </c>
      <c r="F171" s="1065">
        <v>0.11799999999999999</v>
      </c>
    </row>
    <row r="172" spans="1:6" ht="14.25" thickBot="1">
      <c r="A172" s="839" t="s">
        <v>526</v>
      </c>
      <c r="B172" s="833" t="s">
        <v>918</v>
      </c>
      <c r="C172" s="1064">
        <v>0.13</v>
      </c>
      <c r="D172" s="1064">
        <v>0.13</v>
      </c>
      <c r="E172" s="1064">
        <v>0.13</v>
      </c>
      <c r="F172" s="1076"/>
    </row>
    <row r="173" spans="1:6" ht="14.25" thickBot="1">
      <c r="A173" s="839" t="s">
        <v>526</v>
      </c>
      <c r="B173" s="833" t="s">
        <v>348</v>
      </c>
      <c r="C173" s="1064">
        <v>0.13</v>
      </c>
      <c r="D173" s="1064">
        <v>0.13</v>
      </c>
      <c r="E173" s="1064">
        <v>0.13</v>
      </c>
      <c r="F173" s="1076"/>
    </row>
    <row r="174" spans="1:6" ht="14.25" thickBot="1">
      <c r="A174" s="839" t="s">
        <v>526</v>
      </c>
      <c r="B174" s="833" t="s">
        <v>919</v>
      </c>
      <c r="C174" s="1064">
        <v>0.13</v>
      </c>
      <c r="D174" s="1064">
        <v>0.13</v>
      </c>
      <c r="E174" s="1064">
        <v>0.13</v>
      </c>
      <c r="F174" s="1065">
        <v>0.13</v>
      </c>
    </row>
    <row r="175" spans="1:6" ht="14.25" thickBot="1">
      <c r="A175" s="839" t="s">
        <v>526</v>
      </c>
      <c r="B175" s="833" t="s">
        <v>920</v>
      </c>
      <c r="C175" s="1064">
        <v>0.13</v>
      </c>
      <c r="D175" s="1064">
        <v>0.13</v>
      </c>
      <c r="E175" s="1064">
        <v>0.13</v>
      </c>
      <c r="F175" s="1065">
        <v>0.13</v>
      </c>
    </row>
    <row r="176" spans="1:6" ht="14.25" thickBot="1">
      <c r="A176" s="839" t="s">
        <v>526</v>
      </c>
      <c r="B176" s="833" t="s">
        <v>378</v>
      </c>
      <c r="C176" s="1064">
        <v>0.13</v>
      </c>
      <c r="D176" s="1064">
        <v>0.13</v>
      </c>
      <c r="E176" s="1064">
        <v>0.13</v>
      </c>
      <c r="F176" s="1065">
        <v>0.13</v>
      </c>
    </row>
    <row r="177" spans="1:6" ht="14.25" thickBot="1">
      <c r="A177" s="839" t="s">
        <v>526</v>
      </c>
      <c r="B177" s="833" t="s">
        <v>921</v>
      </c>
      <c r="C177" s="1064">
        <v>0.13</v>
      </c>
      <c r="D177" s="1064">
        <v>0.13</v>
      </c>
      <c r="E177" s="1064">
        <v>0.13</v>
      </c>
      <c r="F177" s="1065">
        <v>0.13</v>
      </c>
    </row>
    <row r="178" spans="1:6" ht="14.25" thickBot="1">
      <c r="A178" s="839" t="s">
        <v>526</v>
      </c>
      <c r="B178" s="833" t="s">
        <v>396</v>
      </c>
      <c r="C178" s="1064">
        <v>0.13</v>
      </c>
      <c r="D178" s="1064">
        <v>0.13</v>
      </c>
      <c r="E178" s="1064">
        <v>0.13</v>
      </c>
      <c r="F178" s="1065">
        <v>0.127</v>
      </c>
    </row>
    <row r="179" spans="1:6" ht="14.25" thickBot="1">
      <c r="A179" s="839" t="s">
        <v>526</v>
      </c>
      <c r="B179" s="833" t="s">
        <v>404</v>
      </c>
      <c r="C179" s="1064">
        <v>0.13</v>
      </c>
      <c r="D179" s="1064">
        <v>0.13</v>
      </c>
      <c r="E179" s="1064">
        <v>0.13</v>
      </c>
      <c r="F179" s="1076"/>
    </row>
    <row r="180" spans="1:6" ht="14.25" thickBot="1">
      <c r="A180" s="839" t="s">
        <v>526</v>
      </c>
      <c r="B180" s="833" t="s">
        <v>922</v>
      </c>
      <c r="C180" s="1064">
        <v>0.13</v>
      </c>
      <c r="D180" s="1064">
        <v>0.13</v>
      </c>
      <c r="E180" s="1064">
        <v>0.125</v>
      </c>
      <c r="F180" s="1065">
        <v>0.13</v>
      </c>
    </row>
    <row r="181" spans="1:6" ht="14.25" thickBot="1">
      <c r="A181" s="839" t="s">
        <v>526</v>
      </c>
      <c r="B181" s="833" t="s">
        <v>418</v>
      </c>
      <c r="C181" s="1064">
        <v>0.122</v>
      </c>
      <c r="D181" s="1064">
        <v>0.123</v>
      </c>
      <c r="E181" s="1064">
        <v>0.126</v>
      </c>
      <c r="F181" s="1065">
        <v>0.121</v>
      </c>
    </row>
    <row r="182" spans="1:6" ht="14.25" thickBot="1">
      <c r="A182" s="839" t="s">
        <v>526</v>
      </c>
      <c r="B182" s="833" t="s">
        <v>425</v>
      </c>
      <c r="C182" s="1064">
        <v>0.125</v>
      </c>
      <c r="D182" s="1064">
        <v>0.125</v>
      </c>
      <c r="E182" s="1064">
        <v>0.11700000000000001</v>
      </c>
      <c r="F182" s="1065">
        <v>0.13</v>
      </c>
    </row>
    <row r="183" spans="1:6" ht="14.25" thickBot="1">
      <c r="A183" s="839" t="s">
        <v>526</v>
      </c>
      <c r="B183" s="833" t="s">
        <v>432</v>
      </c>
      <c r="C183" s="1064">
        <v>0.127</v>
      </c>
      <c r="D183" s="1064">
        <v>0.127</v>
      </c>
      <c r="E183" s="1064">
        <v>0.128</v>
      </c>
      <c r="F183" s="1076"/>
    </row>
    <row r="184" spans="1:6" ht="14.25" thickBot="1">
      <c r="A184" s="839" t="s">
        <v>526</v>
      </c>
      <c r="B184" s="833" t="s">
        <v>439</v>
      </c>
      <c r="C184" s="1064">
        <v>0.125</v>
      </c>
      <c r="D184" s="1064">
        <v>0.125</v>
      </c>
      <c r="E184" s="1064">
        <v>0.127</v>
      </c>
      <c r="F184" s="1076"/>
    </row>
    <row r="185" spans="1:6" ht="14.25" thickBot="1">
      <c r="A185" s="839" t="s">
        <v>526</v>
      </c>
      <c r="B185" s="833" t="s">
        <v>923</v>
      </c>
      <c r="C185" s="1064">
        <v>0.127</v>
      </c>
      <c r="D185" s="1064">
        <v>0.127</v>
      </c>
      <c r="E185" s="1064">
        <v>0.128</v>
      </c>
      <c r="F185" s="1065">
        <v>0.13</v>
      </c>
    </row>
    <row r="186" spans="1:6" ht="24.75" thickBot="1">
      <c r="A186" s="839" t="s">
        <v>526</v>
      </c>
      <c r="B186" s="833" t="s">
        <v>924</v>
      </c>
      <c r="C186" s="1077"/>
      <c r="D186" s="1077"/>
      <c r="E186" s="1077"/>
      <c r="F186" s="1065">
        <v>0.05</v>
      </c>
    </row>
    <row r="187" spans="1:6" ht="14.25" thickBot="1">
      <c r="A187" s="839" t="s">
        <v>526</v>
      </c>
      <c r="B187" s="833" t="s">
        <v>925</v>
      </c>
      <c r="C187" s="1077"/>
      <c r="D187" s="1077"/>
      <c r="E187" s="1077"/>
      <c r="F187" s="1065">
        <v>0.05</v>
      </c>
    </row>
    <row r="188" spans="1:6" ht="14.25" thickBot="1">
      <c r="A188" s="839" t="s">
        <v>526</v>
      </c>
      <c r="B188" s="833" t="s">
        <v>926</v>
      </c>
      <c r="C188" s="1077"/>
      <c r="D188" s="1077"/>
      <c r="E188" s="1077"/>
      <c r="F188" s="1065">
        <v>0.05</v>
      </c>
    </row>
    <row r="189" spans="1:6" ht="24.75" thickBot="1">
      <c r="A189" s="839" t="s">
        <v>526</v>
      </c>
      <c r="B189" s="833" t="s">
        <v>927</v>
      </c>
      <c r="C189" s="1077"/>
      <c r="D189" s="1077"/>
      <c r="E189" s="1077"/>
      <c r="F189" s="1065">
        <v>0.05</v>
      </c>
    </row>
    <row r="190" spans="1:6" ht="24.75" thickBot="1">
      <c r="A190" s="839" t="s">
        <v>526</v>
      </c>
      <c r="B190" s="833" t="s">
        <v>928</v>
      </c>
      <c r="C190" s="1077"/>
      <c r="D190" s="1077"/>
      <c r="E190" s="1077"/>
      <c r="F190" s="1065">
        <v>0.05</v>
      </c>
    </row>
    <row r="191" spans="1:6" ht="24.75" thickBot="1">
      <c r="A191" s="839" t="s">
        <v>526</v>
      </c>
      <c r="B191" s="833" t="s">
        <v>929</v>
      </c>
      <c r="C191" s="1077"/>
      <c r="D191" s="1077"/>
      <c r="E191" s="1077"/>
      <c r="F191" s="1065">
        <v>0.05</v>
      </c>
    </row>
    <row r="192" spans="1:6" ht="24.75" thickBot="1">
      <c r="A192" s="839" t="s">
        <v>526</v>
      </c>
      <c r="B192" s="833" t="s">
        <v>930</v>
      </c>
      <c r="C192" s="1077"/>
      <c r="D192" s="1077"/>
      <c r="E192" s="1077"/>
      <c r="F192" s="1065">
        <v>0.05</v>
      </c>
    </row>
    <row r="193" spans="1:6" ht="24.75" thickBot="1">
      <c r="A193" s="839" t="s">
        <v>526</v>
      </c>
      <c r="B193" s="833" t="s">
        <v>931</v>
      </c>
      <c r="C193" s="1077"/>
      <c r="D193" s="1077"/>
      <c r="E193" s="1077"/>
      <c r="F193" s="1065">
        <v>0.05</v>
      </c>
    </row>
    <row r="194" spans="1:6" ht="24.75" thickBot="1">
      <c r="A194" s="839" t="s">
        <v>526</v>
      </c>
      <c r="B194" s="833" t="s">
        <v>932</v>
      </c>
      <c r="C194" s="1077"/>
      <c r="D194" s="1077"/>
      <c r="E194" s="1077"/>
      <c r="F194" s="1065">
        <v>0.05</v>
      </c>
    </row>
    <row r="195" spans="1:6" ht="14.25" thickBot="1">
      <c r="A195" s="839" t="s">
        <v>526</v>
      </c>
      <c r="B195" s="833" t="s">
        <v>933</v>
      </c>
      <c r="C195" s="1077"/>
      <c r="D195" s="1077"/>
      <c r="E195" s="1077"/>
      <c r="F195" s="1065">
        <v>0.05</v>
      </c>
    </row>
    <row r="196" spans="1:6" ht="24.75" thickBot="1">
      <c r="A196" s="839" t="s">
        <v>526</v>
      </c>
      <c r="B196" s="833" t="s">
        <v>934</v>
      </c>
      <c r="C196" s="1077"/>
      <c r="D196" s="1077"/>
      <c r="E196" s="1077"/>
      <c r="F196" s="1065">
        <v>0.05</v>
      </c>
    </row>
    <row r="197" spans="1:6" ht="24.75" thickBot="1">
      <c r="A197" s="839" t="s">
        <v>526</v>
      </c>
      <c r="B197" s="833" t="s">
        <v>935</v>
      </c>
      <c r="C197" s="1077"/>
      <c r="D197" s="1077"/>
      <c r="E197" s="1077"/>
      <c r="F197" s="1065">
        <v>0.05</v>
      </c>
    </row>
    <row r="198" spans="1:6" ht="24.75" thickBot="1">
      <c r="A198" s="839" t="s">
        <v>526</v>
      </c>
      <c r="B198" s="833" t="s">
        <v>936</v>
      </c>
      <c r="C198" s="1077"/>
      <c r="D198" s="1077"/>
      <c r="E198" s="1077"/>
      <c r="F198" s="1065">
        <v>0.05</v>
      </c>
    </row>
    <row r="199" spans="1:6" ht="24.75" thickBot="1">
      <c r="A199" s="839" t="s">
        <v>526</v>
      </c>
      <c r="B199" s="833" t="s">
        <v>937</v>
      </c>
      <c r="C199" s="1077"/>
      <c r="D199" s="1077"/>
      <c r="E199" s="1077"/>
      <c r="F199" s="1065">
        <v>0.05</v>
      </c>
    </row>
    <row r="200" spans="1:6" ht="24.75" thickBot="1">
      <c r="A200" s="839" t="s">
        <v>526</v>
      </c>
      <c r="B200" s="833" t="s">
        <v>938</v>
      </c>
      <c r="C200" s="1077"/>
      <c r="D200" s="1077"/>
      <c r="E200" s="1077"/>
      <c r="F200" s="1065">
        <v>0.05</v>
      </c>
    </row>
    <row r="201" spans="1:6" ht="24.75" thickBot="1">
      <c r="A201" s="839" t="s">
        <v>526</v>
      </c>
      <c r="B201" s="833" t="s">
        <v>939</v>
      </c>
      <c r="C201" s="1077"/>
      <c r="D201" s="1077"/>
      <c r="E201" s="1077"/>
      <c r="F201" s="1065">
        <v>0.05</v>
      </c>
    </row>
    <row r="202" spans="1:6" ht="24.75" thickBot="1">
      <c r="A202" s="839" t="s">
        <v>526</v>
      </c>
      <c r="B202" s="833" t="s">
        <v>940</v>
      </c>
      <c r="C202" s="1077"/>
      <c r="D202" s="1077"/>
      <c r="E202" s="1077"/>
      <c r="F202" s="1065">
        <v>0.05</v>
      </c>
    </row>
    <row r="203" spans="1:6" ht="24.75" thickBot="1">
      <c r="A203" s="839" t="s">
        <v>526</v>
      </c>
      <c r="B203" s="833" t="s">
        <v>941</v>
      </c>
      <c r="C203" s="1077"/>
      <c r="D203" s="1077"/>
      <c r="E203" s="1077"/>
      <c r="F203" s="1065">
        <v>0.05</v>
      </c>
    </row>
    <row r="204" spans="1:6" ht="14.25" thickBot="1">
      <c r="A204" s="839" t="s">
        <v>526</v>
      </c>
      <c r="B204" s="833" t="s">
        <v>942</v>
      </c>
      <c r="C204" s="1077"/>
      <c r="D204" s="1077"/>
      <c r="E204" s="1077"/>
      <c r="F204" s="1065">
        <v>0.05</v>
      </c>
    </row>
    <row r="205" spans="1:6" ht="14.25" thickBot="1">
      <c r="A205" s="849" t="s">
        <v>526</v>
      </c>
      <c r="B205" s="845" t="s">
        <v>943</v>
      </c>
      <c r="C205" s="1074"/>
      <c r="D205" s="1074"/>
      <c r="E205" s="1074"/>
      <c r="F205" s="1067">
        <v>0.05</v>
      </c>
    </row>
    <row r="206" spans="1:6" ht="14.25" thickBot="1">
      <c r="A206" s="839" t="s">
        <v>528</v>
      </c>
      <c r="B206" s="840" t="s">
        <v>944</v>
      </c>
      <c r="C206" s="1062">
        <v>0.15</v>
      </c>
      <c r="D206" s="1062">
        <v>0.15</v>
      </c>
      <c r="E206" s="1062">
        <v>0.15</v>
      </c>
      <c r="F206" s="1063">
        <v>0.15</v>
      </c>
    </row>
    <row r="207" spans="1:6" ht="14.25" thickBot="1">
      <c r="A207" s="839" t="s">
        <v>528</v>
      </c>
      <c r="B207" s="833" t="s">
        <v>194</v>
      </c>
      <c r="C207" s="1064">
        <v>0.15</v>
      </c>
      <c r="D207" s="1064">
        <v>0.15</v>
      </c>
      <c r="E207" s="1064">
        <v>0.15</v>
      </c>
      <c r="F207" s="1065">
        <v>0.14399999999999999</v>
      </c>
    </row>
    <row r="208" spans="1:6" ht="14.25" thickBot="1">
      <c r="A208" s="839" t="s">
        <v>528</v>
      </c>
      <c r="B208" s="833" t="s">
        <v>207</v>
      </c>
      <c r="C208" s="1064">
        <v>0.15</v>
      </c>
      <c r="D208" s="1064">
        <v>0.15</v>
      </c>
      <c r="E208" s="1064">
        <v>0.15</v>
      </c>
      <c r="F208" s="1065">
        <v>0.15</v>
      </c>
    </row>
    <row r="209" spans="1:6" ht="14.25" thickBot="1">
      <c r="A209" s="839" t="s">
        <v>528</v>
      </c>
      <c r="B209" s="833" t="s">
        <v>220</v>
      </c>
      <c r="C209" s="1064">
        <v>0.13700000000000001</v>
      </c>
      <c r="D209" s="1064">
        <v>0.13700000000000001</v>
      </c>
      <c r="E209" s="1064">
        <v>0.14000000000000001</v>
      </c>
      <c r="F209" s="1065">
        <v>0.11700000000000001</v>
      </c>
    </row>
    <row r="210" spans="1:6" ht="14.25" thickBot="1">
      <c r="A210" s="839" t="s">
        <v>528</v>
      </c>
      <c r="B210" s="833" t="s">
        <v>945</v>
      </c>
      <c r="C210" s="1064">
        <v>0.15</v>
      </c>
      <c r="D210" s="1064">
        <v>0.15</v>
      </c>
      <c r="E210" s="1064">
        <v>0.15</v>
      </c>
      <c r="F210" s="1065">
        <v>0.13800000000000001</v>
      </c>
    </row>
    <row r="211" spans="1:6" ht="14.25" thickBot="1">
      <c r="A211" s="839" t="s">
        <v>528</v>
      </c>
      <c r="B211" s="833" t="s">
        <v>946</v>
      </c>
      <c r="C211" s="1064">
        <v>0.13700000000000001</v>
      </c>
      <c r="D211" s="1064">
        <v>0.13500000000000001</v>
      </c>
      <c r="E211" s="1064">
        <v>0.13600000000000001</v>
      </c>
      <c r="F211" s="1065">
        <v>0.1</v>
      </c>
    </row>
    <row r="212" spans="1:6" ht="14.25" thickBot="1">
      <c r="A212" s="839" t="s">
        <v>528</v>
      </c>
      <c r="B212" s="833" t="s">
        <v>947</v>
      </c>
      <c r="C212" s="1064">
        <v>0.15</v>
      </c>
      <c r="D212" s="1064">
        <v>0.15</v>
      </c>
      <c r="E212" s="1064">
        <v>0.14799999999999999</v>
      </c>
      <c r="F212" s="1065">
        <v>0.13600000000000001</v>
      </c>
    </row>
    <row r="213" spans="1:6" ht="14.25" thickBot="1">
      <c r="A213" s="839" t="s">
        <v>528</v>
      </c>
      <c r="B213" s="833" t="s">
        <v>265</v>
      </c>
      <c r="C213" s="1064">
        <v>0.15</v>
      </c>
      <c r="D213" s="1064">
        <v>0.15</v>
      </c>
      <c r="E213" s="1064">
        <v>0.15</v>
      </c>
      <c r="F213" s="1065">
        <v>0.13800000000000001</v>
      </c>
    </row>
    <row r="214" spans="1:6" ht="14.25" thickBot="1">
      <c r="A214" s="839" t="s">
        <v>528</v>
      </c>
      <c r="B214" s="833" t="s">
        <v>277</v>
      </c>
      <c r="C214" s="1064">
        <v>9.0999999999999998E-2</v>
      </c>
      <c r="D214" s="1064">
        <v>0.09</v>
      </c>
      <c r="E214" s="1064">
        <v>9.1999999999999998E-2</v>
      </c>
      <c r="F214" s="1076"/>
    </row>
    <row r="215" spans="1:6" ht="14.25" thickBot="1">
      <c r="A215" s="839" t="s">
        <v>528</v>
      </c>
      <c r="B215" s="833" t="s">
        <v>948</v>
      </c>
      <c r="C215" s="1064">
        <v>0.15</v>
      </c>
      <c r="D215" s="1064">
        <v>0.15</v>
      </c>
      <c r="E215" s="1064">
        <v>0.15</v>
      </c>
      <c r="F215" s="1065">
        <v>0.15</v>
      </c>
    </row>
    <row r="216" spans="1:6" ht="14.25" thickBot="1">
      <c r="A216" s="839" t="s">
        <v>528</v>
      </c>
      <c r="B216" s="833" t="s">
        <v>297</v>
      </c>
      <c r="C216" s="1064">
        <v>0.14699999999999999</v>
      </c>
      <c r="D216" s="1064">
        <v>0.14699999999999999</v>
      </c>
      <c r="E216" s="1064">
        <v>0.15</v>
      </c>
      <c r="F216" s="1065">
        <v>0.14000000000000001</v>
      </c>
    </row>
    <row r="217" spans="1:6" ht="14.25" thickBot="1">
      <c r="A217" s="839" t="s">
        <v>528</v>
      </c>
      <c r="B217" s="833" t="s">
        <v>307</v>
      </c>
      <c r="C217" s="1064">
        <v>0.15</v>
      </c>
      <c r="D217" s="1064">
        <v>0.15</v>
      </c>
      <c r="E217" s="1064">
        <v>0.15</v>
      </c>
      <c r="F217" s="1065">
        <v>0.15</v>
      </c>
    </row>
    <row r="218" spans="1:6" ht="14.25" thickBot="1">
      <c r="A218" s="839" t="s">
        <v>528</v>
      </c>
      <c r="B218" s="833" t="s">
        <v>949</v>
      </c>
      <c r="C218" s="1064">
        <v>0.15</v>
      </c>
      <c r="D218" s="1064">
        <v>0.15</v>
      </c>
      <c r="E218" s="1064">
        <v>0.15</v>
      </c>
      <c r="F218" s="1065">
        <v>0.15</v>
      </c>
    </row>
    <row r="219" spans="1:6" ht="14.25" thickBot="1">
      <c r="A219" s="839" t="s">
        <v>528</v>
      </c>
      <c r="B219" s="833" t="s">
        <v>328</v>
      </c>
      <c r="C219" s="1064">
        <v>0.15</v>
      </c>
      <c r="D219" s="1064">
        <v>0.15</v>
      </c>
      <c r="E219" s="1064">
        <v>0.15</v>
      </c>
      <c r="F219" s="1065">
        <v>0.14799999999999999</v>
      </c>
    </row>
    <row r="220" spans="1:6" ht="14.25" thickBot="1">
      <c r="A220" s="839" t="s">
        <v>528</v>
      </c>
      <c r="B220" s="833" t="s">
        <v>950</v>
      </c>
      <c r="C220" s="1064">
        <v>0.15</v>
      </c>
      <c r="D220" s="1064">
        <v>0.15</v>
      </c>
      <c r="E220" s="1064">
        <v>0.15</v>
      </c>
      <c r="F220" s="1065">
        <v>0.15</v>
      </c>
    </row>
    <row r="221" spans="1:6" ht="14.25" thickBot="1">
      <c r="A221" s="839" t="s">
        <v>528</v>
      </c>
      <c r="B221" s="833" t="s">
        <v>349</v>
      </c>
      <c r="C221" s="1064"/>
      <c r="D221" s="1077"/>
      <c r="E221" s="1077"/>
      <c r="F221" s="1065">
        <v>0.14799999999999999</v>
      </c>
    </row>
    <row r="222" spans="1:6" ht="14.25" thickBot="1">
      <c r="A222" s="839" t="s">
        <v>528</v>
      </c>
      <c r="B222" s="833" t="s">
        <v>359</v>
      </c>
      <c r="C222" s="1064"/>
      <c r="D222" s="1077"/>
      <c r="E222" s="1077"/>
      <c r="F222" s="1065">
        <v>0.1</v>
      </c>
    </row>
    <row r="223" spans="1:6" ht="14.25" thickBot="1">
      <c r="A223" s="839" t="s">
        <v>528</v>
      </c>
      <c r="B223" s="833" t="s">
        <v>369</v>
      </c>
      <c r="C223" s="1064"/>
      <c r="D223" s="1077"/>
      <c r="E223" s="1077"/>
      <c r="F223" s="1065">
        <v>0.15</v>
      </c>
    </row>
    <row r="224" spans="1:6" ht="14.25" thickBot="1">
      <c r="A224" s="839" t="s">
        <v>528</v>
      </c>
      <c r="B224" s="833" t="s">
        <v>379</v>
      </c>
      <c r="C224" s="1064"/>
      <c r="D224" s="1077"/>
      <c r="E224" s="1077"/>
      <c r="F224" s="1065">
        <v>0.15</v>
      </c>
    </row>
    <row r="225" spans="1:6" ht="14.25" thickBot="1">
      <c r="A225" s="839" t="s">
        <v>528</v>
      </c>
      <c r="B225" s="833" t="s">
        <v>951</v>
      </c>
      <c r="C225" s="1064">
        <v>0.15</v>
      </c>
      <c r="D225" s="1064">
        <v>0.15</v>
      </c>
      <c r="E225" s="1064">
        <v>0.15</v>
      </c>
      <c r="F225" s="1065">
        <v>0.15</v>
      </c>
    </row>
    <row r="226" spans="1:6" ht="14.25" thickBot="1">
      <c r="A226" s="839" t="s">
        <v>528</v>
      </c>
      <c r="B226" s="833" t="s">
        <v>397</v>
      </c>
      <c r="C226" s="1064">
        <v>0.15</v>
      </c>
      <c r="D226" s="1064">
        <v>0.15</v>
      </c>
      <c r="E226" s="1064">
        <v>0.15</v>
      </c>
      <c r="F226" s="1065">
        <v>0.14799999999999999</v>
      </c>
    </row>
    <row r="227" spans="1:6" ht="14.25" thickBot="1">
      <c r="A227" s="839" t="s">
        <v>528</v>
      </c>
      <c r="B227" s="833" t="s">
        <v>952</v>
      </c>
      <c r="C227" s="1064">
        <v>0.15</v>
      </c>
      <c r="D227" s="1064">
        <v>0.15</v>
      </c>
      <c r="E227" s="1064">
        <v>0.15</v>
      </c>
      <c r="F227" s="1065">
        <v>0.15</v>
      </c>
    </row>
    <row r="228" spans="1:6" ht="14.25" thickBot="1">
      <c r="A228" s="839" t="s">
        <v>528</v>
      </c>
      <c r="B228" s="833" t="s">
        <v>412</v>
      </c>
      <c r="C228" s="1064">
        <v>0.15</v>
      </c>
      <c r="D228" s="1064">
        <v>0.15</v>
      </c>
      <c r="E228" s="1064">
        <v>0.15</v>
      </c>
      <c r="F228" s="1065">
        <v>0.15</v>
      </c>
    </row>
    <row r="229" spans="1:6" ht="14.25" thickBot="1">
      <c r="A229" s="839" t="s">
        <v>528</v>
      </c>
      <c r="B229" s="833" t="s">
        <v>419</v>
      </c>
      <c r="C229" s="1064">
        <v>0.15</v>
      </c>
      <c r="D229" s="1064">
        <v>0.15</v>
      </c>
      <c r="E229" s="1064">
        <v>0.15</v>
      </c>
      <c r="F229" s="1076"/>
    </row>
    <row r="230" spans="1:6" ht="14.25" thickBot="1">
      <c r="A230" s="839" t="s">
        <v>528</v>
      </c>
      <c r="B230" s="833" t="s">
        <v>426</v>
      </c>
      <c r="C230" s="1064">
        <v>0.14499999999999999</v>
      </c>
      <c r="D230" s="1064">
        <v>0.14499999999999999</v>
      </c>
      <c r="E230" s="1064">
        <v>0.14399999999999999</v>
      </c>
      <c r="F230" s="1076"/>
    </row>
    <row r="231" spans="1:6" ht="14.25" thickBot="1">
      <c r="A231" s="839" t="s">
        <v>528</v>
      </c>
      <c r="B231" s="833" t="s">
        <v>953</v>
      </c>
      <c r="C231" s="1064">
        <v>0.128</v>
      </c>
      <c r="D231" s="1064">
        <v>0.125</v>
      </c>
      <c r="E231" s="1064">
        <v>0.13200000000000001</v>
      </c>
      <c r="F231" s="1076"/>
    </row>
    <row r="232" spans="1:6" ht="14.25" thickBot="1">
      <c r="A232" s="839" t="s">
        <v>528</v>
      </c>
      <c r="B232" s="833" t="s">
        <v>954</v>
      </c>
      <c r="C232" s="1064">
        <v>0.14499999999999999</v>
      </c>
      <c r="D232" s="1064">
        <v>0.14399999999999999</v>
      </c>
      <c r="E232" s="1064">
        <v>0.14599999999999999</v>
      </c>
      <c r="F232" s="1065">
        <v>0.13800000000000001</v>
      </c>
    </row>
    <row r="233" spans="1:6" ht="14.25" thickBot="1">
      <c r="A233" s="839" t="s">
        <v>528</v>
      </c>
      <c r="B233" s="833" t="s">
        <v>955</v>
      </c>
      <c r="C233" s="1064">
        <v>0.14499999999999999</v>
      </c>
      <c r="D233" s="1064">
        <v>0.14299999999999999</v>
      </c>
      <c r="E233" s="1064">
        <v>0.14199999999999999</v>
      </c>
      <c r="F233" s="1076"/>
    </row>
    <row r="234" spans="1:6" ht="14.25" thickBot="1">
      <c r="A234" s="839" t="s">
        <v>528</v>
      </c>
      <c r="B234" s="833" t="s">
        <v>956</v>
      </c>
      <c r="C234" s="1064">
        <v>0.14000000000000001</v>
      </c>
      <c r="D234" s="1064">
        <v>0.14000000000000001</v>
      </c>
      <c r="E234" s="1064">
        <v>0.14399999999999999</v>
      </c>
      <c r="F234" s="1076"/>
    </row>
    <row r="235" spans="1:6" ht="14.25" thickBot="1">
      <c r="A235" s="839" t="s">
        <v>528</v>
      </c>
      <c r="B235" s="833" t="s">
        <v>957</v>
      </c>
      <c r="C235" s="1064">
        <v>0.14099999999999999</v>
      </c>
      <c r="D235" s="1064">
        <v>0.14199999999999999</v>
      </c>
      <c r="E235" s="1064">
        <v>0.14499999999999999</v>
      </c>
      <c r="F235" s="1065">
        <v>0.15</v>
      </c>
    </row>
    <row r="236" spans="1:6" ht="14.25" thickBot="1">
      <c r="A236" s="839" t="s">
        <v>528</v>
      </c>
      <c r="B236" s="833" t="s">
        <v>461</v>
      </c>
      <c r="C236" s="1077"/>
      <c r="D236" s="1077"/>
      <c r="E236" s="1077"/>
      <c r="F236" s="1065">
        <v>0.14299999999999999</v>
      </c>
    </row>
    <row r="237" spans="1:6" ht="24.75" thickBot="1">
      <c r="A237" s="839" t="s">
        <v>528</v>
      </c>
      <c r="B237" s="833" t="s">
        <v>958</v>
      </c>
      <c r="C237" s="1077"/>
      <c r="D237" s="1077"/>
      <c r="E237" s="1077"/>
      <c r="F237" s="1065">
        <v>0.05</v>
      </c>
    </row>
    <row r="238" spans="1:6" ht="24.75" thickBot="1">
      <c r="A238" s="839" t="s">
        <v>528</v>
      </c>
      <c r="B238" s="833" t="s">
        <v>959</v>
      </c>
      <c r="C238" s="1077"/>
      <c r="D238" s="1077"/>
      <c r="E238" s="1077"/>
      <c r="F238" s="1065">
        <v>0.05</v>
      </c>
    </row>
    <row r="239" spans="1:6" ht="24.75" thickBot="1">
      <c r="A239" s="839" t="s">
        <v>528</v>
      </c>
      <c r="B239" s="833" t="s">
        <v>960</v>
      </c>
      <c r="C239" s="1077"/>
      <c r="D239" s="1077"/>
      <c r="E239" s="1077"/>
      <c r="F239" s="1065">
        <v>0.05</v>
      </c>
    </row>
    <row r="240" spans="1:6" ht="24.75" thickBot="1">
      <c r="A240" s="839" t="s">
        <v>528</v>
      </c>
      <c r="B240" s="833" t="s">
        <v>961</v>
      </c>
      <c r="C240" s="1077"/>
      <c r="D240" s="1077"/>
      <c r="E240" s="1077"/>
      <c r="F240" s="1065">
        <v>0.05</v>
      </c>
    </row>
    <row r="241" spans="1:6" ht="24.75" thickBot="1">
      <c r="A241" s="839" t="s">
        <v>528</v>
      </c>
      <c r="B241" s="833" t="s">
        <v>962</v>
      </c>
      <c r="C241" s="1077"/>
      <c r="D241" s="1077"/>
      <c r="E241" s="1077"/>
      <c r="F241" s="1065">
        <v>0.05</v>
      </c>
    </row>
    <row r="242" spans="1:6" ht="24.75" thickBot="1">
      <c r="A242" s="839" t="s">
        <v>528</v>
      </c>
      <c r="B242" s="833" t="s">
        <v>963</v>
      </c>
      <c r="C242" s="1077"/>
      <c r="D242" s="1077"/>
      <c r="E242" s="1077"/>
      <c r="F242" s="1065">
        <v>0.05</v>
      </c>
    </row>
    <row r="243" spans="1:6" ht="24.75" thickBot="1">
      <c r="A243" s="839" t="s">
        <v>528</v>
      </c>
      <c r="B243" s="833" t="s">
        <v>964</v>
      </c>
      <c r="C243" s="1077"/>
      <c r="D243" s="1077"/>
      <c r="E243" s="1077"/>
      <c r="F243" s="1065">
        <v>0.05</v>
      </c>
    </row>
    <row r="244" spans="1:6" ht="24.75" thickBot="1">
      <c r="A244" s="849" t="s">
        <v>528</v>
      </c>
      <c r="B244" s="845" t="s">
        <v>965</v>
      </c>
      <c r="C244" s="1074"/>
      <c r="D244" s="1074"/>
      <c r="E244" s="1074"/>
      <c r="F244" s="1067">
        <v>0.05</v>
      </c>
    </row>
    <row r="245" spans="1:6" ht="14.25" thickBot="1">
      <c r="A245" s="839" t="s">
        <v>530</v>
      </c>
      <c r="B245" s="840" t="s">
        <v>966</v>
      </c>
      <c r="C245" s="1062">
        <v>0.15</v>
      </c>
      <c r="D245" s="1062">
        <v>0.15</v>
      </c>
      <c r="E245" s="1062">
        <v>0.15</v>
      </c>
      <c r="F245" s="1063">
        <v>0.14299999999999999</v>
      </c>
    </row>
    <row r="246" spans="1:6" ht="14.25" thickBot="1">
      <c r="A246" s="839" t="s">
        <v>530</v>
      </c>
      <c r="B246" s="833" t="s">
        <v>195</v>
      </c>
      <c r="C246" s="1064">
        <v>0.15</v>
      </c>
      <c r="D246" s="1064">
        <v>0.15</v>
      </c>
      <c r="E246" s="1064">
        <v>0.15</v>
      </c>
      <c r="F246" s="1065">
        <v>0.114</v>
      </c>
    </row>
    <row r="247" spans="1:6" ht="14.25" thickBot="1">
      <c r="A247" s="839" t="s">
        <v>530</v>
      </c>
      <c r="B247" s="833" t="s">
        <v>967</v>
      </c>
      <c r="C247" s="1064">
        <v>0.15</v>
      </c>
      <c r="D247" s="1064">
        <v>0.15</v>
      </c>
      <c r="E247" s="1064">
        <v>0.15</v>
      </c>
      <c r="F247" s="1065">
        <v>0.15</v>
      </c>
    </row>
    <row r="248" spans="1:6" ht="14.25" thickBot="1">
      <c r="A248" s="839" t="s">
        <v>530</v>
      </c>
      <c r="B248" s="833" t="s">
        <v>968</v>
      </c>
      <c r="C248" s="1064">
        <v>0.15</v>
      </c>
      <c r="D248" s="1064">
        <v>0.15</v>
      </c>
      <c r="E248" s="1064">
        <v>0.15</v>
      </c>
      <c r="F248" s="1065">
        <v>0.14000000000000001</v>
      </c>
    </row>
    <row r="249" spans="1:6" ht="14.25" thickBot="1">
      <c r="A249" s="839" t="s">
        <v>530</v>
      </c>
      <c r="B249" s="833" t="s">
        <v>969</v>
      </c>
      <c r="C249" s="1064">
        <v>0.15</v>
      </c>
      <c r="D249" s="1064">
        <v>0.14899999999999999</v>
      </c>
      <c r="E249" s="1064">
        <v>0.15</v>
      </c>
      <c r="F249" s="1065">
        <v>0.1</v>
      </c>
    </row>
    <row r="250" spans="1:6" ht="14.25" thickBot="1">
      <c r="A250" s="839" t="s">
        <v>530</v>
      </c>
      <c r="B250" s="833" t="s">
        <v>970</v>
      </c>
      <c r="C250" s="1064">
        <v>0.15</v>
      </c>
      <c r="D250" s="1064">
        <v>0.15</v>
      </c>
      <c r="E250" s="1064">
        <v>0.15</v>
      </c>
      <c r="F250" s="1065">
        <v>0.14399999999999999</v>
      </c>
    </row>
    <row r="251" spans="1:6" ht="14.25" thickBot="1">
      <c r="A251" s="839" t="s">
        <v>530</v>
      </c>
      <c r="B251" s="833" t="s">
        <v>255</v>
      </c>
      <c r="C251" s="1064">
        <v>0.15</v>
      </c>
      <c r="D251" s="1064">
        <v>0.15</v>
      </c>
      <c r="E251" s="1064">
        <v>0.15</v>
      </c>
      <c r="F251" s="1065">
        <v>0.14299999999999999</v>
      </c>
    </row>
    <row r="252" spans="1:6" ht="14.25" thickBot="1">
      <c r="A252" s="839" t="s">
        <v>530</v>
      </c>
      <c r="B252" s="833" t="s">
        <v>266</v>
      </c>
      <c r="C252" s="1064">
        <v>0.15</v>
      </c>
      <c r="D252" s="1064">
        <v>0.15</v>
      </c>
      <c r="E252" s="1064">
        <v>0.15</v>
      </c>
      <c r="F252" s="1065">
        <v>0.1</v>
      </c>
    </row>
    <row r="253" spans="1:6" ht="14.25" thickBot="1">
      <c r="A253" s="839" t="s">
        <v>530</v>
      </c>
      <c r="B253" s="833" t="s">
        <v>278</v>
      </c>
      <c r="C253" s="1064">
        <v>0.15</v>
      </c>
      <c r="D253" s="1064">
        <v>0.15</v>
      </c>
      <c r="E253" s="1064">
        <v>0.15</v>
      </c>
      <c r="F253" s="1065">
        <v>0.1</v>
      </c>
    </row>
    <row r="254" spans="1:6" ht="14.25" thickBot="1">
      <c r="A254" s="839" t="s">
        <v>530</v>
      </c>
      <c r="B254" s="833" t="s">
        <v>288</v>
      </c>
      <c r="C254" s="1077"/>
      <c r="D254" s="1077"/>
      <c r="E254" s="1077"/>
      <c r="F254" s="1065">
        <v>0.15</v>
      </c>
    </row>
    <row r="255" spans="1:6" ht="14.25" thickBot="1">
      <c r="A255" s="839" t="s">
        <v>530</v>
      </c>
      <c r="B255" s="833" t="s">
        <v>298</v>
      </c>
      <c r="C255" s="1077"/>
      <c r="D255" s="1077"/>
      <c r="E255" s="1077"/>
      <c r="F255" s="1065">
        <v>0.14299999999999999</v>
      </c>
    </row>
    <row r="256" spans="1:6" ht="14.25" thickBot="1">
      <c r="A256" s="839" t="s">
        <v>530</v>
      </c>
      <c r="B256" s="833" t="s">
        <v>971</v>
      </c>
      <c r="C256" s="1064">
        <v>0.14599999999999999</v>
      </c>
      <c r="D256" s="1064">
        <v>0.14699999999999999</v>
      </c>
      <c r="E256" s="1064">
        <v>0.15</v>
      </c>
      <c r="F256" s="1065">
        <v>0.13200000000000001</v>
      </c>
    </row>
    <row r="257" spans="1:6" ht="14.25" thickBot="1">
      <c r="A257" s="839" t="s">
        <v>530</v>
      </c>
      <c r="B257" s="833" t="s">
        <v>318</v>
      </c>
      <c r="C257" s="1064">
        <v>0.15</v>
      </c>
      <c r="D257" s="1064">
        <v>0.15</v>
      </c>
      <c r="E257" s="1064">
        <v>0.15</v>
      </c>
      <c r="F257" s="1065">
        <v>0.13900000000000001</v>
      </c>
    </row>
    <row r="258" spans="1:6" ht="14.25" thickBot="1">
      <c r="A258" s="839" t="s">
        <v>530</v>
      </c>
      <c r="B258" s="833" t="s">
        <v>329</v>
      </c>
      <c r="C258" s="1064">
        <v>0.15</v>
      </c>
      <c r="D258" s="1064">
        <v>0.15</v>
      </c>
      <c r="E258" s="1064">
        <v>0.15</v>
      </c>
      <c r="F258" s="1065">
        <v>0.13</v>
      </c>
    </row>
    <row r="259" spans="1:6" ht="14.25" thickBot="1">
      <c r="A259" s="839" t="s">
        <v>530</v>
      </c>
      <c r="B259" s="833" t="s">
        <v>972</v>
      </c>
      <c r="C259" s="1064">
        <v>0.14799999999999999</v>
      </c>
      <c r="D259" s="1064">
        <v>0.14899999999999999</v>
      </c>
      <c r="E259" s="1064">
        <v>0.15</v>
      </c>
      <c r="F259" s="1065">
        <v>0.13700000000000001</v>
      </c>
    </row>
    <row r="260" spans="1:6" ht="14.25" thickBot="1">
      <c r="A260" s="839" t="s">
        <v>530</v>
      </c>
      <c r="B260" s="833" t="s">
        <v>350</v>
      </c>
      <c r="C260" s="1064">
        <v>0.15</v>
      </c>
      <c r="D260" s="1064">
        <v>0.15</v>
      </c>
      <c r="E260" s="1064">
        <v>0.15</v>
      </c>
      <c r="F260" s="1065">
        <v>0.14199999999999999</v>
      </c>
    </row>
    <row r="261" spans="1:6" ht="14.25" thickBot="1">
      <c r="A261" s="839" t="s">
        <v>530</v>
      </c>
      <c r="B261" s="833" t="s">
        <v>360</v>
      </c>
      <c r="C261" s="1064">
        <v>0.15</v>
      </c>
      <c r="D261" s="1064">
        <v>0.15</v>
      </c>
      <c r="E261" s="1064">
        <v>0.14899999999999999</v>
      </c>
      <c r="F261" s="1065">
        <v>0.14799999999999999</v>
      </c>
    </row>
    <row r="262" spans="1:6" ht="14.25" thickBot="1">
      <c r="A262" s="839" t="s">
        <v>530</v>
      </c>
      <c r="B262" s="833" t="s">
        <v>370</v>
      </c>
      <c r="C262" s="1064">
        <v>0.15</v>
      </c>
      <c r="D262" s="1064">
        <v>0.15</v>
      </c>
      <c r="E262" s="1064">
        <v>0.15</v>
      </c>
      <c r="F262" s="1076"/>
    </row>
    <row r="263" spans="1:6" ht="14.25" thickBot="1">
      <c r="A263" s="839" t="s">
        <v>530</v>
      </c>
      <c r="B263" s="833" t="s">
        <v>973</v>
      </c>
      <c r="C263" s="1064">
        <v>0.14899999999999999</v>
      </c>
      <c r="D263" s="1064">
        <v>0.14899999999999999</v>
      </c>
      <c r="E263" s="1064">
        <v>0.15</v>
      </c>
      <c r="F263" s="1065">
        <v>0.13</v>
      </c>
    </row>
    <row r="264" spans="1:6" ht="14.25" thickBot="1">
      <c r="A264" s="839" t="s">
        <v>530</v>
      </c>
      <c r="B264" s="833" t="s">
        <v>389</v>
      </c>
      <c r="C264" s="1064">
        <v>0.14799999999999999</v>
      </c>
      <c r="D264" s="1064">
        <v>0.14699999999999999</v>
      </c>
      <c r="E264" s="1064">
        <v>0.15</v>
      </c>
      <c r="F264" s="1065">
        <v>7.8E-2</v>
      </c>
    </row>
    <row r="265" spans="1:6" ht="14.25" thickBot="1">
      <c r="A265" s="839" t="s">
        <v>530</v>
      </c>
      <c r="B265" s="833" t="s">
        <v>398</v>
      </c>
      <c r="C265" s="1064">
        <v>0.15</v>
      </c>
      <c r="D265" s="1064">
        <v>0.15</v>
      </c>
      <c r="E265" s="1064">
        <v>0.15</v>
      </c>
      <c r="F265" s="1065">
        <v>7.3999999999999996E-2</v>
      </c>
    </row>
    <row r="266" spans="1:6" ht="14.25" thickBot="1">
      <c r="A266" s="839" t="s">
        <v>530</v>
      </c>
      <c r="B266" s="833" t="s">
        <v>406</v>
      </c>
      <c r="C266" s="1064">
        <v>0.14699999999999999</v>
      </c>
      <c r="D266" s="1064">
        <v>0.14699999999999999</v>
      </c>
      <c r="E266" s="1064">
        <v>0.15</v>
      </c>
      <c r="F266" s="1065">
        <v>0.14299999999999999</v>
      </c>
    </row>
    <row r="267" spans="1:6" ht="14.25" thickBot="1">
      <c r="A267" s="839" t="s">
        <v>530</v>
      </c>
      <c r="B267" s="833" t="s">
        <v>413</v>
      </c>
      <c r="C267" s="1064">
        <v>0.14199999999999999</v>
      </c>
      <c r="D267" s="1064">
        <v>0.14299999999999999</v>
      </c>
      <c r="E267" s="1064">
        <v>0.15</v>
      </c>
      <c r="F267" s="1076"/>
    </row>
    <row r="268" spans="1:6" ht="14.25" thickBot="1">
      <c r="A268" s="839" t="s">
        <v>530</v>
      </c>
      <c r="B268" s="833" t="s">
        <v>974</v>
      </c>
      <c r="C268" s="1064">
        <v>0.15</v>
      </c>
      <c r="D268" s="1064">
        <v>0.15</v>
      </c>
      <c r="E268" s="1064">
        <v>0.15</v>
      </c>
      <c r="F268" s="1065">
        <v>0.13</v>
      </c>
    </row>
    <row r="269" spans="1:6" ht="14.25" thickBot="1">
      <c r="A269" s="839" t="s">
        <v>530</v>
      </c>
      <c r="B269" s="833" t="s">
        <v>427</v>
      </c>
      <c r="C269" s="1064">
        <v>0.15</v>
      </c>
      <c r="D269" s="1064">
        <v>0.15</v>
      </c>
      <c r="E269" s="1064">
        <v>0.15</v>
      </c>
      <c r="F269" s="1065">
        <v>0.14299999999999999</v>
      </c>
    </row>
    <row r="270" spans="1:6" ht="14.25" thickBot="1">
      <c r="A270" s="839" t="s">
        <v>530</v>
      </c>
      <c r="B270" s="833" t="s">
        <v>434</v>
      </c>
      <c r="C270" s="1064">
        <v>0.14499999999999999</v>
      </c>
      <c r="D270" s="1064">
        <v>0.14499999999999999</v>
      </c>
      <c r="E270" s="1064">
        <v>0.15</v>
      </c>
      <c r="F270" s="1065">
        <v>0.14699999999999999</v>
      </c>
    </row>
    <row r="271" spans="1:6" ht="14.25" thickBot="1">
      <c r="A271" s="839" t="s">
        <v>530</v>
      </c>
      <c r="B271" s="833" t="s">
        <v>441</v>
      </c>
      <c r="C271" s="1064">
        <v>0.15</v>
      </c>
      <c r="D271" s="1064">
        <v>0.15</v>
      </c>
      <c r="E271" s="1064">
        <v>0.15</v>
      </c>
      <c r="F271" s="1065">
        <v>0.13800000000000001</v>
      </c>
    </row>
    <row r="272" spans="1:6" ht="14.25" thickBot="1">
      <c r="A272" s="839" t="s">
        <v>530</v>
      </c>
      <c r="B272" s="833" t="s">
        <v>448</v>
      </c>
      <c r="C272" s="1077"/>
      <c r="D272" s="1077"/>
      <c r="E272" s="1077"/>
      <c r="F272" s="1065">
        <v>0.14000000000000001</v>
      </c>
    </row>
    <row r="273" spans="1:6" ht="14.25" thickBot="1">
      <c r="A273" s="839" t="s">
        <v>530</v>
      </c>
      <c r="B273" s="833" t="s">
        <v>975</v>
      </c>
      <c r="C273" s="1064">
        <v>0.14199999999999999</v>
      </c>
      <c r="D273" s="1064">
        <v>0.14299999999999999</v>
      </c>
      <c r="E273" s="1064">
        <v>0.15</v>
      </c>
      <c r="F273" s="1065">
        <v>0.1</v>
      </c>
    </row>
    <row r="274" spans="1:6" ht="14.25" thickBot="1">
      <c r="A274" s="839" t="s">
        <v>530</v>
      </c>
      <c r="B274" s="833" t="s">
        <v>976</v>
      </c>
      <c r="C274" s="1064">
        <v>0.14799999999999999</v>
      </c>
      <c r="D274" s="1064">
        <v>0.14799999999999999</v>
      </c>
      <c r="E274" s="1064">
        <v>0.15</v>
      </c>
      <c r="F274" s="1065">
        <v>6.7000000000000004E-2</v>
      </c>
    </row>
    <row r="275" spans="1:6" ht="14.25" thickBot="1">
      <c r="A275" s="839" t="s">
        <v>530</v>
      </c>
      <c r="B275" s="833" t="s">
        <v>977</v>
      </c>
      <c r="C275" s="1064">
        <v>0.15</v>
      </c>
      <c r="D275" s="1064">
        <v>0.15</v>
      </c>
      <c r="E275" s="1064">
        <v>0.15</v>
      </c>
      <c r="F275" s="1065">
        <v>0.15</v>
      </c>
    </row>
    <row r="276" spans="1:6" ht="14.25" thickBot="1">
      <c r="A276" s="839" t="s">
        <v>530</v>
      </c>
      <c r="B276" s="833" t="s">
        <v>978</v>
      </c>
      <c r="C276" s="1064">
        <v>0.14499999999999999</v>
      </c>
      <c r="D276" s="1064">
        <v>0.14299999999999999</v>
      </c>
      <c r="E276" s="1064">
        <v>0.15</v>
      </c>
      <c r="F276" s="1065">
        <v>5.8999999999999997E-2</v>
      </c>
    </row>
    <row r="277" spans="1:6" ht="14.25" thickBot="1">
      <c r="A277" s="839" t="s">
        <v>530</v>
      </c>
      <c r="B277" s="833" t="s">
        <v>979</v>
      </c>
      <c r="C277" s="1064">
        <v>0.15</v>
      </c>
      <c r="D277" s="1064">
        <v>0.15</v>
      </c>
      <c r="E277" s="1064">
        <v>0.15</v>
      </c>
      <c r="F277" s="1065">
        <v>0.121</v>
      </c>
    </row>
    <row r="278" spans="1:6" ht="14.25" thickBot="1">
      <c r="A278" s="839" t="s">
        <v>530</v>
      </c>
      <c r="B278" s="833" t="s">
        <v>980</v>
      </c>
      <c r="C278" s="1064">
        <v>0.15</v>
      </c>
      <c r="D278" s="1064">
        <v>0.15</v>
      </c>
      <c r="E278" s="1064">
        <v>0.15</v>
      </c>
      <c r="F278" s="1065">
        <v>0.13800000000000001</v>
      </c>
    </row>
    <row r="279" spans="1:6" ht="24.75" thickBot="1">
      <c r="A279" s="839" t="s">
        <v>530</v>
      </c>
      <c r="B279" s="833" t="s">
        <v>981</v>
      </c>
      <c r="C279" s="1077"/>
      <c r="D279" s="1077"/>
      <c r="E279" s="1077"/>
      <c r="F279" s="1065">
        <v>0.05</v>
      </c>
    </row>
    <row r="280" spans="1:6" ht="24.75" thickBot="1">
      <c r="A280" s="839" t="s">
        <v>530</v>
      </c>
      <c r="B280" s="833" t="s">
        <v>982</v>
      </c>
      <c r="C280" s="1077"/>
      <c r="D280" s="1077"/>
      <c r="E280" s="1077"/>
      <c r="F280" s="1065">
        <v>0.05</v>
      </c>
    </row>
    <row r="281" spans="1:6" ht="24.75" thickBot="1">
      <c r="A281" s="839" t="s">
        <v>530</v>
      </c>
      <c r="B281" s="833" t="s">
        <v>983</v>
      </c>
      <c r="C281" s="1077"/>
      <c r="D281" s="1077"/>
      <c r="E281" s="1077"/>
      <c r="F281" s="1065">
        <v>0.05</v>
      </c>
    </row>
    <row r="282" spans="1:6" ht="24.75" thickBot="1">
      <c r="A282" s="839" t="s">
        <v>530</v>
      </c>
      <c r="B282" s="833" t="s">
        <v>984</v>
      </c>
      <c r="C282" s="1077"/>
      <c r="D282" s="1077"/>
      <c r="E282" s="1077"/>
      <c r="F282" s="1065">
        <v>0.05</v>
      </c>
    </row>
    <row r="283" spans="1:6" ht="24.75" thickBot="1">
      <c r="A283" s="839" t="s">
        <v>530</v>
      </c>
      <c r="B283" s="833" t="s">
        <v>985</v>
      </c>
      <c r="C283" s="1077"/>
      <c r="D283" s="1077"/>
      <c r="E283" s="1077"/>
      <c r="F283" s="1065">
        <v>0.05</v>
      </c>
    </row>
    <row r="284" spans="1:6" ht="24.75" thickBot="1">
      <c r="A284" s="839" t="s">
        <v>530</v>
      </c>
      <c r="B284" s="833" t="s">
        <v>986</v>
      </c>
      <c r="C284" s="1077"/>
      <c r="D284" s="1077"/>
      <c r="E284" s="1077"/>
      <c r="F284" s="1065">
        <v>0.05</v>
      </c>
    </row>
    <row r="285" spans="1:6" ht="24.75" thickBot="1">
      <c r="A285" s="839" t="s">
        <v>530</v>
      </c>
      <c r="B285" s="833" t="s">
        <v>987</v>
      </c>
      <c r="C285" s="1077"/>
      <c r="D285" s="1077"/>
      <c r="E285" s="1077"/>
      <c r="F285" s="1065">
        <v>0.05</v>
      </c>
    </row>
    <row r="286" spans="1:6" ht="24.75" thickBot="1">
      <c r="A286" s="839" t="s">
        <v>530</v>
      </c>
      <c r="B286" s="833" t="s">
        <v>988</v>
      </c>
      <c r="C286" s="1077"/>
      <c r="D286" s="1077"/>
      <c r="E286" s="1077"/>
      <c r="F286" s="1065">
        <v>0.05</v>
      </c>
    </row>
    <row r="287" spans="1:6" ht="24.75" thickBot="1">
      <c r="A287" s="839" t="s">
        <v>530</v>
      </c>
      <c r="B287" s="833" t="s">
        <v>989</v>
      </c>
      <c r="C287" s="1077"/>
      <c r="D287" s="1077"/>
      <c r="E287" s="1077"/>
      <c r="F287" s="1065">
        <v>0.05</v>
      </c>
    </row>
    <row r="288" spans="1:6" ht="24.75" thickBot="1">
      <c r="A288" s="839" t="s">
        <v>530</v>
      </c>
      <c r="B288" s="833" t="s">
        <v>990</v>
      </c>
      <c r="C288" s="1077"/>
      <c r="D288" s="1077"/>
      <c r="E288" s="1077"/>
      <c r="F288" s="1065">
        <v>0.05</v>
      </c>
    </row>
    <row r="289" spans="1:6" ht="24.75" thickBot="1">
      <c r="A289" s="849" t="s">
        <v>530</v>
      </c>
      <c r="B289" s="845" t="s">
        <v>991</v>
      </c>
      <c r="C289" s="1074"/>
      <c r="D289" s="1074"/>
      <c r="E289" s="1074"/>
      <c r="F289" s="1067">
        <v>0.05</v>
      </c>
    </row>
    <row r="290" spans="1:6" ht="14.25" thickBot="1">
      <c r="A290" s="839" t="s">
        <v>534</v>
      </c>
      <c r="B290" s="840" t="s">
        <v>992</v>
      </c>
      <c r="C290" s="1062">
        <v>0.15</v>
      </c>
      <c r="D290" s="1062">
        <v>0.15</v>
      </c>
      <c r="E290" s="1062">
        <v>0.15</v>
      </c>
      <c r="F290" s="1079"/>
    </row>
    <row r="291" spans="1:6" ht="14.25" thickBot="1">
      <c r="A291" s="839" t="s">
        <v>534</v>
      </c>
      <c r="B291" s="833" t="s">
        <v>196</v>
      </c>
      <c r="C291" s="1064">
        <v>0.15</v>
      </c>
      <c r="D291" s="1064">
        <v>0.15</v>
      </c>
      <c r="E291" s="1064">
        <v>0.15</v>
      </c>
      <c r="F291" s="1076"/>
    </row>
    <row r="292" spans="1:6" ht="14.25" thickBot="1">
      <c r="A292" s="839" t="s">
        <v>534</v>
      </c>
      <c r="B292" s="833" t="s">
        <v>993</v>
      </c>
      <c r="C292" s="1064">
        <v>0.15</v>
      </c>
      <c r="D292" s="1064">
        <v>0.15</v>
      </c>
      <c r="E292" s="1064">
        <v>0.15</v>
      </c>
      <c r="F292" s="1065">
        <v>0.14699999999999999</v>
      </c>
    </row>
    <row r="293" spans="1:6" ht="14.25" thickBot="1">
      <c r="A293" s="839" t="s">
        <v>534</v>
      </c>
      <c r="B293" s="833" t="s">
        <v>994</v>
      </c>
      <c r="C293" s="1077"/>
      <c r="D293" s="1077"/>
      <c r="E293" s="1077"/>
      <c r="F293" s="1065">
        <v>0.1</v>
      </c>
    </row>
    <row r="294" spans="1:6" ht="14.25" thickBot="1">
      <c r="A294" s="839" t="s">
        <v>534</v>
      </c>
      <c r="B294" s="833" t="s">
        <v>995</v>
      </c>
      <c r="C294" s="1064">
        <v>0.15</v>
      </c>
      <c r="D294" s="1064">
        <v>0.15</v>
      </c>
      <c r="E294" s="1064">
        <v>0.15</v>
      </c>
      <c r="F294" s="1065">
        <v>0.15</v>
      </c>
    </row>
    <row r="295" spans="1:6" ht="14.25" thickBot="1">
      <c r="A295" s="839" t="s">
        <v>534</v>
      </c>
      <c r="B295" s="833" t="s">
        <v>234</v>
      </c>
      <c r="C295" s="1064">
        <v>0.15</v>
      </c>
      <c r="D295" s="1064">
        <v>0.15</v>
      </c>
      <c r="E295" s="1064">
        <v>0.15</v>
      </c>
      <c r="F295" s="1065">
        <v>0.15</v>
      </c>
    </row>
    <row r="296" spans="1:6" ht="14.25" thickBot="1">
      <c r="A296" s="839" t="s">
        <v>534</v>
      </c>
      <c r="B296" s="833" t="s">
        <v>996</v>
      </c>
      <c r="C296" s="1064">
        <v>0.15</v>
      </c>
      <c r="D296" s="1064">
        <v>0.15</v>
      </c>
      <c r="E296" s="1064">
        <v>0.15</v>
      </c>
      <c r="F296" s="1065">
        <v>0.15</v>
      </c>
    </row>
    <row r="297" spans="1:6" ht="14.25" thickBot="1">
      <c r="A297" s="839" t="s">
        <v>534</v>
      </c>
      <c r="B297" s="833" t="s">
        <v>997</v>
      </c>
      <c r="C297" s="1064">
        <v>0.14799999999999999</v>
      </c>
      <c r="D297" s="1064">
        <v>0.14899999999999999</v>
      </c>
      <c r="E297" s="1064">
        <v>0.15</v>
      </c>
      <c r="F297" s="1065">
        <v>0.13700000000000001</v>
      </c>
    </row>
    <row r="298" spans="1:6" ht="14.25" thickBot="1">
      <c r="A298" s="839" t="s">
        <v>534</v>
      </c>
      <c r="B298" s="833" t="s">
        <v>267</v>
      </c>
      <c r="C298" s="1064">
        <v>0.13400000000000001</v>
      </c>
      <c r="D298" s="1064">
        <v>0.13400000000000001</v>
      </c>
      <c r="E298" s="1064">
        <v>0.14499999999999999</v>
      </c>
      <c r="F298" s="1065">
        <v>0.14799999999999999</v>
      </c>
    </row>
    <row r="299" spans="1:6" ht="14.25" thickBot="1">
      <c r="A299" s="839" t="s">
        <v>534</v>
      </c>
      <c r="B299" s="833" t="s">
        <v>279</v>
      </c>
      <c r="C299" s="1064">
        <v>0.15</v>
      </c>
      <c r="D299" s="1064">
        <v>0.15</v>
      </c>
      <c r="E299" s="1064">
        <v>0.15</v>
      </c>
      <c r="F299" s="1076"/>
    </row>
    <row r="300" spans="1:6" ht="14.25" thickBot="1">
      <c r="A300" s="839" t="s">
        <v>534</v>
      </c>
      <c r="B300" s="833" t="s">
        <v>998</v>
      </c>
      <c r="C300" s="1064">
        <v>0.15</v>
      </c>
      <c r="D300" s="1064">
        <v>0.15</v>
      </c>
      <c r="E300" s="1064">
        <v>0.15</v>
      </c>
      <c r="F300" s="1065">
        <v>0.15</v>
      </c>
    </row>
    <row r="301" spans="1:6" ht="14.25" thickBot="1">
      <c r="A301" s="839" t="s">
        <v>534</v>
      </c>
      <c r="B301" s="833" t="s">
        <v>299</v>
      </c>
      <c r="C301" s="1064">
        <v>0.15</v>
      </c>
      <c r="D301" s="1064">
        <v>0.15</v>
      </c>
      <c r="E301" s="1064">
        <v>0.15</v>
      </c>
      <c r="F301" s="1076"/>
    </row>
    <row r="302" spans="1:6" ht="14.25" thickBot="1">
      <c r="A302" s="839" t="s">
        <v>534</v>
      </c>
      <c r="B302" s="833" t="s">
        <v>999</v>
      </c>
      <c r="C302" s="1064">
        <v>0.15</v>
      </c>
      <c r="D302" s="1064">
        <v>0.15</v>
      </c>
      <c r="E302" s="1064">
        <v>0.15</v>
      </c>
      <c r="F302" s="1065">
        <v>0.15</v>
      </c>
    </row>
    <row r="303" spans="1:6" ht="14.25" thickBot="1">
      <c r="A303" s="839" t="s">
        <v>534</v>
      </c>
      <c r="B303" s="833" t="s">
        <v>319</v>
      </c>
      <c r="C303" s="1064">
        <v>0.15</v>
      </c>
      <c r="D303" s="1064">
        <v>0.15</v>
      </c>
      <c r="E303" s="1064">
        <v>0.15</v>
      </c>
      <c r="F303" s="1065">
        <v>0.15</v>
      </c>
    </row>
    <row r="304" spans="1:6" ht="14.25" thickBot="1">
      <c r="A304" s="839" t="s">
        <v>534</v>
      </c>
      <c r="B304" s="833" t="s">
        <v>330</v>
      </c>
      <c r="C304" s="1064">
        <v>0.15</v>
      </c>
      <c r="D304" s="1064">
        <v>0.15</v>
      </c>
      <c r="E304" s="1064">
        <v>0.15</v>
      </c>
      <c r="F304" s="1076"/>
    </row>
    <row r="305" spans="1:6" ht="14.25" thickBot="1">
      <c r="A305" s="839" t="s">
        <v>534</v>
      </c>
      <c r="B305" s="833" t="s">
        <v>1000</v>
      </c>
      <c r="C305" s="1064">
        <v>0.15</v>
      </c>
      <c r="D305" s="1064">
        <v>0.15</v>
      </c>
      <c r="E305" s="1064">
        <v>0.15</v>
      </c>
      <c r="F305" s="1065">
        <v>0.14000000000000001</v>
      </c>
    </row>
    <row r="306" spans="1:6" ht="14.25" thickBot="1">
      <c r="A306" s="839" t="s">
        <v>534</v>
      </c>
      <c r="B306" s="833" t="s">
        <v>351</v>
      </c>
      <c r="C306" s="1064">
        <v>0.15</v>
      </c>
      <c r="D306" s="1064">
        <v>0.15</v>
      </c>
      <c r="E306" s="1064">
        <v>0.15</v>
      </c>
      <c r="F306" s="1076"/>
    </row>
    <row r="307" spans="1:6" ht="14.25" thickBot="1">
      <c r="A307" s="839" t="s">
        <v>534</v>
      </c>
      <c r="B307" s="833" t="s">
        <v>1001</v>
      </c>
      <c r="C307" s="1064">
        <v>0.15</v>
      </c>
      <c r="D307" s="1064">
        <v>0.15</v>
      </c>
      <c r="E307" s="1064">
        <v>0.15</v>
      </c>
      <c r="F307" s="1065">
        <v>0.14299999999999999</v>
      </c>
    </row>
    <row r="308" spans="1:6" ht="14.25" thickBot="1">
      <c r="A308" s="839" t="s">
        <v>534</v>
      </c>
      <c r="B308" s="833" t="s">
        <v>371</v>
      </c>
      <c r="C308" s="1064">
        <v>0.15</v>
      </c>
      <c r="D308" s="1064">
        <v>0.15</v>
      </c>
      <c r="E308" s="1064">
        <v>0.15</v>
      </c>
      <c r="F308" s="1065">
        <v>0.15</v>
      </c>
    </row>
    <row r="309" spans="1:6" ht="14.25" thickBot="1">
      <c r="A309" s="839" t="s">
        <v>534</v>
      </c>
      <c r="B309" s="833" t="s">
        <v>381</v>
      </c>
      <c r="C309" s="1064">
        <v>0.15</v>
      </c>
      <c r="D309" s="1064">
        <v>0.15</v>
      </c>
      <c r="E309" s="1064">
        <v>0.15</v>
      </c>
      <c r="F309" s="1076"/>
    </row>
    <row r="310" spans="1:6" ht="14.25" thickBot="1">
      <c r="A310" s="839" t="s">
        <v>534</v>
      </c>
      <c r="B310" s="833" t="s">
        <v>1002</v>
      </c>
      <c r="C310" s="1064">
        <v>0.15</v>
      </c>
      <c r="D310" s="1064">
        <v>0.15</v>
      </c>
      <c r="E310" s="1064">
        <v>0.15</v>
      </c>
      <c r="F310" s="1065">
        <v>0.13700000000000001</v>
      </c>
    </row>
    <row r="311" spans="1:6" ht="14.25" thickBot="1">
      <c r="A311" s="839" t="s">
        <v>534</v>
      </c>
      <c r="B311" s="833" t="s">
        <v>1003</v>
      </c>
      <c r="C311" s="1064">
        <v>0.15</v>
      </c>
      <c r="D311" s="1064">
        <v>0.15</v>
      </c>
      <c r="E311" s="1064">
        <v>0.15</v>
      </c>
      <c r="F311" s="1065">
        <v>0.15</v>
      </c>
    </row>
    <row r="312" spans="1:6" ht="14.25" thickBot="1">
      <c r="A312" s="839" t="s">
        <v>534</v>
      </c>
      <c r="B312" s="833" t="s">
        <v>407</v>
      </c>
      <c r="C312" s="1064">
        <v>0.15</v>
      </c>
      <c r="D312" s="1064">
        <v>0.15</v>
      </c>
      <c r="E312" s="1064">
        <v>0.15</v>
      </c>
      <c r="F312" s="1065">
        <v>0.1</v>
      </c>
    </row>
    <row r="313" spans="1:6" ht="14.25" thickBot="1">
      <c r="A313" s="839" t="s">
        <v>534</v>
      </c>
      <c r="B313" s="833" t="s">
        <v>1004</v>
      </c>
      <c r="C313" s="1064">
        <v>0.15</v>
      </c>
      <c r="D313" s="1064">
        <v>0.15</v>
      </c>
      <c r="E313" s="1064">
        <v>0.15</v>
      </c>
      <c r="F313" s="1065">
        <v>0.15</v>
      </c>
    </row>
    <row r="314" spans="1:6" ht="24.75" thickBot="1">
      <c r="A314" s="839" t="s">
        <v>534</v>
      </c>
      <c r="B314" s="833" t="s">
        <v>1005</v>
      </c>
      <c r="C314" s="1077"/>
      <c r="D314" s="1077"/>
      <c r="E314" s="1077"/>
      <c r="F314" s="1065">
        <v>0.05</v>
      </c>
    </row>
    <row r="315" spans="1:6" ht="24.75" thickBot="1">
      <c r="A315" s="839" t="s">
        <v>534</v>
      </c>
      <c r="B315" s="833" t="s">
        <v>1006</v>
      </c>
      <c r="C315" s="1077"/>
      <c r="D315" s="1077"/>
      <c r="E315" s="1077"/>
      <c r="F315" s="1065">
        <v>0.05</v>
      </c>
    </row>
    <row r="316" spans="1:6" ht="24.75" thickBot="1">
      <c r="A316" s="849" t="s">
        <v>534</v>
      </c>
      <c r="B316" s="845" t="s">
        <v>1007</v>
      </c>
      <c r="C316" s="1074"/>
      <c r="D316" s="1074"/>
      <c r="E316" s="1074"/>
      <c r="F316" s="1067">
        <v>0.05</v>
      </c>
    </row>
    <row r="317" spans="1:6" ht="14.25" thickBot="1">
      <c r="A317" s="839" t="s">
        <v>1008</v>
      </c>
      <c r="B317" s="840" t="s">
        <v>1009</v>
      </c>
      <c r="C317" s="1062">
        <v>0.15</v>
      </c>
      <c r="D317" s="1062">
        <v>0.15</v>
      </c>
      <c r="E317" s="1062">
        <v>0.15</v>
      </c>
      <c r="F317" s="1063">
        <v>0.15</v>
      </c>
    </row>
    <row r="318" spans="1:6" ht="14.25" thickBot="1">
      <c r="A318" s="839" t="s">
        <v>1008</v>
      </c>
      <c r="B318" s="833" t="s">
        <v>1010</v>
      </c>
      <c r="C318" s="1064">
        <v>0.107</v>
      </c>
      <c r="D318" s="1064">
        <v>0.11</v>
      </c>
      <c r="E318" s="1064">
        <v>0.112</v>
      </c>
      <c r="F318" s="1076"/>
    </row>
    <row r="319" spans="1:6" ht="14.25" thickBot="1">
      <c r="A319" s="839" t="s">
        <v>1008</v>
      </c>
      <c r="B319" s="833" t="s">
        <v>1011</v>
      </c>
      <c r="C319" s="1064">
        <v>0.15</v>
      </c>
      <c r="D319" s="1064">
        <v>0.15</v>
      </c>
      <c r="E319" s="1064">
        <v>0.15</v>
      </c>
      <c r="F319" s="1065">
        <v>0.15</v>
      </c>
    </row>
    <row r="320" spans="1:6" ht="14.25" thickBot="1">
      <c r="A320" s="839" t="s">
        <v>1008</v>
      </c>
      <c r="B320" s="833" t="s">
        <v>223</v>
      </c>
      <c r="C320" s="1064">
        <v>0.15</v>
      </c>
      <c r="D320" s="1064">
        <v>0.15</v>
      </c>
      <c r="E320" s="1064">
        <v>0.15</v>
      </c>
      <c r="F320" s="1076"/>
    </row>
    <row r="321" spans="1:6" ht="14.25" thickBot="1">
      <c r="A321" s="839" t="s">
        <v>1008</v>
      </c>
      <c r="B321" s="833" t="s">
        <v>1012</v>
      </c>
      <c r="C321" s="1064">
        <v>0.15</v>
      </c>
      <c r="D321" s="1064">
        <v>0.15</v>
      </c>
      <c r="E321" s="1064">
        <v>0.15</v>
      </c>
      <c r="F321" s="1076"/>
    </row>
    <row r="322" spans="1:6" ht="14.25" thickBot="1">
      <c r="A322" s="839" t="s">
        <v>1008</v>
      </c>
      <c r="B322" s="833" t="s">
        <v>1013</v>
      </c>
      <c r="C322" s="1064">
        <v>0.15</v>
      </c>
      <c r="D322" s="1064">
        <v>0.15</v>
      </c>
      <c r="E322" s="1064">
        <v>0.15</v>
      </c>
      <c r="F322" s="1065">
        <v>0.15</v>
      </c>
    </row>
    <row r="323" spans="1:6" ht="14.25" thickBot="1">
      <c r="A323" s="839" t="s">
        <v>1008</v>
      </c>
      <c r="B323" s="833" t="s">
        <v>1014</v>
      </c>
      <c r="C323" s="1064">
        <v>0.15</v>
      </c>
      <c r="D323" s="1064">
        <v>0.15</v>
      </c>
      <c r="E323" s="1064">
        <v>0.15</v>
      </c>
      <c r="F323" s="1076"/>
    </row>
    <row r="324" spans="1:6" ht="14.25" thickBot="1">
      <c r="A324" s="839" t="s">
        <v>1008</v>
      </c>
      <c r="B324" s="833" t="s">
        <v>1015</v>
      </c>
      <c r="C324" s="1064">
        <v>0.15</v>
      </c>
      <c r="D324" s="1064">
        <v>0.15</v>
      </c>
      <c r="E324" s="1064">
        <v>0.15</v>
      </c>
      <c r="F324" s="1076"/>
    </row>
    <row r="325" spans="1:6" ht="14.25" thickBot="1">
      <c r="A325" s="839" t="s">
        <v>1008</v>
      </c>
      <c r="B325" s="833" t="s">
        <v>1016</v>
      </c>
      <c r="C325" s="1064">
        <v>0.15</v>
      </c>
      <c r="D325" s="1064">
        <v>0.15</v>
      </c>
      <c r="E325" s="1064">
        <v>0.15</v>
      </c>
      <c r="F325" s="1065">
        <v>0.14699999999999999</v>
      </c>
    </row>
    <row r="326" spans="1:6" ht="14.25" thickBot="1">
      <c r="A326" s="839" t="s">
        <v>1008</v>
      </c>
      <c r="B326" s="833" t="s">
        <v>290</v>
      </c>
      <c r="C326" s="1064">
        <v>0.15</v>
      </c>
      <c r="D326" s="1064">
        <v>0.15</v>
      </c>
      <c r="E326" s="1064">
        <v>0.15</v>
      </c>
      <c r="F326" s="1076"/>
    </row>
    <row r="327" spans="1:6" ht="14.25" thickBot="1">
      <c r="A327" s="839" t="s">
        <v>1008</v>
      </c>
      <c r="B327" s="833" t="s">
        <v>1017</v>
      </c>
      <c r="C327" s="1064">
        <v>0.15</v>
      </c>
      <c r="D327" s="1064">
        <v>0.15</v>
      </c>
      <c r="E327" s="1064">
        <v>0.15</v>
      </c>
      <c r="F327" s="1065">
        <v>0.15</v>
      </c>
    </row>
    <row r="328" spans="1:6" ht="14.25" thickBot="1">
      <c r="A328" s="839" t="s">
        <v>1008</v>
      </c>
      <c r="B328" s="833" t="s">
        <v>310</v>
      </c>
      <c r="C328" s="1064">
        <v>0.15</v>
      </c>
      <c r="D328" s="1064">
        <v>0.15</v>
      </c>
      <c r="E328" s="1064">
        <v>0.15</v>
      </c>
      <c r="F328" s="1065">
        <v>0.14099999999999999</v>
      </c>
    </row>
    <row r="329" spans="1:6" ht="14.25" thickBot="1">
      <c r="A329" s="839" t="s">
        <v>1008</v>
      </c>
      <c r="B329" s="833" t="s">
        <v>320</v>
      </c>
      <c r="C329" s="1064">
        <v>0.15</v>
      </c>
      <c r="D329" s="1064">
        <v>0.15</v>
      </c>
      <c r="E329" s="1064">
        <v>0.15</v>
      </c>
      <c r="F329" s="1065">
        <v>0.15</v>
      </c>
    </row>
    <row r="330" spans="1:6" ht="14.25" thickBot="1">
      <c r="A330" s="839" t="s">
        <v>1008</v>
      </c>
      <c r="B330" s="833" t="s">
        <v>331</v>
      </c>
      <c r="C330" s="1064">
        <v>0.15</v>
      </c>
      <c r="D330" s="1064">
        <v>0.15</v>
      </c>
      <c r="E330" s="1064">
        <v>0.15</v>
      </c>
      <c r="F330" s="1076"/>
    </row>
    <row r="331" spans="1:6" ht="14.25" thickBot="1">
      <c r="A331" s="839" t="s">
        <v>1008</v>
      </c>
      <c r="B331" s="833" t="s">
        <v>1018</v>
      </c>
      <c r="C331" s="1064">
        <v>0.15</v>
      </c>
      <c r="D331" s="1064">
        <v>0.15</v>
      </c>
      <c r="E331" s="1064">
        <v>0.15</v>
      </c>
      <c r="F331" s="1065">
        <v>0.15</v>
      </c>
    </row>
    <row r="332" spans="1:6" ht="14.25" thickBot="1">
      <c r="A332" s="839" t="s">
        <v>1008</v>
      </c>
      <c r="B332" s="833" t="s">
        <v>352</v>
      </c>
      <c r="C332" s="1064">
        <v>0.15</v>
      </c>
      <c r="D332" s="1064">
        <v>0.15</v>
      </c>
      <c r="E332" s="1064">
        <v>0.15</v>
      </c>
      <c r="F332" s="1065">
        <v>0.15</v>
      </c>
    </row>
    <row r="333" spans="1:6" ht="14.25" thickBot="1">
      <c r="A333" s="839" t="s">
        <v>1008</v>
      </c>
      <c r="B333" s="833" t="s">
        <v>1019</v>
      </c>
      <c r="C333" s="1064">
        <v>0.15</v>
      </c>
      <c r="D333" s="1064">
        <v>0.15</v>
      </c>
      <c r="E333" s="1064">
        <v>0.15</v>
      </c>
      <c r="F333" s="1065">
        <v>0.14099999999999999</v>
      </c>
    </row>
    <row r="334" spans="1:6" ht="14.25" thickBot="1">
      <c r="A334" s="839" t="s">
        <v>1008</v>
      </c>
      <c r="B334" s="833" t="s">
        <v>372</v>
      </c>
      <c r="C334" s="1064">
        <v>0.15</v>
      </c>
      <c r="D334" s="1064">
        <v>0.15</v>
      </c>
      <c r="E334" s="1064">
        <v>0.15</v>
      </c>
      <c r="F334" s="1065">
        <v>0.15</v>
      </c>
    </row>
    <row r="335" spans="1:6" ht="14.25" thickBot="1">
      <c r="A335" s="839" t="s">
        <v>1008</v>
      </c>
      <c r="B335" s="833" t="s">
        <v>382</v>
      </c>
      <c r="C335" s="1064">
        <v>0.15</v>
      </c>
      <c r="D335" s="1064">
        <v>0.15</v>
      </c>
      <c r="E335" s="1064">
        <v>0.15</v>
      </c>
      <c r="F335" s="1076"/>
    </row>
    <row r="336" spans="1:6" ht="14.25" thickBot="1">
      <c r="A336" s="839" t="s">
        <v>1008</v>
      </c>
      <c r="B336" s="833" t="s">
        <v>1020</v>
      </c>
      <c r="C336" s="1064">
        <v>0.15</v>
      </c>
      <c r="D336" s="1064">
        <v>0.15</v>
      </c>
      <c r="E336" s="1064">
        <v>0.15</v>
      </c>
      <c r="F336" s="1065">
        <v>0.11799999999999999</v>
      </c>
    </row>
    <row r="337" spans="1:6" ht="14.25" thickBot="1">
      <c r="A337" s="849" t="s">
        <v>1008</v>
      </c>
      <c r="B337" s="845" t="s">
        <v>400</v>
      </c>
      <c r="C337" s="1074"/>
      <c r="D337" s="1074"/>
      <c r="E337" s="1074"/>
      <c r="F337" s="1067">
        <v>0.14299999999999999</v>
      </c>
    </row>
    <row r="338" spans="1:6" ht="14.25" thickBot="1">
      <c r="A338" s="839" t="s">
        <v>1021</v>
      </c>
      <c r="B338" s="840" t="s">
        <v>1022</v>
      </c>
      <c r="C338" s="1062">
        <v>0.15</v>
      </c>
      <c r="D338" s="1062">
        <v>0.15</v>
      </c>
      <c r="E338" s="1062">
        <v>0.15</v>
      </c>
      <c r="F338" s="1079"/>
    </row>
    <row r="339" spans="1:6" ht="14.25" thickBot="1">
      <c r="A339" s="839" t="s">
        <v>1021</v>
      </c>
      <c r="B339" s="833" t="s">
        <v>1023</v>
      </c>
      <c r="C339" s="1064">
        <v>0.15</v>
      </c>
      <c r="D339" s="1064">
        <v>0.15</v>
      </c>
      <c r="E339" s="1064">
        <v>0.15</v>
      </c>
      <c r="F339" s="1076"/>
    </row>
    <row r="340" spans="1:6" ht="14.25" thickBot="1">
      <c r="A340" s="839" t="s">
        <v>1021</v>
      </c>
      <c r="B340" s="833" t="s">
        <v>1024</v>
      </c>
      <c r="C340" s="1064">
        <v>0.15</v>
      </c>
      <c r="D340" s="1064">
        <v>0.15</v>
      </c>
      <c r="E340" s="1064">
        <v>0.15</v>
      </c>
      <c r="F340" s="1076"/>
    </row>
    <row r="341" spans="1:6" ht="14.25" thickBot="1">
      <c r="A341" s="839" t="s">
        <v>1021</v>
      </c>
      <c r="B341" s="833" t="s">
        <v>1025</v>
      </c>
      <c r="C341" s="1064">
        <v>0.15</v>
      </c>
      <c r="D341" s="1064">
        <v>0.15</v>
      </c>
      <c r="E341" s="1064">
        <v>0.15</v>
      </c>
      <c r="F341" s="1065">
        <v>0.15</v>
      </c>
    </row>
    <row r="342" spans="1:6" ht="14.25" thickBot="1">
      <c r="A342" s="839" t="s">
        <v>1021</v>
      </c>
      <c r="B342" s="833" t="s">
        <v>1026</v>
      </c>
      <c r="C342" s="1064">
        <v>0.15</v>
      </c>
      <c r="D342" s="1064">
        <v>0.15</v>
      </c>
      <c r="E342" s="1064">
        <v>0.15</v>
      </c>
      <c r="F342" s="1065">
        <v>0.15</v>
      </c>
    </row>
    <row r="343" spans="1:6" ht="14.25" thickBot="1">
      <c r="A343" s="839" t="s">
        <v>1021</v>
      </c>
      <c r="B343" s="833" t="s">
        <v>1027</v>
      </c>
      <c r="C343" s="1064">
        <v>0.15</v>
      </c>
      <c r="D343" s="1064">
        <v>0.15</v>
      </c>
      <c r="E343" s="1064">
        <v>0.15</v>
      </c>
      <c r="F343" s="1065">
        <v>0.15</v>
      </c>
    </row>
    <row r="344" spans="1:6" ht="14.25" thickBot="1">
      <c r="A344" s="849" t="s">
        <v>1021</v>
      </c>
      <c r="B344" s="845"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1300</v>
      </c>
      <c r="C1" s="1693">
        <f>项目基本情况!D3</f>
        <v>43132</v>
      </c>
      <c r="D1" s="1699" t="s">
        <v>1301</v>
      </c>
      <c r="E1" s="1694">
        <f>'数据-取费表'!B22</f>
        <v>2</v>
      </c>
      <c r="F1" s="1699" t="s">
        <v>1302</v>
      </c>
      <c r="G1" s="1695">
        <f ca="1">INDIRECT("d"&amp;$K$1)/100</f>
        <v>4.7500000000000001E-2</v>
      </c>
      <c r="H1" s="1699" t="s">
        <v>1332</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1303</v>
      </c>
      <c r="E2" s="1635"/>
      <c r="F2" s="1635" t="s">
        <v>1304</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1305</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1306</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1307</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1308</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1309</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1310</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1311</v>
      </c>
      <c r="C10" s="1663"/>
      <c r="D10" s="1663"/>
      <c r="E10" s="1663"/>
      <c r="F10" s="1663"/>
      <c r="G10" s="1663"/>
      <c r="H10" s="1663"/>
      <c r="I10" s="1637"/>
      <c r="J10" s="1637"/>
      <c r="K10" s="1663"/>
      <c r="L10" s="1664" t="s">
        <v>1312</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1313</v>
      </c>
      <c r="C11" s="1668" t="s">
        <v>1314</v>
      </c>
      <c r="D11" s="1669" t="s">
        <v>1315</v>
      </c>
      <c r="E11" s="1670"/>
      <c r="F11" s="1669" t="s">
        <v>1316</v>
      </c>
      <c r="G11" s="1671"/>
      <c r="H11" s="1670"/>
      <c r="I11" s="1669" t="s">
        <v>1317</v>
      </c>
      <c r="J11" s="1670"/>
      <c r="K11" s="1666"/>
      <c r="L11" s="1667" t="s">
        <v>1313</v>
      </c>
      <c r="M11" s="1668" t="s">
        <v>1314</v>
      </c>
      <c r="N11" s="1667" t="s">
        <v>1318</v>
      </c>
      <c r="O11" s="1669" t="s">
        <v>1319</v>
      </c>
      <c r="P11" s="1671"/>
      <c r="Q11" s="1671"/>
      <c r="R11" s="1671"/>
      <c r="S11" s="1671"/>
      <c r="T11" s="1670"/>
      <c r="U11" s="1669" t="s">
        <v>1320</v>
      </c>
      <c r="V11" s="1671"/>
      <c r="W11" s="1670"/>
      <c r="X11" s="1667" t="s">
        <v>1321</v>
      </c>
      <c r="Y11" s="1667" t="s">
        <v>1322</v>
      </c>
      <c r="Z11" s="1667" t="s">
        <v>1323</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1324</v>
      </c>
      <c r="E12" s="1676" t="s">
        <v>1325</v>
      </c>
      <c r="F12" s="1676" t="s">
        <v>1326</v>
      </c>
      <c r="G12" s="1676" t="s">
        <v>1327</v>
      </c>
      <c r="H12" s="1676" t="s">
        <v>1309</v>
      </c>
      <c r="I12" s="1677" t="s">
        <v>1328</v>
      </c>
      <c r="J12" s="1677" t="s">
        <v>1328</v>
      </c>
      <c r="K12" s="1673"/>
      <c r="L12" s="1674"/>
      <c r="M12" s="1675"/>
      <c r="N12" s="1674"/>
      <c r="O12" s="1677" t="s">
        <v>1329</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1330</v>
      </c>
      <c r="C13" s="1681">
        <v>42301</v>
      </c>
      <c r="D13" s="1682">
        <v>4.3499999999999996</v>
      </c>
      <c r="E13" s="1682">
        <v>4.3499999999999996</v>
      </c>
      <c r="F13" s="1682">
        <v>4.75</v>
      </c>
      <c r="G13" s="1682">
        <v>4.75</v>
      </c>
      <c r="H13" s="1682">
        <v>4.9000000000000004</v>
      </c>
      <c r="I13" s="1682">
        <v>2.75</v>
      </c>
      <c r="J13" s="1682">
        <v>3.25</v>
      </c>
      <c r="K13" s="1679"/>
      <c r="L13" s="1680" t="s">
        <v>1330</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1331</v>
      </c>
      <c r="Y42" s="1686" t="s">
        <v>1331</v>
      </c>
      <c r="Z42" s="1686" t="s">
        <v>1331</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1331</v>
      </c>
      <c r="Y43" s="1686" t="s">
        <v>1331</v>
      </c>
      <c r="Z43" s="1686" t="s">
        <v>1331</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1331</v>
      </c>
      <c r="Y44" s="1686" t="s">
        <v>1331</v>
      </c>
      <c r="Z44" s="1686" t="s">
        <v>1331</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1331</v>
      </c>
      <c r="Y45" s="1686" t="s">
        <v>1331</v>
      </c>
      <c r="Z45" s="1686" t="s">
        <v>1331</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1331</v>
      </c>
      <c r="Y46" s="1686" t="s">
        <v>1331</v>
      </c>
      <c r="Z46" s="1686" t="s">
        <v>1331</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1331</v>
      </c>
      <c r="Y47" s="1686" t="s">
        <v>1331</v>
      </c>
      <c r="Z47" s="1686" t="s">
        <v>1331</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1331</v>
      </c>
      <c r="Y48" s="1686" t="s">
        <v>1331</v>
      </c>
      <c r="Z48" s="1686" t="s">
        <v>1331</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1331</v>
      </c>
      <c r="Y49" s="1686" t="s">
        <v>1331</v>
      </c>
      <c r="Z49" s="1686" t="s">
        <v>1331</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1331</v>
      </c>
      <c r="Y50" s="1686" t="s">
        <v>1331</v>
      </c>
      <c r="Z50" s="1686" t="s">
        <v>1331</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1331</v>
      </c>
      <c r="V51" s="1686" t="s">
        <v>1331</v>
      </c>
      <c r="W51" s="1686" t="s">
        <v>1331</v>
      </c>
      <c r="X51" s="1686" t="s">
        <v>1331</v>
      </c>
      <c r="Y51" s="1686" t="s">
        <v>1331</v>
      </c>
      <c r="Z51" s="1686" t="s">
        <v>1331</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1331</v>
      </c>
      <c r="J55" s="1686" t="s">
        <v>1331</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1372</v>
      </c>
      <c r="E1" s="1774" t="s">
        <v>1376</v>
      </c>
      <c r="F1" s="1775" t="s">
        <v>1380</v>
      </c>
    </row>
    <row r="2" spans="1:13" ht="20.25">
      <c r="A2" s="1781" t="s">
        <v>1373</v>
      </c>
    </row>
    <row r="3" spans="1:13" ht="16.5">
      <c r="A3" s="1782" t="s">
        <v>1374</v>
      </c>
    </row>
    <row r="4" spans="1:13" ht="14.25">
      <c r="A4" s="1772" t="s">
        <v>1375</v>
      </c>
      <c r="B4" s="1777" t="s">
        <v>1377</v>
      </c>
      <c r="C4" s="1778"/>
      <c r="D4" s="1779"/>
      <c r="E4" s="1777" t="s">
        <v>27</v>
      </c>
      <c r="F4" s="1778"/>
      <c r="G4" s="1779"/>
      <c r="H4" s="1777" t="s">
        <v>1378</v>
      </c>
      <c r="I4" s="1778"/>
      <c r="J4" s="1779"/>
      <c r="K4" s="1777" t="s">
        <v>6</v>
      </c>
      <c r="L4" s="1778"/>
      <c r="M4" s="1779"/>
    </row>
    <row r="5" spans="1:13" ht="14.25">
      <c r="A5" s="1773" t="s">
        <v>1379</v>
      </c>
      <c r="B5" s="1772" t="s">
        <v>1381</v>
      </c>
      <c r="C5" s="1772" t="s">
        <v>1382</v>
      </c>
      <c r="D5" s="1772" t="s">
        <v>1383</v>
      </c>
      <c r="E5" s="1772" t="s">
        <v>1381</v>
      </c>
      <c r="F5" s="1772" t="s">
        <v>1382</v>
      </c>
      <c r="G5" s="1772" t="s">
        <v>1383</v>
      </c>
      <c r="H5" s="1772" t="s">
        <v>1381</v>
      </c>
      <c r="I5" s="1772" t="s">
        <v>1382</v>
      </c>
      <c r="J5" s="1772" t="s">
        <v>1383</v>
      </c>
      <c r="K5" s="1772" t="s">
        <v>1381</v>
      </c>
      <c r="L5" s="1772" t="s">
        <v>1382</v>
      </c>
      <c r="M5" s="1772" t="s">
        <v>1383</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202" workbookViewId="0">
      <selection activeCell="M175" sqref="A96:M175"/>
    </sheetView>
  </sheetViews>
  <sheetFormatPr defaultRowHeight="13.5"/>
  <sheetData/>
  <phoneticPr fontId="143" type="noConversion"/>
  <pageMargins left="0.7" right="0.7" top="0.75" bottom="0.75" header="0.3" footer="0.3"/>
  <pageSetup paperSize="9" scale="24"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3"/>
  <sheetViews>
    <sheetView workbookViewId="0">
      <selection activeCell="D14" sqref="D14"/>
    </sheetView>
  </sheetViews>
  <sheetFormatPr defaultRowHeight="13.5"/>
  <cols>
    <col min="5" max="5" width="11.625" bestFit="1" customWidth="1"/>
  </cols>
  <sheetData>
    <row r="2" spans="1:6">
      <c r="B2" s="3009" t="s">
        <v>3187</v>
      </c>
      <c r="C2" s="3009" t="s">
        <v>3188</v>
      </c>
      <c r="D2" s="3009" t="s">
        <v>3189</v>
      </c>
      <c r="E2" s="3009" t="s">
        <v>3190</v>
      </c>
    </row>
    <row r="3" spans="1:6">
      <c r="B3" t="s">
        <v>3110</v>
      </c>
      <c r="C3">
        <v>176.46</v>
      </c>
      <c r="D3">
        <v>128815</v>
      </c>
      <c r="E3" s="3010">
        <v>43646</v>
      </c>
      <c r="F3">
        <f>D3/365/C3</f>
        <v>1.9999875791634256</v>
      </c>
    </row>
    <row r="4" spans="1:6">
      <c r="B4" t="s">
        <v>3111</v>
      </c>
      <c r="C4">
        <v>214.88</v>
      </c>
      <c r="D4">
        <v>219607</v>
      </c>
      <c r="E4" s="3010">
        <v>44019</v>
      </c>
      <c r="F4">
        <f t="shared" ref="F4:F9" si="0">D4/365/C4</f>
        <v>2.799995409989902</v>
      </c>
    </row>
    <row r="5" spans="1:6">
      <c r="B5" t="s">
        <v>3130</v>
      </c>
      <c r="C5">
        <v>261.57</v>
      </c>
      <c r="D5">
        <v>267325</v>
      </c>
      <c r="E5" s="3010">
        <v>44119</v>
      </c>
      <c r="F5">
        <f t="shared" si="0"/>
        <v>2.8000048181135933</v>
      </c>
    </row>
    <row r="6" spans="1:6">
      <c r="B6" t="s">
        <v>3113</v>
      </c>
      <c r="C6">
        <v>99.71</v>
      </c>
      <c r="D6">
        <v>181971</v>
      </c>
      <c r="E6" s="3010">
        <v>44210</v>
      </c>
      <c r="F6">
        <f t="shared" si="0"/>
        <v>5.000006869235853</v>
      </c>
    </row>
    <row r="7" spans="1:6">
      <c r="B7" t="s">
        <v>3133</v>
      </c>
      <c r="C7">
        <v>208.67</v>
      </c>
      <c r="D7">
        <v>152329</v>
      </c>
      <c r="E7" s="3010">
        <v>43719</v>
      </c>
      <c r="F7">
        <f t="shared" si="0"/>
        <v>1.9999986870532289</v>
      </c>
    </row>
    <row r="8" spans="1:6">
      <c r="B8" t="s">
        <v>3139</v>
      </c>
      <c r="C8">
        <v>241.95</v>
      </c>
      <c r="D8">
        <v>176623</v>
      </c>
      <c r="E8" s="3010">
        <v>43815</v>
      </c>
      <c r="F8">
        <f t="shared" si="0"/>
        <v>1.9999943382392491</v>
      </c>
    </row>
    <row r="9" spans="1:6">
      <c r="B9" t="s">
        <v>3140</v>
      </c>
      <c r="C9">
        <v>286.64999999999998</v>
      </c>
      <c r="D9">
        <v>209254</v>
      </c>
      <c r="E9" s="3010">
        <v>43861</v>
      </c>
      <c r="F9">
        <f t="shared" si="0"/>
        <v>1.9999952211302505</v>
      </c>
    </row>
    <row r="10" spans="1:6">
      <c r="C10">
        <f>SUM(C3:C9)</f>
        <v>1489.8899999999999</v>
      </c>
      <c r="D10">
        <f>SUM(D3:D9)</f>
        <v>1335924</v>
      </c>
    </row>
    <row r="11" spans="1:6">
      <c r="D11">
        <f>ROUND(D10/C10/365,1)</f>
        <v>2.5</v>
      </c>
    </row>
    <row r="12" spans="1:6">
      <c r="B12" s="3009" t="s">
        <v>3195</v>
      </c>
      <c r="C12" s="3009" t="s">
        <v>3193</v>
      </c>
      <c r="D12" s="3009" t="s">
        <v>3194</v>
      </c>
    </row>
    <row r="13" spans="1:6">
      <c r="A13" s="3009" t="s">
        <v>3192</v>
      </c>
      <c r="B13" s="3009">
        <f>典型户型修正!B24+典型户型修正!B30+典型户型修正!B32+典型户型修正!B34+典型户型修正!B35+典型户型修正!B38+典型户型修正!B40+典型户型修正!B42+典型户型修正!B43</f>
        <v>1131.6200000000001</v>
      </c>
      <c r="C13">
        <v>1</v>
      </c>
      <c r="D13">
        <f>'比较法-租金'!C49</f>
        <v>6.7</v>
      </c>
    </row>
    <row r="14" spans="1:6">
      <c r="B14">
        <f>'数据-汇总表'!E3-租赁情况!B13</f>
        <v>3031.8500000000004</v>
      </c>
      <c r="C14" s="3012" t="s">
        <v>3191</v>
      </c>
      <c r="D14">
        <f>ROUND(D13*0.85,1)</f>
        <v>5.7</v>
      </c>
    </row>
    <row r="17" spans="1:4">
      <c r="C17" s="3009" t="s">
        <v>3199</v>
      </c>
      <c r="D17" s="3009" t="s">
        <v>3200</v>
      </c>
    </row>
    <row r="18" spans="1:4">
      <c r="A18" s="2951" t="s">
        <v>3183</v>
      </c>
      <c r="B18" s="57">
        <v>1489.8899999999999</v>
      </c>
    </row>
    <row r="19" spans="1:4">
      <c r="A19" s="2951" t="s">
        <v>3196</v>
      </c>
      <c r="B19" s="57">
        <f>'数据-基础表'!I23</f>
        <v>99.71</v>
      </c>
      <c r="C19">
        <f>D13</f>
        <v>6.7</v>
      </c>
      <c r="D19">
        <f>ROUND((B19*C19+B20*C20)/B18,1)</f>
        <v>5.8</v>
      </c>
    </row>
    <row r="20" spans="1:4">
      <c r="A20" s="2951" t="s">
        <v>3197</v>
      </c>
      <c r="B20" s="57">
        <f>B18-B19</f>
        <v>1390.1799999999998</v>
      </c>
      <c r="C20">
        <f>D14</f>
        <v>5.7</v>
      </c>
    </row>
    <row r="21" spans="1:4">
      <c r="A21" s="2996" t="s">
        <v>3184</v>
      </c>
      <c r="B21" s="57">
        <v>2673.5800000000004</v>
      </c>
    </row>
    <row r="22" spans="1:4">
      <c r="A22" s="3013" t="s">
        <v>3198</v>
      </c>
      <c r="B22">
        <f>'数据-基础表'!I15+'数据-基础表'!I19+'数据-基础表'!I21+'数据-基础表'!I24+'数据-基础表'!I27+'数据-基础表'!I29+'数据-基础表'!I31+'数据-基础表'!I32</f>
        <v>1031.9100000000001</v>
      </c>
      <c r="C22">
        <f>C19</f>
        <v>6.7</v>
      </c>
      <c r="D22">
        <f>ROUND((B22*C22+B23*C23)/B21,1)</f>
        <v>6.1</v>
      </c>
    </row>
    <row r="23" spans="1:4">
      <c r="A23" s="3013" t="s">
        <v>3197</v>
      </c>
      <c r="B23">
        <f>B21-B22</f>
        <v>1641.6700000000003</v>
      </c>
      <c r="C23">
        <f>C20</f>
        <v>5.7</v>
      </c>
    </row>
  </sheetData>
  <phoneticPr fontId="143"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D5" sqref="D5"/>
    </sheetView>
  </sheetViews>
  <sheetFormatPr defaultRowHeight="13.5"/>
  <sheetData>
    <row r="1" spans="1:5" ht="18.75">
      <c r="A1" s="2987" t="s">
        <v>3164</v>
      </c>
    </row>
    <row r="2" spans="1:5" ht="14.25" thickBot="1">
      <c r="A2" s="2988" t="s">
        <v>3165</v>
      </c>
    </row>
    <row r="3" spans="1:5" ht="28.5" customHeight="1" thickTop="1">
      <c r="A3" s="3343" t="s">
        <v>3166</v>
      </c>
      <c r="B3" s="3343" t="s">
        <v>3167</v>
      </c>
      <c r="C3" s="3343" t="s">
        <v>3168</v>
      </c>
      <c r="D3" s="3345" t="s">
        <v>3169</v>
      </c>
      <c r="E3" s="3346"/>
    </row>
    <row r="4" spans="1:5" ht="28.5">
      <c r="A4" s="3344"/>
      <c r="B4" s="3344"/>
      <c r="C4" s="3344"/>
      <c r="D4" s="2989" t="s">
        <v>3170</v>
      </c>
      <c r="E4" s="2989" t="s">
        <v>3171</v>
      </c>
    </row>
    <row r="5" spans="1:5" ht="131.25">
      <c r="A5" s="2990" t="s">
        <v>3172</v>
      </c>
      <c r="B5" s="2991">
        <v>6824.83</v>
      </c>
      <c r="C5" s="2991">
        <v>2273.41</v>
      </c>
      <c r="D5" s="2991">
        <v>27182</v>
      </c>
      <c r="E5" s="2991">
        <v>39828</v>
      </c>
    </row>
    <row r="6" spans="1:5" ht="28.5" customHeight="1" thickBot="1">
      <c r="A6" s="3347" t="s">
        <v>3173</v>
      </c>
      <c r="B6" s="3348"/>
      <c r="C6" s="3349"/>
      <c r="D6" s="3347" t="s">
        <v>3174</v>
      </c>
      <c r="E6" s="3349"/>
    </row>
    <row r="7" spans="1:5" ht="18.75" thickTop="1">
      <c r="A7" s="2992"/>
    </row>
    <row r="8" spans="1:5" ht="18">
      <c r="A8" s="2992"/>
    </row>
    <row r="9" spans="1:5" ht="18">
      <c r="A9" s="2992"/>
    </row>
    <row r="10" spans="1:5" ht="18">
      <c r="A10" s="2992"/>
    </row>
    <row r="11" spans="1:5" ht="18">
      <c r="A11" s="2992"/>
    </row>
    <row r="12" spans="1:5" ht="18">
      <c r="A12" s="2992"/>
    </row>
    <row r="13" spans="1:5" ht="18.75">
      <c r="A13" s="2993" t="s">
        <v>3175</v>
      </c>
    </row>
    <row r="14" spans="1:5" ht="18.75">
      <c r="A14" s="2994" t="s">
        <v>3176</v>
      </c>
    </row>
    <row r="15" spans="1:5" ht="18.75">
      <c r="A15" s="2995" t="s">
        <v>3177</v>
      </c>
    </row>
    <row r="16" spans="1:5" ht="18">
      <c r="A16" s="2995" t="s">
        <v>3178</v>
      </c>
    </row>
    <row r="17" spans="1:1" ht="18.75">
      <c r="A17" s="1953" t="s">
        <v>3179</v>
      </c>
    </row>
  </sheetData>
  <mergeCells count="6">
    <mergeCell ref="A3:A4"/>
    <mergeCell ref="B3:B4"/>
    <mergeCell ref="C3:C4"/>
    <mergeCell ref="D3:E3"/>
    <mergeCell ref="A6:C6"/>
    <mergeCell ref="D6:E6"/>
  </mergeCells>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3" customWidth="1"/>
    <col min="2" max="9" width="12.125" style="1943" customWidth="1"/>
    <col min="10" max="16384" width="9" style="1943"/>
  </cols>
  <sheetData>
    <row r="1" spans="1:9" ht="18.75" thickBot="1">
      <c r="A1" s="3027" t="str">
        <f>IF(项目基本情况!B9="房地产市场价值","估价结果一览表","结果表-2")</f>
        <v>结果表-2</v>
      </c>
      <c r="B1" s="3027"/>
      <c r="C1" s="3027"/>
      <c r="D1" s="3027"/>
      <c r="E1" s="3027"/>
      <c r="F1" s="3027"/>
      <c r="G1" s="3027"/>
      <c r="H1" s="3027"/>
      <c r="I1" s="3027"/>
    </row>
    <row r="2" spans="1:9" ht="30" customHeight="1" thickTop="1">
      <c r="A2" s="3028" t="s">
        <v>1641</v>
      </c>
      <c r="B2" s="3028" t="s">
        <v>1642</v>
      </c>
      <c r="C2" s="3028" t="s">
        <v>1643</v>
      </c>
      <c r="D2" s="3028" t="str">
        <f>结果表!D116</f>
        <v>出让国有建设用地使用权价值</v>
      </c>
      <c r="E2" s="3028"/>
      <c r="F2" s="3028" t="str">
        <f>结果表!F116</f>
        <v>建筑物价值</v>
      </c>
      <c r="G2" s="3028"/>
      <c r="H2" s="3028" t="str">
        <f>IF(项目基本情况!B9="房地产市场价值","房地产市场价值","房地产价值")</f>
        <v>房地产价值</v>
      </c>
      <c r="I2" s="3028"/>
    </row>
    <row r="3" spans="1:9" ht="15">
      <c r="A3" s="3029"/>
      <c r="B3" s="3029"/>
      <c r="C3" s="3029"/>
      <c r="D3" s="1045" t="s">
        <v>1638</v>
      </c>
      <c r="E3" s="1045" t="s">
        <v>1644</v>
      </c>
      <c r="F3" s="1045" t="s">
        <v>1638</v>
      </c>
      <c r="G3" s="1045" t="s">
        <v>1639</v>
      </c>
      <c r="H3" s="1045" t="s">
        <v>1638</v>
      </c>
      <c r="I3" s="1045" t="s">
        <v>1639</v>
      </c>
    </row>
    <row r="4" spans="1:9" ht="30">
      <c r="A4" s="1971" t="str">
        <f>项目基本情况!S2</f>
        <v>北京市丰台区马家堡东路168号院6号楼房地产</v>
      </c>
      <c r="B4" s="1045">
        <f>项目基本情况!C17</f>
        <v>4163.47</v>
      </c>
      <c r="C4" s="1045">
        <f>项目基本情况!C18</f>
        <v>1606.66</v>
      </c>
      <c r="D4" s="1045">
        <f ca="1">结果表!D118</f>
        <v>15161</v>
      </c>
      <c r="E4" s="1045">
        <f ca="1">结果表!E118</f>
        <v>36414</v>
      </c>
      <c r="F4" s="1045">
        <f ca="1">结果表!F118</f>
        <v>1656</v>
      </c>
      <c r="G4" s="1045">
        <f ca="1">结果表!G118</f>
        <v>3977</v>
      </c>
      <c r="H4" s="1045">
        <f ca="1">结果表!H118</f>
        <v>16817</v>
      </c>
      <c r="I4" s="1045">
        <f ca="1">结果表!I118</f>
        <v>40392</v>
      </c>
    </row>
    <row r="5" spans="1:9" ht="30" customHeight="1">
      <c r="A5" s="3029" t="s">
        <v>1640</v>
      </c>
      <c r="B5" s="3029"/>
      <c r="C5" s="3029"/>
      <c r="D5" s="3030" t="str">
        <f ca="1">结果表!D119</f>
        <v>壹亿伍仟壹佰陆拾壹万元整</v>
      </c>
      <c r="E5" s="3030"/>
      <c r="F5" s="3030" t="str">
        <f ca="1">结果表!F119</f>
        <v>壹仟陆佰伍拾陆万元整</v>
      </c>
      <c r="G5" s="3030"/>
      <c r="H5" s="3030" t="str">
        <f ca="1">结果表!H119</f>
        <v>壹亿陆仟捌佰壹拾柒万元整</v>
      </c>
      <c r="I5" s="3030"/>
    </row>
    <row r="6" spans="1:9" ht="15.75">
      <c r="A6" s="3031" t="str">
        <f>结果表!A120</f>
        <v>估价师知悉的法定优先受偿款</v>
      </c>
      <c r="B6" s="3031"/>
      <c r="C6" s="3031"/>
      <c r="D6" s="3031">
        <f>结果表!D120</f>
        <v>0</v>
      </c>
      <c r="E6" s="3031"/>
      <c r="F6" s="3031"/>
      <c r="G6" s="3031"/>
      <c r="H6" s="3031"/>
      <c r="I6" s="3031"/>
    </row>
    <row r="7" spans="1:9" ht="15">
      <c r="A7" s="3029" t="s">
        <v>1640</v>
      </c>
      <c r="B7" s="3029"/>
      <c r="C7" s="3029"/>
      <c r="D7" s="3032" t="str">
        <f>结果表!D121</f>
        <v>零元整</v>
      </c>
      <c r="E7" s="3033"/>
      <c r="F7" s="3033"/>
      <c r="G7" s="3033"/>
      <c r="H7" s="3033"/>
      <c r="I7" s="3034"/>
    </row>
    <row r="8" spans="1:9" ht="15.75">
      <c r="A8" s="3031" t="str">
        <f>结果表!A122</f>
        <v>房地产抵押价值</v>
      </c>
      <c r="B8" s="3031"/>
      <c r="C8" s="3031"/>
      <c r="D8" s="3031">
        <f ca="1">结果表!D122</f>
        <v>16817</v>
      </c>
      <c r="E8" s="3031"/>
      <c r="F8" s="3031"/>
      <c r="G8" s="3031"/>
      <c r="H8" s="3031"/>
      <c r="I8" s="3031"/>
    </row>
    <row r="9" spans="1:9" ht="15">
      <c r="A9" s="3029" t="s">
        <v>1640</v>
      </c>
      <c r="B9" s="3029"/>
      <c r="C9" s="3029"/>
      <c r="D9" s="3030" t="str">
        <f ca="1">结果表!D123</f>
        <v>壹亿陆仟捌佰壹拾柒万元整</v>
      </c>
      <c r="E9" s="3030"/>
      <c r="F9" s="3030"/>
      <c r="G9" s="3030"/>
      <c r="H9" s="3030"/>
      <c r="I9" s="3030"/>
    </row>
    <row r="10" spans="1:9" ht="15.75">
      <c r="A10" s="3031" t="str">
        <f>结果表!A124</f>
        <v/>
      </c>
      <c r="B10" s="3031"/>
      <c r="C10" s="3031"/>
      <c r="D10" s="3031" t="str">
        <f>结果表!D124</f>
        <v>——</v>
      </c>
      <c r="E10" s="3031"/>
      <c r="F10" s="3031"/>
      <c r="G10" s="3031"/>
      <c r="H10" s="3031"/>
      <c r="I10" s="3031"/>
    </row>
    <row r="11" spans="1:9" ht="15">
      <c r="A11" s="3029" t="s">
        <v>1640</v>
      </c>
      <c r="B11" s="3029"/>
      <c r="C11" s="3029"/>
      <c r="D11" s="3030" t="e">
        <f>结果表!D125</f>
        <v>#VALUE!</v>
      </c>
      <c r="E11" s="3030"/>
      <c r="F11" s="3030"/>
      <c r="G11" s="3030"/>
      <c r="H11" s="3030"/>
      <c r="I11" s="3030"/>
    </row>
    <row r="12" spans="1:9" ht="15.75">
      <c r="A12" s="3031" t="str">
        <f>结果表!A126</f>
        <v/>
      </c>
      <c r="B12" s="3031"/>
      <c r="C12" s="3031"/>
      <c r="D12" s="3031" t="str">
        <f>结果表!D126</f>
        <v>——</v>
      </c>
      <c r="E12" s="3031"/>
      <c r="F12" s="3031"/>
      <c r="G12" s="3031"/>
      <c r="H12" s="3031"/>
      <c r="I12" s="3031"/>
    </row>
    <row r="13" spans="1:9" ht="15.75" thickBot="1">
      <c r="A13" s="3035" t="s">
        <v>1640</v>
      </c>
      <c r="B13" s="3035"/>
      <c r="C13" s="3035"/>
      <c r="D13" s="3036" t="e">
        <f>结果表!D127</f>
        <v>#VALUE!</v>
      </c>
      <c r="E13" s="3036"/>
      <c r="F13" s="3036"/>
      <c r="G13" s="3036"/>
      <c r="H13" s="3036"/>
      <c r="I13" s="3036"/>
    </row>
    <row r="14" spans="1:9" ht="15" thickTop="1">
      <c r="A14" s="3037" t="s">
        <v>1645</v>
      </c>
      <c r="B14" s="3037"/>
      <c r="C14" s="3037"/>
      <c r="D14" s="3037"/>
      <c r="E14" s="3037"/>
      <c r="F14" s="3037"/>
      <c r="G14" s="3037"/>
      <c r="H14" s="3037"/>
      <c r="I14" s="3037"/>
    </row>
    <row r="16" spans="1:9" ht="18.75">
      <c r="A16" s="1972" t="s">
        <v>1628</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3" customWidth="1"/>
    <col min="2" max="3" width="22.375" style="1943" customWidth="1"/>
    <col min="4" max="4" width="23" style="1943" customWidth="1"/>
    <col min="5" max="16384" width="9" style="1943"/>
  </cols>
  <sheetData>
    <row r="1" spans="1:4" ht="18.75">
      <c r="A1" s="3038" t="s">
        <v>1662</v>
      </c>
      <c r="B1" s="3038"/>
      <c r="C1" s="3038"/>
      <c r="D1" s="3038"/>
    </row>
    <row r="2" spans="1:4" ht="18">
      <c r="A2" s="3039" t="s">
        <v>1646</v>
      </c>
      <c r="B2" s="3039"/>
      <c r="C2" s="3039"/>
      <c r="D2" s="3039"/>
    </row>
    <row r="3" spans="1:4" ht="18.75">
      <c r="A3" s="1975" t="s">
        <v>1647</v>
      </c>
      <c r="B3" s="1975" t="s">
        <v>1648</v>
      </c>
      <c r="C3" s="1975" t="s">
        <v>1649</v>
      </c>
      <c r="D3" s="1975" t="s">
        <v>1650</v>
      </c>
    </row>
    <row r="4" spans="1:4" ht="56.25" customHeight="1">
      <c r="A4" s="1976" t="str">
        <f>项目基本情况!B4</f>
        <v>欧红伟</v>
      </c>
      <c r="B4" s="1977">
        <f ca="1">项目基本情况!C4</f>
        <v>1120000080</v>
      </c>
      <c r="C4" s="1978"/>
      <c r="D4" s="1979" t="s">
        <v>1651</v>
      </c>
    </row>
    <row r="5" spans="1:4" ht="56.25" customHeight="1">
      <c r="A5" s="1976" t="str">
        <f>项目基本情况!D4</f>
        <v>崔锴</v>
      </c>
      <c r="B5" s="1977">
        <f ca="1">项目基本情况!E4</f>
        <v>1120100036</v>
      </c>
      <c r="C5" s="1980"/>
      <c r="D5" s="1979" t="s">
        <v>1651</v>
      </c>
    </row>
    <row r="6" spans="1:4" ht="18">
      <c r="A6" s="3039" t="s">
        <v>1652</v>
      </c>
      <c r="B6" s="3039"/>
      <c r="C6" s="3039"/>
      <c r="D6" s="3039"/>
    </row>
    <row r="7" spans="1:4" ht="18.75">
      <c r="A7" s="1975" t="s">
        <v>1647</v>
      </c>
      <c r="B7" s="1977" t="s">
        <v>1653</v>
      </c>
      <c r="C7" s="1975" t="s">
        <v>1649</v>
      </c>
      <c r="D7" s="1975" t="s">
        <v>1650</v>
      </c>
    </row>
    <row r="8" spans="1:4" ht="56.25" customHeight="1">
      <c r="A8" s="1981" t="s">
        <v>869</v>
      </c>
      <c r="B8" s="1981" t="s">
        <v>1</v>
      </c>
      <c r="C8" s="1978"/>
      <c r="D8" s="1979" t="s">
        <v>1651</v>
      </c>
    </row>
    <row r="9" spans="1:4">
      <c r="A9" s="727"/>
      <c r="B9" s="727"/>
      <c r="C9" s="727"/>
      <c r="D9" s="727"/>
    </row>
    <row r="10" spans="1:4" ht="18.75">
      <c r="A10" s="1982" t="s">
        <v>1654</v>
      </c>
      <c r="B10" s="727"/>
      <c r="C10" s="727"/>
      <c r="D10" s="727"/>
    </row>
    <row r="11" spans="1:4" ht="30" customHeight="1">
      <c r="A11" s="3040" t="s">
        <v>1655</v>
      </c>
      <c r="B11" s="3041"/>
      <c r="C11" s="3041"/>
      <c r="D11" s="3041"/>
    </row>
    <row r="12" spans="1:4" ht="15.75">
      <c r="A12" s="304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42"/>
      <c r="C12" s="3042"/>
      <c r="D12" s="3042"/>
    </row>
    <row r="13" spans="1:4" ht="30" customHeight="1">
      <c r="A13" s="304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42"/>
      <c r="C13" s="3042"/>
      <c r="D13" s="3042"/>
    </row>
    <row r="14" spans="1:4" ht="15.75" customHeight="1">
      <c r="A14" s="3041" t="str">
        <f>IF(项目基本情况!B8="抵押","4.本次评估估价师所知悉的法定优先受偿款情况说明如下：","——")</f>
        <v>4.本次评估估价师所知悉的法定优先受偿款情况说明如下：</v>
      </c>
      <c r="B14" s="3042"/>
      <c r="C14" s="3042"/>
      <c r="D14" s="3042"/>
    </row>
    <row r="15" spans="1:4" ht="42" customHeight="1">
      <c r="A15" s="3041" t="str">
        <f>IF(项目基本情况!B8="抵押","（1）"&amp;CONCATENATE(项目基本情况!L20,项目基本情况!L21,项目基本情况!L22),"——")</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41"/>
      <c r="C15" s="3041"/>
      <c r="D15" s="3041"/>
    </row>
    <row r="16" spans="1:4" ht="30" customHeight="1">
      <c r="A16" s="3044" t="s">
        <v>1656</v>
      </c>
      <c r="B16" s="3044"/>
      <c r="C16" s="3044"/>
      <c r="D16" s="3044"/>
    </row>
    <row r="17" spans="1:4" ht="144" customHeight="1">
      <c r="A17" s="3044" t="s">
        <v>1657</v>
      </c>
      <c r="B17" s="3044"/>
      <c r="C17" s="3044"/>
      <c r="D17" s="3044"/>
    </row>
    <row r="18" spans="1:4" ht="15.75" customHeight="1">
      <c r="A18" s="3041" t="str">
        <f>IF(项目基本情况!B8="抵押",结果表!K120,"——")</f>
        <v>故，本次评估不存在估价师知悉的法定优先受偿款</v>
      </c>
      <c r="B18" s="3041"/>
      <c r="C18" s="3041"/>
      <c r="D18" s="3041"/>
    </row>
    <row r="19" spans="1:4" ht="46.5" customHeight="1">
      <c r="A19" s="304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41"/>
      <c r="C19" s="3041"/>
      <c r="D19" s="3041"/>
    </row>
    <row r="20" spans="1:4" ht="57.75" customHeight="1">
      <c r="A20" s="304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41"/>
      <c r="C20" s="3041"/>
      <c r="D20" s="3041"/>
    </row>
    <row r="21" spans="1:4" ht="57.75" customHeight="1">
      <c r="A21" s="304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45"/>
      <c r="C21" s="3045"/>
      <c r="D21" s="3045"/>
    </row>
    <row r="22" spans="1:4" ht="18.75" customHeight="1">
      <c r="A22" s="3046" t="s">
        <v>1658</v>
      </c>
      <c r="B22" s="3046"/>
      <c r="C22" s="3046"/>
      <c r="D22" s="3046"/>
    </row>
    <row r="23" spans="1:4">
      <c r="A23" s="1983"/>
      <c r="B23" s="1955"/>
      <c r="C23" s="1955"/>
      <c r="D23" s="1955"/>
    </row>
    <row r="24" spans="1:4">
      <c r="A24" s="1983"/>
      <c r="B24" s="1955"/>
      <c r="C24" s="1955"/>
      <c r="D24" s="1955"/>
    </row>
    <row r="25" spans="1:4" ht="18.75">
      <c r="A25" s="1984" t="s">
        <v>1659</v>
      </c>
    </row>
    <row r="26" spans="1:4" ht="18">
      <c r="A26" s="1953"/>
    </row>
    <row r="27" spans="1:4" ht="18.75">
      <c r="A27" s="1953" t="s">
        <v>1660</v>
      </c>
    </row>
    <row r="30" spans="1:4" ht="18.75">
      <c r="D30" s="1984" t="s">
        <v>1661</v>
      </c>
    </row>
    <row r="31" spans="1:4" ht="13.5" customHeight="1">
      <c r="C31" s="3043">
        <v>42551</v>
      </c>
      <c r="D31" s="304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1" customWidth="1"/>
    <col min="3" max="10" width="12.5" style="1941" customWidth="1"/>
    <col min="11" max="16384" width="9" style="1941"/>
  </cols>
  <sheetData>
    <row r="1" spans="1:10" ht="18.75">
      <c r="A1" s="1974" t="s">
        <v>870</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1" customWidth="1"/>
    <col min="2" max="16384" width="14.5" style="1973"/>
  </cols>
  <sheetData>
    <row r="1" spans="1:7" s="1988" customFormat="1" ht="18.75">
      <c r="A1" s="1987" t="s">
        <v>1663</v>
      </c>
    </row>
    <row r="3" spans="1:7">
      <c r="A3" s="1989" t="s">
        <v>82</v>
      </c>
      <c r="B3" s="1973" t="s">
        <v>1664</v>
      </c>
      <c r="G3" s="1990"/>
    </row>
    <row r="4" spans="1:7">
      <c r="G4" s="1990"/>
    </row>
    <row r="5" spans="1:7">
      <c r="A5" s="1992" t="s">
        <v>73</v>
      </c>
      <c r="B5" s="1973" t="s">
        <v>1665</v>
      </c>
      <c r="G5" s="1990"/>
    </row>
    <row r="6" spans="1:7">
      <c r="G6" s="1990"/>
    </row>
    <row r="7" spans="1:7">
      <c r="A7" s="1993" t="s">
        <v>135</v>
      </c>
      <c r="B7" s="1973" t="s">
        <v>1666</v>
      </c>
      <c r="G7" s="1990"/>
    </row>
    <row r="8" spans="1:7">
      <c r="G8" s="1990"/>
    </row>
    <row r="9" spans="1:7">
      <c r="A9" s="1994" t="s">
        <v>74</v>
      </c>
      <c r="B9" s="1973" t="s">
        <v>1667</v>
      </c>
    </row>
    <row r="11" spans="1:7">
      <c r="A11" s="1995" t="s">
        <v>75</v>
      </c>
      <c r="B11" s="1996" t="s">
        <v>72</v>
      </c>
    </row>
    <row r="13" spans="1:7">
      <c r="A13" s="1997" t="s">
        <v>1668</v>
      </c>
    </row>
    <row r="15" spans="1:7" ht="13.5">
      <c r="A15" s="3052" t="s">
        <v>1669</v>
      </c>
      <c r="B15" s="3047" t="s">
        <v>136</v>
      </c>
      <c r="C15" s="3048"/>
    </row>
    <row r="16" spans="1:7" ht="13.5">
      <c r="A16" s="3053"/>
      <c r="B16" s="3047" t="s">
        <v>69</v>
      </c>
      <c r="C16" s="3048"/>
    </row>
    <row r="17" spans="1:3" ht="13.5">
      <c r="A17" s="3053"/>
      <c r="B17" s="3050" t="s">
        <v>1670</v>
      </c>
      <c r="C17" s="1998" t="s">
        <v>1669</v>
      </c>
    </row>
    <row r="18" spans="1:3" ht="13.5">
      <c r="A18" s="3053"/>
      <c r="B18" s="3050"/>
      <c r="C18" s="1998" t="s">
        <v>1671</v>
      </c>
    </row>
    <row r="19" spans="1:3" ht="13.5">
      <c r="A19" s="3053"/>
      <c r="B19" s="3050"/>
      <c r="C19" s="1998" t="s">
        <v>1672</v>
      </c>
    </row>
    <row r="20" spans="1:3" ht="13.5">
      <c r="A20" s="3054"/>
      <c r="B20" s="3049" t="s">
        <v>1673</v>
      </c>
      <c r="C20" s="3048"/>
    </row>
    <row r="21" spans="1:3" ht="13.5">
      <c r="A21" s="1999" t="s">
        <v>1674</v>
      </c>
      <c r="B21" s="2000"/>
      <c r="C21" s="2001"/>
    </row>
    <row r="22" spans="1:3" ht="13.5">
      <c r="A22" s="3051" t="s">
        <v>1675</v>
      </c>
      <c r="B22" s="3049" t="s">
        <v>1676</v>
      </c>
      <c r="C22" s="3048"/>
    </row>
    <row r="23" spans="1:3" ht="13.5">
      <c r="A23" s="3051"/>
      <c r="B23" s="3049" t="s">
        <v>1677</v>
      </c>
      <c r="C23" s="3048"/>
    </row>
    <row r="24" spans="1:3" ht="13.5">
      <c r="A24" s="3051"/>
      <c r="B24" s="3049" t="s">
        <v>1678</v>
      </c>
      <c r="C24" s="3048"/>
    </row>
    <row r="25" spans="1:3" ht="13.5">
      <c r="A25" s="3051"/>
      <c r="B25" s="3050" t="s">
        <v>1679</v>
      </c>
      <c r="C25" s="1998" t="s">
        <v>1680</v>
      </c>
    </row>
    <row r="26" spans="1:3" ht="13.5">
      <c r="A26" s="3051"/>
      <c r="B26" s="3050"/>
      <c r="C26" s="1998" t="s">
        <v>1681</v>
      </c>
    </row>
    <row r="27" spans="1:3" ht="13.5">
      <c r="A27" s="3051"/>
      <c r="B27" s="3050"/>
      <c r="C27" s="1998" t="s">
        <v>1682</v>
      </c>
    </row>
    <row r="28" spans="1:3" ht="13.5">
      <c r="A28" s="3051"/>
      <c r="B28" s="3050"/>
      <c r="C28" s="1998" t="s">
        <v>1683</v>
      </c>
    </row>
    <row r="29" spans="1:3" ht="13.5">
      <c r="A29" s="3051"/>
      <c r="B29" s="3050"/>
      <c r="C29" s="1998" t="s">
        <v>1684</v>
      </c>
    </row>
    <row r="30" spans="1:3" ht="13.5">
      <c r="A30" s="3051"/>
      <c r="B30" s="3050"/>
      <c r="C30" s="1998" t="s">
        <v>1685</v>
      </c>
    </row>
    <row r="31" spans="1:3" ht="13.5">
      <c r="A31" s="3051"/>
      <c r="B31" s="3050"/>
      <c r="C31" s="1998" t="s">
        <v>1686</v>
      </c>
    </row>
    <row r="32" spans="1:3" ht="13.5">
      <c r="A32" s="3051"/>
      <c r="B32" s="3050"/>
      <c r="C32" s="1998" t="s">
        <v>1687</v>
      </c>
    </row>
    <row r="33" spans="1:3" ht="13.5">
      <c r="A33" s="3051"/>
      <c r="B33" s="3050"/>
      <c r="C33" s="1998" t="s">
        <v>1688</v>
      </c>
    </row>
    <row r="34" spans="1:3">
      <c r="A34" s="2002" t="s">
        <v>76</v>
      </c>
    </row>
    <row r="37" spans="1:3">
      <c r="A37" s="2002" t="s">
        <v>1689</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43133</v>
      </c>
      <c r="C2" s="1021" t="s">
        <v>826</v>
      </c>
      <c r="D2" s="1021"/>
    </row>
    <row r="3" spans="1:6" ht="24" customHeight="1">
      <c r="A3" s="1022" t="s">
        <v>827</v>
      </c>
      <c r="B3" s="1023" t="s">
        <v>828</v>
      </c>
      <c r="C3" s="2342" t="s">
        <v>829</v>
      </c>
      <c r="D3" s="2345" t="s">
        <v>830</v>
      </c>
      <c r="E3" s="1024" t="s">
        <v>831</v>
      </c>
      <c r="F3" s="1023" t="s">
        <v>829</v>
      </c>
    </row>
    <row r="4" spans="1:6" ht="24" customHeight="1">
      <c r="A4" s="1701" t="s">
        <v>832</v>
      </c>
      <c r="B4" s="1024">
        <f ca="1">IF(C4&lt;B2,"已过期",1119970066)</f>
        <v>1119970066</v>
      </c>
      <c r="C4" s="2343">
        <v>43849</v>
      </c>
      <c r="D4" s="2346" t="s">
        <v>832</v>
      </c>
      <c r="E4" s="1024">
        <f ca="1">IF(F4&lt;B2,"已过期",96010014)</f>
        <v>96010014</v>
      </c>
      <c r="F4" s="1032">
        <v>47118</v>
      </c>
    </row>
    <row r="5" spans="1:6" ht="24" customHeight="1">
      <c r="A5" s="1701" t="s">
        <v>833</v>
      </c>
      <c r="B5" s="1024">
        <f ca="1">IF(C5&lt;B2,"已过期",1119970074)</f>
        <v>1119970074</v>
      </c>
      <c r="C5" s="2343">
        <v>43849</v>
      </c>
      <c r="D5" s="2346" t="s">
        <v>833</v>
      </c>
      <c r="E5" s="1024">
        <f ca="1">IF(F5&lt;B2,"已过期",2002110027)</f>
        <v>2002110027</v>
      </c>
      <c r="F5" s="1032">
        <v>46752</v>
      </c>
    </row>
    <row r="6" spans="1:6" ht="24" customHeight="1">
      <c r="A6" s="1701" t="s">
        <v>834</v>
      </c>
      <c r="B6" s="1024">
        <f ca="1">IF(C6&lt;B2,"已过期",1119970111)</f>
        <v>1119970111</v>
      </c>
      <c r="C6" s="2343">
        <v>43849</v>
      </c>
      <c r="D6" s="2346" t="s">
        <v>834</v>
      </c>
      <c r="E6" s="1024">
        <f ca="1">IF(F6&lt;B2,"已过期",94010078)</f>
        <v>94010078</v>
      </c>
      <c r="F6" s="1032">
        <v>46387</v>
      </c>
    </row>
    <row r="7" spans="1:6" ht="24" customHeight="1">
      <c r="A7" s="1701" t="s">
        <v>835</v>
      </c>
      <c r="B7" s="1024">
        <f ca="1">IF(C7&lt;B2,"已过期",1120050019)</f>
        <v>1120050019</v>
      </c>
      <c r="C7" s="2343">
        <v>43359</v>
      </c>
      <c r="D7" s="2346" t="s">
        <v>835</v>
      </c>
      <c r="E7" s="1024">
        <f ca="1">IF(F7&lt;B2,"已过期",2002110030)</f>
        <v>2002110030</v>
      </c>
      <c r="F7" s="1032">
        <v>46387</v>
      </c>
    </row>
    <row r="8" spans="1:6" ht="24" customHeight="1">
      <c r="A8" s="1701" t="s">
        <v>836</v>
      </c>
      <c r="B8" s="1024">
        <f ca="1">IF(C8&lt;B2,"已过期",1120000080)</f>
        <v>1120000080</v>
      </c>
      <c r="C8" s="2343">
        <v>43849</v>
      </c>
      <c r="D8" s="2346" t="s">
        <v>836</v>
      </c>
      <c r="E8" s="1024">
        <f ca="1">IF(F8&lt;B2,"已过期",2000110082)</f>
        <v>2000110082</v>
      </c>
      <c r="F8" s="1032">
        <v>46387</v>
      </c>
    </row>
    <row r="9" spans="1:6" ht="24" customHeight="1">
      <c r="A9" s="1701" t="s">
        <v>837</v>
      </c>
      <c r="B9" s="1024">
        <f ca="1">IF(C9&lt;B2,"已过期",1419970001)</f>
        <v>1419970001</v>
      </c>
      <c r="C9" s="2343">
        <v>43867</v>
      </c>
      <c r="D9" s="2346" t="s">
        <v>837</v>
      </c>
      <c r="E9" s="1024">
        <f ca="1">IF(F9&lt;B2,"已过期",2002110125)</f>
        <v>2002110125</v>
      </c>
      <c r="F9" s="1032">
        <v>47118</v>
      </c>
    </row>
    <row r="10" spans="1:6" ht="24" customHeight="1">
      <c r="A10" s="1701" t="s">
        <v>838</v>
      </c>
      <c r="B10" s="1024">
        <f ca="1">IF(C10&lt;B2,"已过期",1120060040)</f>
        <v>1120060040</v>
      </c>
      <c r="C10" s="2343">
        <v>43483</v>
      </c>
      <c r="D10" s="2346" t="s">
        <v>838</v>
      </c>
      <c r="E10" s="1024">
        <f ca="1">IF(F10&lt;B2,"已过期",2004110096)</f>
        <v>2004110096</v>
      </c>
      <c r="F10" s="1032">
        <v>47118</v>
      </c>
    </row>
    <row r="11" spans="1:6" ht="24" customHeight="1">
      <c r="A11" s="1701" t="s">
        <v>839</v>
      </c>
      <c r="B11" s="1024">
        <f ca="1">IF(C11&lt;B2,"已过期",1120100036)</f>
        <v>1120100036</v>
      </c>
      <c r="C11" s="2343">
        <v>43622</v>
      </c>
      <c r="D11" s="2346" t="s">
        <v>839</v>
      </c>
      <c r="E11" s="1024">
        <f ca="1">IF(F11&lt;B2,"已过期",2010110070)</f>
        <v>2010110070</v>
      </c>
      <c r="F11" s="1032">
        <v>47907</v>
      </c>
    </row>
    <row r="12" spans="1:6" ht="24" customHeight="1">
      <c r="A12" s="1701"/>
      <c r="B12" s="1024"/>
      <c r="C12" s="2343"/>
      <c r="D12" s="2346"/>
      <c r="E12" s="1024"/>
      <c r="F12" s="1024"/>
    </row>
    <row r="13" spans="1:6" ht="24" customHeight="1">
      <c r="A13" s="1701" t="s">
        <v>840</v>
      </c>
      <c r="B13" s="1024">
        <f ca="1">IF(C13&lt;B2,"已过期",1120070131)</f>
        <v>1120070131</v>
      </c>
      <c r="C13" s="2343">
        <v>43814</v>
      </c>
      <c r="D13" s="2346" t="s">
        <v>840</v>
      </c>
      <c r="E13" s="1024">
        <v>2014110011</v>
      </c>
      <c r="F13" s="1032">
        <v>49302</v>
      </c>
    </row>
    <row r="14" spans="1:6" ht="24" customHeight="1">
      <c r="A14" s="1701" t="s">
        <v>841</v>
      </c>
      <c r="B14" s="1024">
        <f ca="1">IF(C14&lt;B2,"已过期",1120130020)</f>
        <v>1120130020</v>
      </c>
      <c r="C14" s="2343">
        <v>43622</v>
      </c>
      <c r="D14" s="2346"/>
      <c r="E14" s="1024"/>
      <c r="F14" s="1024"/>
    </row>
    <row r="15" spans="1:6" ht="24" customHeight="1">
      <c r="A15" s="1702" t="s">
        <v>1149</v>
      </c>
      <c r="B15" s="1024">
        <v>1120070085</v>
      </c>
      <c r="C15" s="2343">
        <v>43814</v>
      </c>
      <c r="D15" s="2347" t="s">
        <v>1149</v>
      </c>
      <c r="E15" s="1024">
        <v>2004110128</v>
      </c>
      <c r="F15" s="1025">
        <v>47118</v>
      </c>
    </row>
    <row r="16" spans="1:6" ht="24" customHeight="1">
      <c r="A16" s="1701" t="s">
        <v>842</v>
      </c>
      <c r="B16" s="1024">
        <f ca="1">IF(C16&lt;B2,"已过期",1120140022)</f>
        <v>1120140022</v>
      </c>
      <c r="C16" s="2343">
        <v>44029</v>
      </c>
      <c r="D16" s="2346" t="s">
        <v>842</v>
      </c>
      <c r="E16" s="1024">
        <f ca="1">IF(F16&lt;B2,"已过期",2008110059)</f>
        <v>2008110059</v>
      </c>
      <c r="F16" s="1032">
        <v>47177</v>
      </c>
    </row>
    <row r="17" spans="1:7" ht="24" customHeight="1">
      <c r="A17" s="1701"/>
      <c r="B17" s="1024"/>
      <c r="C17" s="2343"/>
      <c r="D17" s="2346"/>
      <c r="E17" s="1024"/>
      <c r="F17" s="1032"/>
    </row>
    <row r="18" spans="1:7" ht="24" customHeight="1">
      <c r="A18" s="1701"/>
      <c r="B18" s="1024"/>
      <c r="C18" s="2343"/>
      <c r="D18" s="2346"/>
      <c r="E18" s="1024"/>
      <c r="F18" s="1032"/>
    </row>
    <row r="19" spans="1:7" ht="24" customHeight="1">
      <c r="A19" s="1701"/>
      <c r="B19" s="1024"/>
      <c r="C19" s="2343"/>
      <c r="D19" s="2346"/>
      <c r="E19" s="1024"/>
      <c r="F19" s="1024"/>
    </row>
    <row r="20" spans="1:7" ht="24" customHeight="1">
      <c r="A20" s="1701"/>
      <c r="B20" s="1024"/>
      <c r="C20" s="2343"/>
      <c r="D20" s="2346"/>
      <c r="E20" s="1024"/>
      <c r="F20" s="1024"/>
    </row>
    <row r="21" spans="1:7" ht="24" customHeight="1">
      <c r="A21" s="1701"/>
      <c r="B21" s="1024"/>
      <c r="C21" s="2343"/>
      <c r="D21" s="2346" t="s">
        <v>843</v>
      </c>
      <c r="E21" s="1024">
        <f ca="1">IF(F21&lt;B2,"已过期",2011110090)</f>
        <v>2011110090</v>
      </c>
      <c r="F21" s="1032">
        <v>48302</v>
      </c>
    </row>
    <row r="22" spans="1:7" ht="24" customHeight="1">
      <c r="A22" s="1701" t="s">
        <v>844</v>
      </c>
      <c r="B22" s="1024">
        <f ca="1">IF(C22&lt;B2,"已过期",1120020033)</f>
        <v>1120020033</v>
      </c>
      <c r="C22" s="2343">
        <v>43304</v>
      </c>
      <c r="D22" s="2346" t="s">
        <v>844</v>
      </c>
      <c r="E22" s="1024">
        <f ca="1">IF(F22&lt;B2,"已过期",2000110137)</f>
        <v>2000110137</v>
      </c>
      <c r="F22" s="1032">
        <v>46387</v>
      </c>
    </row>
    <row r="23" spans="1:7" ht="24" customHeight="1">
      <c r="A23" s="1701" t="s">
        <v>845</v>
      </c>
      <c r="B23" s="1024">
        <f ca="1">IF(C23&lt;B2,"已过期",1120130048)</f>
        <v>1120130048</v>
      </c>
      <c r="C23" s="2343">
        <v>43686</v>
      </c>
      <c r="D23" s="2346"/>
      <c r="E23" s="1024"/>
      <c r="F23" s="1024"/>
    </row>
    <row r="24" spans="1:7" s="1026" customFormat="1" ht="24" customHeight="1">
      <c r="A24" s="1702" t="s">
        <v>1333</v>
      </c>
      <c r="B24" s="1702" t="s">
        <v>1333</v>
      </c>
      <c r="C24" s="2344" t="s">
        <v>1333</v>
      </c>
      <c r="D24" s="2347" t="s">
        <v>1333</v>
      </c>
      <c r="E24" s="1702" t="s">
        <v>1333</v>
      </c>
      <c r="F24" s="1702" t="s">
        <v>1333</v>
      </c>
    </row>
    <row r="25" spans="1:7" ht="24" customHeight="1">
      <c r="A25" s="3055" t="s">
        <v>846</v>
      </c>
      <c r="B25" s="3055"/>
      <c r="C25" s="3055"/>
      <c r="D25" s="3055"/>
      <c r="E25" s="3055"/>
      <c r="F25" s="3055"/>
      <c r="G25" s="3055"/>
    </row>
    <row r="26" spans="1:7" s="1027" customFormat="1" ht="24" customHeight="1">
      <c r="A26" s="3056" t="s">
        <v>847</v>
      </c>
      <c r="B26" s="3056"/>
      <c r="C26" s="3057"/>
      <c r="D26" s="3058" t="s">
        <v>848</v>
      </c>
      <c r="E26" s="3056"/>
      <c r="F26" s="3056"/>
    </row>
    <row r="27" spans="1:7" s="1029" customFormat="1" ht="24" customHeight="1">
      <c r="A27" s="1028" t="s">
        <v>849</v>
      </c>
      <c r="B27" s="1023" t="s">
        <v>850</v>
      </c>
      <c r="C27" s="2342" t="s">
        <v>851</v>
      </c>
      <c r="D27" s="2350" t="s">
        <v>849</v>
      </c>
      <c r="E27" s="1023" t="s">
        <v>850</v>
      </c>
      <c r="F27" s="1023" t="s">
        <v>851</v>
      </c>
    </row>
    <row r="28" spans="1:7" s="1029" customFormat="1" ht="24" customHeight="1">
      <c r="A28" s="1030" t="s">
        <v>852</v>
      </c>
      <c r="B28" s="1031" t="s">
        <v>853</v>
      </c>
      <c r="C28" s="2348">
        <v>43725</v>
      </c>
      <c r="D28" s="2351" t="s">
        <v>854</v>
      </c>
      <c r="E28" s="1030" t="s">
        <v>855</v>
      </c>
      <c r="F28" s="1058">
        <v>44377</v>
      </c>
    </row>
    <row r="29" spans="1:7" s="1029" customFormat="1" ht="24" customHeight="1">
      <c r="A29" s="1030"/>
      <c r="B29" s="1030"/>
      <c r="C29" s="2349"/>
      <c r="D29" s="2351" t="s">
        <v>856</v>
      </c>
      <c r="E29" s="1201" t="s">
        <v>1384</v>
      </c>
      <c r="F29" s="1202">
        <v>43281</v>
      </c>
    </row>
    <row r="30" spans="1:7" ht="24" customHeight="1">
      <c r="C30" s="1033"/>
      <c r="D30" s="1033"/>
    </row>
  </sheetData>
  <sheetProtection sheet="1" objects="1" scenarios="1"/>
  <mergeCells count="3">
    <mergeCell ref="A25:G25"/>
    <mergeCell ref="A26:C26"/>
    <mergeCell ref="D26:F26"/>
  </mergeCells>
  <phoneticPr fontId="86" type="noConversion"/>
  <conditionalFormatting sqref="C28">
    <cfRule type="expression" dxfId="212" priority="55">
      <formula>AND($C28-TODAY()&lt;30,TODAY()&lt;$C28)</formula>
    </cfRule>
  </conditionalFormatting>
  <conditionalFormatting sqref="C28 F4">
    <cfRule type="cellIs" dxfId="211" priority="57" stopIfTrue="1" operator="lessThan">
      <formula>$B$2</formula>
    </cfRule>
  </conditionalFormatting>
  <conditionalFormatting sqref="C5">
    <cfRule type="expression" dxfId="210" priority="52">
      <formula>AND($C5-TODAY()&lt;30,TODAY()&lt;$C5)</formula>
    </cfRule>
  </conditionalFormatting>
  <conditionalFormatting sqref="C5 F5">
    <cfRule type="cellIs" dxfId="209" priority="53" stopIfTrue="1" operator="lessThan">
      <formula>$B$2</formula>
    </cfRule>
  </conditionalFormatting>
  <conditionalFormatting sqref="F6 F8 F10">
    <cfRule type="cellIs" dxfId="208" priority="51" stopIfTrue="1" operator="lessThan">
      <formula>$B$2</formula>
    </cfRule>
  </conditionalFormatting>
  <conditionalFormatting sqref="C4:C23">
    <cfRule type="expression" dxfId="207" priority="49">
      <formula>AND($C4-TODAY()&lt;30,TODAY()&lt;$C4)</formula>
    </cfRule>
  </conditionalFormatting>
  <conditionalFormatting sqref="F7 F9 F11 C4:C23">
    <cfRule type="cellIs" dxfId="206" priority="50" stopIfTrue="1" operator="lessThan">
      <formula>$B$2</formula>
    </cfRule>
  </conditionalFormatting>
  <conditionalFormatting sqref="C12">
    <cfRule type="expression" dxfId="205" priority="47">
      <formula>AND($C12-TODAY()&lt;30,TODAY()&lt;$C12)</formula>
    </cfRule>
  </conditionalFormatting>
  <conditionalFormatting sqref="C12">
    <cfRule type="cellIs" dxfId="204" priority="48" stopIfTrue="1" operator="lessThan">
      <formula>$B$2</formula>
    </cfRule>
  </conditionalFormatting>
  <conditionalFormatting sqref="C14">
    <cfRule type="expression" dxfId="203" priority="43">
      <formula>AND($C14-TODAY()&lt;30,TODAY()&lt;$C14)</formula>
    </cfRule>
  </conditionalFormatting>
  <conditionalFormatting sqref="C14">
    <cfRule type="cellIs" dxfId="202" priority="44" stopIfTrue="1" operator="lessThan">
      <formula>$B$2</formula>
    </cfRule>
  </conditionalFormatting>
  <conditionalFormatting sqref="C16">
    <cfRule type="expression" dxfId="201" priority="41">
      <formula>AND($C16-TODAY()&lt;30,TODAY()&lt;$C16)</formula>
    </cfRule>
  </conditionalFormatting>
  <conditionalFormatting sqref="C16">
    <cfRule type="cellIs" dxfId="200" priority="42" stopIfTrue="1" operator="lessThan">
      <formula>$B$2</formula>
    </cfRule>
  </conditionalFormatting>
  <conditionalFormatting sqref="C18">
    <cfRule type="expression" dxfId="199" priority="39">
      <formula>AND($C18-TODAY()&lt;30,TODAY()&lt;$C18)</formula>
    </cfRule>
  </conditionalFormatting>
  <conditionalFormatting sqref="C18">
    <cfRule type="cellIs" dxfId="198" priority="40" stopIfTrue="1" operator="lessThan">
      <formula>$B$2</formula>
    </cfRule>
  </conditionalFormatting>
  <conditionalFormatting sqref="C20">
    <cfRule type="expression" dxfId="197" priority="37">
      <formula>AND($C20-TODAY()&lt;30,TODAY()&lt;$C20)</formula>
    </cfRule>
  </conditionalFormatting>
  <conditionalFormatting sqref="C20">
    <cfRule type="cellIs" dxfId="196" priority="38" stopIfTrue="1" operator="lessThan">
      <formula>$B$2</formula>
    </cfRule>
  </conditionalFormatting>
  <conditionalFormatting sqref="C22">
    <cfRule type="expression" dxfId="195" priority="35">
      <formula>AND($C22-TODAY()&lt;30,TODAY()&lt;$C22)</formula>
    </cfRule>
  </conditionalFormatting>
  <conditionalFormatting sqref="C22">
    <cfRule type="cellIs" dxfId="194" priority="36" stopIfTrue="1" operator="lessThan">
      <formula>$B$2</formula>
    </cfRule>
  </conditionalFormatting>
  <conditionalFormatting sqref="C15">
    <cfRule type="expression" dxfId="193" priority="33">
      <formula>AND($C15-TODAY()&lt;30,TODAY()&lt;$C15)</formula>
    </cfRule>
  </conditionalFormatting>
  <conditionalFormatting sqref="C15">
    <cfRule type="cellIs" dxfId="192" priority="34" stopIfTrue="1" operator="lessThan">
      <formula>$B$2</formula>
    </cfRule>
  </conditionalFormatting>
  <conditionalFormatting sqref="C17">
    <cfRule type="expression" dxfId="191" priority="31">
      <formula>AND($C17-TODAY()&lt;30,TODAY()&lt;$C17)</formula>
    </cfRule>
  </conditionalFormatting>
  <conditionalFormatting sqref="C17">
    <cfRule type="cellIs" dxfId="190" priority="32" stopIfTrue="1" operator="lessThan">
      <formula>$B$2</formula>
    </cfRule>
  </conditionalFormatting>
  <conditionalFormatting sqref="C19">
    <cfRule type="expression" dxfId="189" priority="29">
      <formula>AND($C19-TODAY()&lt;30,TODAY()&lt;$C19)</formula>
    </cfRule>
  </conditionalFormatting>
  <conditionalFormatting sqref="C19">
    <cfRule type="cellIs" dxfId="188" priority="30" stopIfTrue="1" operator="lessThan">
      <formula>$B$2</formula>
    </cfRule>
  </conditionalFormatting>
  <conditionalFormatting sqref="C21">
    <cfRule type="expression" dxfId="187" priority="27">
      <formula>AND($C21-TODAY()&lt;30,TODAY()&lt;$C21)</formula>
    </cfRule>
  </conditionalFormatting>
  <conditionalFormatting sqref="C21">
    <cfRule type="cellIs" dxfId="186" priority="28" stopIfTrue="1" operator="lessThan">
      <formula>$B$2</formula>
    </cfRule>
  </conditionalFormatting>
  <conditionalFormatting sqref="C23">
    <cfRule type="expression" dxfId="185" priority="25">
      <formula>AND($C23-TODAY()&lt;30,TODAY()&lt;$C23)</formula>
    </cfRule>
  </conditionalFormatting>
  <conditionalFormatting sqref="C23">
    <cfRule type="cellIs" dxfId="184" priority="26" stopIfTrue="1" operator="lessThan">
      <formula>$B$2</formula>
    </cfRule>
  </conditionalFormatting>
  <conditionalFormatting sqref="F16">
    <cfRule type="cellIs" dxfId="183" priority="23" stopIfTrue="1" operator="lessThan">
      <formula>$B$2</formula>
    </cfRule>
  </conditionalFormatting>
  <conditionalFormatting sqref="F18">
    <cfRule type="cellIs" dxfId="182" priority="22" stopIfTrue="1" operator="lessThan">
      <formula>$B$2</formula>
    </cfRule>
  </conditionalFormatting>
  <conditionalFormatting sqref="F22">
    <cfRule type="cellIs" dxfId="181" priority="21" stopIfTrue="1" operator="lessThan">
      <formula>$B$2</formula>
    </cfRule>
  </conditionalFormatting>
  <conditionalFormatting sqref="F21">
    <cfRule type="cellIs" dxfId="180" priority="20" stopIfTrue="1" operator="lessThan">
      <formula>$B$2</formula>
    </cfRule>
  </conditionalFormatting>
  <conditionalFormatting sqref="F17">
    <cfRule type="cellIs" dxfId="179" priority="19" stopIfTrue="1" operator="lessThan">
      <formula>$B$2</formula>
    </cfRule>
  </conditionalFormatting>
  <conditionalFormatting sqref="B4:B14 E4:E14 B16:B23 E16:E23">
    <cfRule type="cellIs" dxfId="178" priority="18" stopIfTrue="1" operator="equal">
      <formula>"已过期"</formula>
    </cfRule>
  </conditionalFormatting>
  <conditionalFormatting sqref="A24:F24">
    <cfRule type="cellIs" dxfId="177" priority="14" stopIfTrue="1" operator="equal">
      <formula>"已过期"</formula>
    </cfRule>
  </conditionalFormatting>
  <conditionalFormatting sqref="F28">
    <cfRule type="expression" dxfId="176" priority="12">
      <formula>AND($E28-TODAY()&lt;30,TODAY()&lt;$E28)</formula>
    </cfRule>
  </conditionalFormatting>
  <conditionalFormatting sqref="F28">
    <cfRule type="cellIs" dxfId="175" priority="13" stopIfTrue="1" operator="lessThan">
      <formula>$B$2</formula>
    </cfRule>
  </conditionalFormatting>
  <conditionalFormatting sqref="F29">
    <cfRule type="expression" dxfId="174" priority="8" stopIfTrue="1">
      <formula>AND($E29-TODAY()&lt;30,TODAY()&lt;$E29)</formula>
    </cfRule>
  </conditionalFormatting>
  <conditionalFormatting sqref="F29">
    <cfRule type="cellIs" dxfId="173" priority="9" stopIfTrue="1" operator="lessThan">
      <formula>$B$2</formula>
    </cfRule>
  </conditionalFormatting>
  <conditionalFormatting sqref="B15">
    <cfRule type="cellIs" dxfId="172" priority="6" stopIfTrue="1" operator="equal">
      <formula>"已过期"</formula>
    </cfRule>
  </conditionalFormatting>
  <conditionalFormatting sqref="A15">
    <cfRule type="cellIs" dxfId="171" priority="5" stopIfTrue="1" operator="equal">
      <formula>"已过期"</formula>
    </cfRule>
  </conditionalFormatting>
  <conditionalFormatting sqref="C15">
    <cfRule type="expression" dxfId="170" priority="4">
      <formula>AND($C15-TODAY()&lt;30,TODAY()&lt;$C15)</formula>
    </cfRule>
  </conditionalFormatting>
  <conditionalFormatting sqref="E15">
    <cfRule type="cellIs" dxfId="169" priority="3" stopIfTrue="1" operator="equal">
      <formula>"已过期"</formula>
    </cfRule>
  </conditionalFormatting>
  <conditionalFormatting sqref="D15">
    <cfRule type="cellIs" dxfId="168" priority="2" stopIfTrue="1" operator="equal">
      <formula>"已过期"</formula>
    </cfRule>
  </conditionalFormatting>
  <conditionalFormatting sqref="F13">
    <cfRule type="cellIs" dxfId="167"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149</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比较法-商业</vt:lpstr>
      <vt:lpstr>典型户型修正</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收益法-已出租</vt:lpstr>
      <vt:lpstr>收益法-未出租</vt:lpstr>
      <vt:lpstr>比较法-租金</vt:lpstr>
      <vt:lpstr>成本法（废）</vt:lpstr>
      <vt:lpstr>区片价</vt:lpstr>
      <vt:lpstr>因素修正幅度</vt:lpstr>
      <vt:lpstr>存贷款利率</vt:lpstr>
      <vt:lpstr>区片价（范围）</vt:lpstr>
      <vt:lpstr>案例</vt:lpstr>
      <vt:lpstr>租赁情况</vt:lpstr>
      <vt:lpstr>Sheet1</vt:lpstr>
      <vt:lpstr>估价师及机构信息!Print_Area</vt:lpstr>
      <vt:lpstr>'收益法 (元)'!Print_Area</vt:lpstr>
      <vt:lpstr>'收益法-未出租'!Print_Area</vt:lpstr>
      <vt:lpstr>'收益法-已出租'!Print_Area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'比较法-租金'!商业层高</vt:lpstr>
      <vt:lpstr>商业层高</vt:lpstr>
      <vt:lpstr>'比较法-租金'!商业成新度</vt:lpstr>
      <vt:lpstr>商业成新度</vt:lpstr>
      <vt:lpstr>商业繁华度</vt:lpstr>
      <vt:lpstr>'比较法-租金'!商业公共部分装修</vt:lpstr>
      <vt:lpstr>商业公共部分装修</vt:lpstr>
      <vt:lpstr>'比较法-租金'!商业基础设施水平</vt:lpstr>
      <vt:lpstr>商业基础设施水平</vt:lpstr>
      <vt:lpstr>'比较法-租金'!商业建筑结构</vt:lpstr>
      <vt:lpstr>商业建筑结构</vt:lpstr>
      <vt:lpstr>'比较法-租金'!商业交易情况</vt:lpstr>
      <vt:lpstr>商业交易情况</vt:lpstr>
      <vt:lpstr>商业街名称</vt:lpstr>
      <vt:lpstr>'比较法-租金'!商业进深比</vt:lpstr>
      <vt:lpstr>商业进深比</vt:lpstr>
      <vt:lpstr>'比较法-租金'!商业类型</vt:lpstr>
      <vt:lpstr>商业类型</vt:lpstr>
      <vt:lpstr>'比较法-租金'!商业临街状况</vt:lpstr>
      <vt:lpstr>商业临街状况</vt:lpstr>
      <vt:lpstr>'比较法-租金'!商业楼层</vt:lpstr>
      <vt:lpstr>商业楼层</vt:lpstr>
      <vt:lpstr>'比较法-租金'!商业内部装修</vt:lpstr>
      <vt:lpstr>商业内部装修</vt:lpstr>
      <vt:lpstr>'比较法-租金'!商业人流量</vt:lpstr>
      <vt:lpstr>商业人流量</vt:lpstr>
      <vt:lpstr>'比较法-租金'!商业业态</vt:lpstr>
      <vt:lpstr>商业业态</vt:lpstr>
      <vt:lpstr>'比较法-租金'!商业用途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2018-01-31T06:50:05Z</cp:lastPrinted>
  <dcterms:created xsi:type="dcterms:W3CDTF">2015-07-13T07:17:23Z</dcterms:created>
  <dcterms:modified xsi:type="dcterms:W3CDTF">2018-02-02T06:51:36Z</dcterms:modified>
</cp:coreProperties>
</file>