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20" windowWidth="11565" windowHeight="9525"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D15" i="66" l="1"/>
  <c r="G15" i="66" s="1"/>
  <c r="I13" i="3" l="1"/>
  <c r="C33" i="21" s="1"/>
  <c r="D73" i="39" l="1"/>
  <c r="E73" i="39" s="1"/>
  <c r="F73" i="39" s="1"/>
  <c r="G73" i="39" s="1"/>
  <c r="H73" i="39" s="1"/>
  <c r="I73" i="39" s="1"/>
  <c r="J73" i="39" s="1"/>
  <c r="K73" i="39" s="1"/>
  <c r="L73" i="39" s="1"/>
  <c r="I9" i="39"/>
  <c r="G9" i="39"/>
  <c r="E9" i="39"/>
  <c r="D59" i="21" l="1"/>
  <c r="E59" i="21" s="1"/>
  <c r="F59" i="21" s="1"/>
  <c r="G59" i="21" s="1"/>
  <c r="H59" i="21" s="1"/>
  <c r="I59" i="21" s="1"/>
  <c r="J59" i="21" s="1"/>
  <c r="K59" i="21" s="1"/>
  <c r="L59" i="21" s="1"/>
  <c r="M59" i="21" s="1"/>
  <c r="N59" i="21" s="1"/>
  <c r="O59" i="21" s="1"/>
  <c r="P59" i="21" s="1"/>
  <c r="I48" i="39"/>
  <c r="G48" i="39"/>
  <c r="E48" i="39"/>
  <c r="I40" i="39" l="1"/>
  <c r="G40" i="39"/>
  <c r="E40" i="39"/>
  <c r="I7" i="39"/>
  <c r="G7" i="39"/>
  <c r="E7" i="39"/>
  <c r="C40" i="39"/>
  <c r="E100" i="68"/>
  <c r="B85" i="68"/>
  <c r="C85" i="68"/>
  <c r="D85" i="68" s="1"/>
  <c r="E85" i="68" s="1"/>
  <c r="B86" i="68"/>
  <c r="C86" i="68"/>
  <c r="B87" i="68"/>
  <c r="C87" i="68"/>
  <c r="B88" i="68"/>
  <c r="C88" i="68"/>
  <c r="B89" i="68"/>
  <c r="C89" i="68"/>
  <c r="B90" i="68"/>
  <c r="C90" i="68"/>
  <c r="B91" i="68"/>
  <c r="D91" i="68" s="1"/>
  <c r="E91" i="68" s="1"/>
  <c r="B92" i="68"/>
  <c r="C92" i="68"/>
  <c r="B93" i="68"/>
  <c r="C93" i="68"/>
  <c r="B94" i="68"/>
  <c r="C94" i="68"/>
  <c r="B95" i="68"/>
  <c r="C95" i="68"/>
  <c r="D95" i="68" s="1"/>
  <c r="E95" i="68" s="1"/>
  <c r="B96" i="68"/>
  <c r="C96" i="68"/>
  <c r="B97" i="68"/>
  <c r="C97" i="68"/>
  <c r="B98" i="68"/>
  <c r="C98" i="68"/>
  <c r="B99" i="68"/>
  <c r="C99" i="68"/>
  <c r="B68" i="68"/>
  <c r="C68" i="68"/>
  <c r="B69" i="68"/>
  <c r="C69" i="68"/>
  <c r="B70" i="68"/>
  <c r="C70" i="68"/>
  <c r="B71" i="68"/>
  <c r="C71" i="68"/>
  <c r="D71" i="68"/>
  <c r="E71" i="68" s="1"/>
  <c r="B72" i="68"/>
  <c r="C72" i="68"/>
  <c r="D72" i="68" s="1"/>
  <c r="E72" i="68" s="1"/>
  <c r="B73" i="68"/>
  <c r="C73" i="68"/>
  <c r="D73" i="68" s="1"/>
  <c r="E73" i="68" s="1"/>
  <c r="B74" i="68"/>
  <c r="C74" i="68"/>
  <c r="B75" i="68"/>
  <c r="C75" i="68"/>
  <c r="D75" i="68" s="1"/>
  <c r="E75" i="68" s="1"/>
  <c r="B76" i="68"/>
  <c r="C76" i="68"/>
  <c r="B77" i="68"/>
  <c r="C77" i="68"/>
  <c r="B78" i="68"/>
  <c r="C78" i="68"/>
  <c r="B79" i="68"/>
  <c r="C79" i="68"/>
  <c r="B80" i="68"/>
  <c r="C80" i="68"/>
  <c r="B81" i="68"/>
  <c r="C81" i="68"/>
  <c r="B82" i="68"/>
  <c r="C82" i="68"/>
  <c r="B83" i="68"/>
  <c r="D83" i="68" s="1"/>
  <c r="E83" i="68" s="1"/>
  <c r="C83" i="68"/>
  <c r="B84" i="68"/>
  <c r="C84" i="68"/>
  <c r="C67" i="68"/>
  <c r="B67" i="68"/>
  <c r="D66" i="68"/>
  <c r="E66" i="68" s="1"/>
  <c r="B66" i="68"/>
  <c r="D81" i="68" l="1"/>
  <c r="E81" i="68" s="1"/>
  <c r="D80" i="68"/>
  <c r="E80" i="68" s="1"/>
  <c r="D78" i="68"/>
  <c r="E78" i="68" s="1"/>
  <c r="D76" i="68"/>
  <c r="E76" i="68" s="1"/>
  <c r="D69" i="68"/>
  <c r="E69" i="68" s="1"/>
  <c r="D68" i="68"/>
  <c r="E68" i="68" s="1"/>
  <c r="D99" i="68"/>
  <c r="E99" i="68" s="1"/>
  <c r="D98" i="68"/>
  <c r="E98" i="68" s="1"/>
  <c r="D97" i="68"/>
  <c r="E97" i="68" s="1"/>
  <c r="D96" i="68"/>
  <c r="E96" i="68" s="1"/>
  <c r="D89" i="68"/>
  <c r="E89" i="68" s="1"/>
  <c r="D87" i="68"/>
  <c r="E87" i="68" s="1"/>
  <c r="D86" i="68"/>
  <c r="E86" i="68" s="1"/>
  <c r="D67" i="68"/>
  <c r="E67" i="68" s="1"/>
  <c r="D84" i="68"/>
  <c r="E84" i="68" s="1"/>
  <c r="D82" i="68"/>
  <c r="E82" i="68" s="1"/>
  <c r="D79" i="68"/>
  <c r="E79" i="68" s="1"/>
  <c r="D77" i="68"/>
  <c r="E77" i="68" s="1"/>
  <c r="D74" i="68"/>
  <c r="E74" i="68" s="1"/>
  <c r="D70" i="68"/>
  <c r="E70" i="68" s="1"/>
  <c r="D93" i="68"/>
  <c r="E93" i="68" s="1"/>
  <c r="D92" i="68"/>
  <c r="E92" i="68" s="1"/>
  <c r="D90" i="68"/>
  <c r="E90" i="68" s="1"/>
  <c r="D94" i="68"/>
  <c r="E94" i="68" s="1"/>
  <c r="D88" i="68"/>
  <c r="E88" i="68" s="1"/>
  <c r="F19" i="6"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J50" i="15"/>
  <c r="J51" i="15" s="1"/>
  <c r="D11" i="59"/>
  <c r="AH9" i="59"/>
  <c r="AG9" i="59"/>
  <c r="AE9" i="59"/>
  <c r="AF9" i="59" s="1"/>
  <c r="AD9" i="59"/>
  <c r="AE10" i="59"/>
  <c r="AF10" i="59"/>
  <c r="AG10" i="59"/>
  <c r="AH10" i="59"/>
  <c r="AD10" i="59"/>
  <c r="Q10" i="59"/>
  <c r="P10" i="59"/>
  <c r="O10" i="59"/>
  <c r="N10" i="59"/>
  <c r="N11" i="59"/>
  <c r="Q11" i="59"/>
  <c r="P11" i="59"/>
  <c r="O11" i="59"/>
  <c r="K59" i="15"/>
  <c r="P62" i="15" s="1"/>
  <c r="P75" i="15"/>
  <c r="Q74" i="44"/>
  <c r="Q61" i="44"/>
  <c r="Q60" i="44"/>
  <c r="Q53" i="44"/>
  <c r="J51" i="44"/>
  <c r="J52" i="44" s="1"/>
  <c r="M48" i="44"/>
  <c r="A16" i="55"/>
  <c r="A15" i="55"/>
  <c r="A10" i="55"/>
  <c r="A9" i="55"/>
  <c r="B60" i="63" s="1"/>
  <c r="A8" i="55"/>
  <c r="A6" i="54"/>
  <c r="B49" i="63" s="1"/>
  <c r="A8" i="54"/>
  <c r="A7" i="54"/>
  <c r="A27" i="51"/>
  <c r="Q12" i="59"/>
  <c r="O12" i="59"/>
  <c r="N13" i="59"/>
  <c r="O13" i="59"/>
  <c r="P13" i="59"/>
  <c r="Q13" i="59"/>
  <c r="N12" i="59"/>
  <c r="P12" i="59"/>
  <c r="K75" i="9"/>
  <c r="K6" i="4"/>
  <c r="L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U10" i="59"/>
  <c r="S10" i="59"/>
  <c r="AD3"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E10" i="46"/>
  <c r="Y10" i="46"/>
  <c r="AG12" i="46"/>
  <c r="B73" i="63"/>
  <c r="A21" i="64"/>
  <c r="B75" i="63" s="1"/>
  <c r="A27" i="64"/>
  <c r="A15" i="64"/>
  <c r="A14" i="64"/>
  <c r="A11" i="64"/>
  <c r="A3" i="64"/>
  <c r="A45" i="9"/>
  <c r="A44" i="9"/>
  <c r="C57" i="10"/>
  <c r="A28" i="51" s="1"/>
  <c r="C56" i="10"/>
  <c r="C55" i="10"/>
  <c r="C54" i="10"/>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10" i="63"/>
  <c r="B51" i="10"/>
  <c r="B20" i="63"/>
  <c r="B17" i="63"/>
  <c r="A15" i="51"/>
  <c r="B12" i="63" s="1"/>
  <c r="A14" i="51"/>
  <c r="B11" i="63" s="1"/>
  <c r="B66" i="63"/>
  <c r="A4" i="55"/>
  <c r="B57" i="63" s="1"/>
  <c r="B41" i="63"/>
  <c r="G5" i="54"/>
  <c r="B34" i="63" s="1"/>
  <c r="E5" i="54"/>
  <c r="B32" i="63" s="1"/>
  <c r="R2" i="54"/>
  <c r="B24" i="63" s="1"/>
  <c r="B49" i="50"/>
  <c r="B5" i="63"/>
  <c r="B40" i="50"/>
  <c r="B3" i="63"/>
  <c r="N4" i="63"/>
  <c r="B21" i="63"/>
  <c r="B67" i="63"/>
  <c r="I19" i="46"/>
  <c r="Q14" i="59"/>
  <c r="F14" i="59" s="1"/>
  <c r="P14" i="59"/>
  <c r="E14" i="59" s="1"/>
  <c r="U14" i="59" s="1"/>
  <c r="O14" i="59"/>
  <c r="C14" i="59" s="1"/>
  <c r="N14" i="59"/>
  <c r="B14" i="59" s="1"/>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s="1"/>
  <c r="Z25" i="59" s="1"/>
  <c r="N25" i="59"/>
  <c r="X25" i="59" s="1"/>
  <c r="Q24" i="59"/>
  <c r="AB24" i="59" s="1"/>
  <c r="P24" i="59"/>
  <c r="AA24" i="59" s="1"/>
  <c r="O24" i="59"/>
  <c r="Y24" i="59" s="1"/>
  <c r="N24" i="59"/>
  <c r="X24" i="59" s="1"/>
  <c r="Q23" i="59"/>
  <c r="AB23" i="59" s="1"/>
  <c r="P23" i="59"/>
  <c r="AA23" i="59" s="1"/>
  <c r="O23" i="59"/>
  <c r="C24" i="59"/>
  <c r="N23" i="59"/>
  <c r="X23" i="59" s="1"/>
  <c r="B24" i="59"/>
  <c r="B25" i="59" s="1"/>
  <c r="B26" i="59" s="1"/>
  <c r="S26" i="59" s="1"/>
  <c r="D23" i="59"/>
  <c r="Q22" i="59"/>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s="1"/>
  <c r="E21" i="59" s="1"/>
  <c r="E22" i="59" s="1"/>
  <c r="U22" i="59" s="1"/>
  <c r="O19" i="59"/>
  <c r="Y19" i="59" s="1"/>
  <c r="Z19" i="59" s="1"/>
  <c r="N19" i="59"/>
  <c r="X19"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C16" i="59" s="1"/>
  <c r="N15" i="59"/>
  <c r="X15" i="59" s="1"/>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E16" i="59"/>
  <c r="E17" i="59"/>
  <c r="E18" i="59" s="1"/>
  <c r="U18" i="59" s="1"/>
  <c r="S54" i="59"/>
  <c r="Z24" i="59"/>
  <c r="AA25" i="59"/>
  <c r="F21" i="59"/>
  <c r="F22" i="59" s="1"/>
  <c r="V22" i="59" s="1"/>
  <c r="F41" i="59"/>
  <c r="F42" i="59" s="1"/>
  <c r="V42" i="59" s="1"/>
  <c r="F49" i="59"/>
  <c r="F50" i="59" s="1"/>
  <c r="V50" i="59" s="1"/>
  <c r="C25" i="59"/>
  <c r="D24" i="59"/>
  <c r="C33" i="59"/>
  <c r="D33" i="59" s="1"/>
  <c r="D32" i="59"/>
  <c r="N53" i="59"/>
  <c r="B52" i="59"/>
  <c r="Q53" i="59"/>
  <c r="T54" i="59"/>
  <c r="O54" i="59"/>
  <c r="D54" i="59"/>
  <c r="C53" i="59"/>
  <c r="P54" i="59"/>
  <c r="U54" i="59"/>
  <c r="Q54" i="59"/>
  <c r="C57" i="59"/>
  <c r="E57" i="59"/>
  <c r="E56" i="59" s="1"/>
  <c r="D58" i="59"/>
  <c r="C61" i="59"/>
  <c r="E61" i="59"/>
  <c r="E60" i="59" s="1"/>
  <c r="D62" i="59"/>
  <c r="C65" i="59"/>
  <c r="E65" i="59"/>
  <c r="E64" i="59" s="1"/>
  <c r="D66" i="59"/>
  <c r="C69" i="59"/>
  <c r="C73" i="59"/>
  <c r="U16" i="4"/>
  <c r="S16" i="4"/>
  <c r="Q16" i="4"/>
  <c r="O16" i="4"/>
  <c r="M16" i="4"/>
  <c r="K16" i="4"/>
  <c r="L16" i="4" s="1"/>
  <c r="D73" i="59"/>
  <c r="C72" i="59"/>
  <c r="D72" i="59" s="1"/>
  <c r="D65" i="59"/>
  <c r="C64" i="59"/>
  <c r="D64" i="59" s="1"/>
  <c r="D57" i="59"/>
  <c r="C56" i="59"/>
  <c r="D56" i="59" s="1"/>
  <c r="C52" i="59"/>
  <c r="D52" i="59" s="1"/>
  <c r="O53" i="59"/>
  <c r="D53" i="59"/>
  <c r="D69" i="59"/>
  <c r="C68" i="59"/>
  <c r="D68" i="59" s="1"/>
  <c r="D61" i="59"/>
  <c r="C60" i="59"/>
  <c r="D60" i="59" s="1"/>
  <c r="N51" i="59"/>
  <c r="N52" i="59"/>
  <c r="C26" i="59"/>
  <c r="D26" i="59" s="1"/>
  <c r="D25" i="59"/>
  <c r="N16" i="4"/>
  <c r="T26" i="59"/>
  <c r="O52" i="59"/>
  <c r="O5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G20" i="20"/>
  <c r="B85" i="46" s="1"/>
  <c r="C22" i="20"/>
  <c r="B65" i="46"/>
  <c r="S18" i="36"/>
  <c r="S18" i="35"/>
  <c r="S21" i="37"/>
  <c r="S21" i="34"/>
  <c r="C31" i="39"/>
  <c r="B54" i="46"/>
  <c r="B74" i="46"/>
  <c r="E66" i="36"/>
  <c r="H18" i="35"/>
  <c r="J18" i="35"/>
  <c r="H21" i="37"/>
  <c r="J21" i="37"/>
  <c r="E84" i="34"/>
  <c r="F84" i="34" s="1"/>
  <c r="G84" i="34" s="1"/>
  <c r="J21" i="34"/>
  <c r="H21" i="34"/>
  <c r="F21" i="33"/>
  <c r="H21" i="33"/>
  <c r="J21" i="33"/>
  <c r="H21" i="21"/>
  <c r="J21" i="21"/>
  <c r="W21" i="21" s="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c r="D83" i="39"/>
  <c r="E83" i="39" s="1"/>
  <c r="F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9" i="39"/>
  <c r="C70" i="39" s="1"/>
  <c r="D70" i="39" s="1"/>
  <c r="E70" i="39" s="1"/>
  <c r="C20" i="36"/>
  <c r="C20" i="35"/>
  <c r="C16" i="36"/>
  <c r="C16" i="35"/>
  <c r="C14" i="36"/>
  <c r="C14" i="35"/>
  <c r="B80" i="37"/>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s="1"/>
  <c r="B126" i="21"/>
  <c r="B98" i="21"/>
  <c r="J31" i="21" s="1"/>
  <c r="AC31" i="21" s="1"/>
  <c r="B96" i="21"/>
  <c r="B94" i="21"/>
  <c r="J29" i="21" s="1"/>
  <c r="AC29" i="21" s="1"/>
  <c r="B92" i="21"/>
  <c r="B90" i="21"/>
  <c r="H27" i="21" s="1"/>
  <c r="AB27" i="21" s="1"/>
  <c r="B74" i="21"/>
  <c r="B72" i="21"/>
  <c r="H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U26" i="36"/>
  <c r="AC31" i="36"/>
  <c r="J33" i="36"/>
  <c r="W33" i="36"/>
  <c r="AC27" i="35"/>
  <c r="U31" i="35"/>
  <c r="S34" i="35"/>
  <c r="W36" i="35"/>
  <c r="W24" i="35"/>
  <c r="S31" i="35"/>
  <c r="W31" i="35"/>
  <c r="U34" i="35"/>
  <c r="F36" i="34"/>
  <c r="S36" i="34"/>
  <c r="S34" i="34"/>
  <c r="W39" i="34"/>
  <c r="H39" i="33"/>
  <c r="AB39" i="33" s="1"/>
  <c r="U9" i="33"/>
  <c r="W38" i="33"/>
  <c r="S40" i="33"/>
  <c r="S33" i="33"/>
  <c r="U38" i="33"/>
  <c r="S8" i="21"/>
  <c r="H39" i="37"/>
  <c r="AB39" i="37" s="1"/>
  <c r="AB27" i="35"/>
  <c r="S10" i="40"/>
  <c r="W10" i="40"/>
  <c r="S11" i="40"/>
  <c r="U11" i="40"/>
  <c r="S36" i="40"/>
  <c r="U36" i="40"/>
  <c r="S36" i="39"/>
  <c r="AC40" i="21"/>
  <c r="C29" i="39"/>
  <c r="C23" i="39"/>
  <c r="U36" i="39"/>
  <c r="S42" i="39"/>
  <c r="H32" i="33"/>
  <c r="AB32" i="33" s="1"/>
  <c r="AA12" i="33"/>
  <c r="J27" i="36"/>
  <c r="W27" i="36" s="1"/>
  <c r="J34" i="36"/>
  <c r="W34" i="36" s="1"/>
  <c r="J30" i="35"/>
  <c r="W30" i="35" s="1"/>
  <c r="F22" i="35"/>
  <c r="AA22" i="35" s="1"/>
  <c r="H10" i="35"/>
  <c r="U10" i="35" s="1"/>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F29" i="21"/>
  <c r="S29" i="21" s="1"/>
  <c r="H31" i="21"/>
  <c r="U31" i="21" s="1"/>
  <c r="J45" i="21"/>
  <c r="W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U46" i="21"/>
  <c r="AC30" i="21"/>
  <c r="W30" i="21"/>
  <c r="AB30" i="21"/>
  <c r="S28" i="21"/>
  <c r="AA28" i="21"/>
  <c r="W14" i="21"/>
  <c r="AC14" i="21"/>
  <c r="W31" i="34"/>
  <c r="U36" i="37"/>
  <c r="AC13" i="36"/>
  <c r="AA27" i="33"/>
  <c r="AB27"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AZ540" i="3" s="1"/>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D3" i="21"/>
  <c r="AC33" i="36"/>
  <c r="AC12" i="35"/>
  <c r="U39" i="37"/>
  <c r="AC8"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AB10" i="37"/>
  <c r="J11" i="37"/>
  <c r="W11" i="37"/>
  <c r="E90" i="40"/>
  <c r="F21" i="40"/>
  <c r="S21" i="40"/>
  <c r="W36" i="40"/>
  <c r="F90" i="40"/>
  <c r="G90" i="40" s="1"/>
  <c r="J21" i="40"/>
  <c r="AC21" i="40"/>
  <c r="S27" i="31"/>
  <c r="AZ558"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AZ114" i="3" s="1"/>
  <c r="BL115" i="3"/>
  <c r="G116" i="3"/>
  <c r="BA118" i="3"/>
  <c r="BL119" i="3"/>
  <c r="AZ119" i="3" s="1"/>
  <c r="G120" i="3"/>
  <c r="BA122" i="3"/>
  <c r="BL123" i="3"/>
  <c r="AZ123" i="3" s="1"/>
  <c r="G124" i="3"/>
  <c r="BA126" i="3"/>
  <c r="AZ126" i="3" s="1"/>
  <c r="BL127" i="3"/>
  <c r="G128" i="3"/>
  <c r="BA130" i="3"/>
  <c r="AZ130" i="3" s="1"/>
  <c r="BL131" i="3"/>
  <c r="G132" i="3"/>
  <c r="BA134" i="3"/>
  <c r="BL135" i="3"/>
  <c r="AZ135" i="3" s="1"/>
  <c r="G136" i="3"/>
  <c r="BA138" i="3"/>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AZ173" i="3"/>
  <c r="BL174" i="3"/>
  <c r="G175" i="3"/>
  <c r="BA178" i="3"/>
  <c r="BL179" i="3"/>
  <c r="G180" i="3"/>
  <c r="AZ27" i="3"/>
  <c r="AZ35" i="3"/>
  <c r="AZ43"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70" i="3"/>
  <c r="AZ78" i="3"/>
  <c r="AZ185" i="3"/>
  <c r="AZ90"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62" i="3"/>
  <c r="AZ166" i="3"/>
  <c r="AZ170"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13" i="3"/>
  <c r="AZ217" i="3"/>
  <c r="AZ221" i="3"/>
  <c r="AZ229" i="3"/>
  <c r="AZ233" i="3"/>
  <c r="AZ237" i="3"/>
  <c r="AZ245" i="3"/>
  <c r="AZ309" i="3"/>
  <c r="AZ321" i="3"/>
  <c r="AZ333" i="3"/>
  <c r="AZ353" i="3"/>
  <c r="AZ363" i="3"/>
  <c r="G368" i="3"/>
  <c r="BA370" i="3"/>
  <c r="BL371" i="3"/>
  <c r="AZ371" i="3" s="1"/>
  <c r="G372" i="3"/>
  <c r="BA374" i="3"/>
  <c r="AZ374" i="3" s="1"/>
  <c r="BL375" i="3"/>
  <c r="AZ375" i="3" s="1"/>
  <c r="G376" i="3"/>
  <c r="BA378" i="3"/>
  <c r="AZ378" i="3" s="1"/>
  <c r="BL379" i="3"/>
  <c r="AZ379" i="3" s="1"/>
  <c r="G380" i="3"/>
  <c r="BA382" i="3"/>
  <c r="BL383" i="3"/>
  <c r="G384" i="3"/>
  <c r="AZ249" i="3"/>
  <c r="AZ253" i="3"/>
  <c r="AZ261" i="3"/>
  <c r="AZ265" i="3"/>
  <c r="AZ383" i="3"/>
  <c r="AZ274" i="3"/>
  <c r="AZ278" i="3"/>
  <c r="AZ290" i="3"/>
  <c r="AZ295" i="3"/>
  <c r="AZ303" i="3"/>
  <c r="AZ347" i="3"/>
  <c r="AZ361" i="3"/>
  <c r="AZ385" i="3"/>
  <c r="AZ390" i="3"/>
  <c r="AZ398" i="3"/>
  <c r="AZ414" i="3"/>
  <c r="AZ422" i="3"/>
  <c r="AZ434" i="3"/>
  <c r="AZ442" i="3"/>
  <c r="AZ450" i="3"/>
  <c r="AZ459" i="3"/>
  <c r="AZ479" i="3"/>
  <c r="H7" i="48"/>
  <c r="H113" i="46"/>
  <c r="F33"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s="1"/>
  <c r="S30" i="36"/>
  <c r="H16" i="36"/>
  <c r="AB16" i="36" s="1"/>
  <c r="H35" i="37"/>
  <c r="AB35" i="37"/>
  <c r="S26" i="21"/>
  <c r="AB12" i="21"/>
  <c r="H32" i="21"/>
  <c r="U32" i="21" s="1"/>
  <c r="AB26" i="21"/>
  <c r="U26" i="21"/>
  <c r="U39"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8" i="6" s="1"/>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F23" i="35"/>
  <c r="AA23"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B41" i="1"/>
  <c r="F34" i="44" s="1"/>
  <c r="J42" i="40"/>
  <c r="AC42" i="40" s="1"/>
  <c r="J40" i="40"/>
  <c r="AC40" i="40" s="1"/>
  <c r="J34" i="40"/>
  <c r="AC34" i="40" s="1"/>
  <c r="H16" i="40"/>
  <c r="AB16" i="40" s="1"/>
  <c r="H14" i="40"/>
  <c r="U14" i="40" s="1"/>
  <c r="F32" i="40"/>
  <c r="AA32" i="40" s="1"/>
  <c r="AZ401" i="3"/>
  <c r="AZ441" i="3"/>
  <c r="AZ444" i="3"/>
  <c r="AZ449" i="3"/>
  <c r="AZ452" i="3"/>
  <c r="M1" i="46"/>
  <c r="M6" i="46"/>
  <c r="M10" i="46"/>
  <c r="N2" i="46"/>
  <c r="N5" i="46"/>
  <c r="F58" i="46"/>
  <c r="H61" i="46" s="1"/>
  <c r="F47" i="46"/>
  <c r="H49" i="46" s="1"/>
  <c r="N7" i="46"/>
  <c r="AZ466" i="3"/>
  <c r="AZ474" i="3"/>
  <c r="AZ477" i="3"/>
  <c r="AZ388" i="3"/>
  <c r="AZ215" i="3"/>
  <c r="AZ231" i="3"/>
  <c r="AZ247" i="3"/>
  <c r="AZ263" i="3"/>
  <c r="AZ273" i="3"/>
  <c r="AZ276" i="3"/>
  <c r="AZ289" i="3"/>
  <c r="AZ292" i="3"/>
  <c r="AZ124" i="3"/>
  <c r="AZ140" i="3"/>
  <c r="AZ152" i="3"/>
  <c r="M7" i="46"/>
  <c r="M11" i="46"/>
  <c r="N3" i="46"/>
  <c r="N6" i="46"/>
  <c r="N10" i="46"/>
  <c r="AZ167" i="3"/>
  <c r="AZ180" i="3"/>
  <c r="AZ32" i="3"/>
  <c r="AZ48" i="3"/>
  <c r="AZ71" i="3"/>
  <c r="AZ91" i="3"/>
  <c r="AZ107" i="3"/>
  <c r="J13" i="40"/>
  <c r="W13" i="40" s="1"/>
  <c r="AB14" i="40"/>
  <c r="F27" i="43"/>
  <c r="F71" i="9"/>
  <c r="AC14" i="40"/>
  <c r="W35" i="40"/>
  <c r="S33" i="40"/>
  <c r="AB32" i="40"/>
  <c r="S47" i="39"/>
  <c r="AB25" i="39"/>
  <c r="U37" i="34"/>
  <c r="AB37" i="34"/>
  <c r="W41" i="40"/>
  <c r="J23" i="40"/>
  <c r="AC23" i="40" s="1"/>
  <c r="F23" i="40"/>
  <c r="S23" i="40"/>
  <c r="AC15" i="40"/>
  <c r="W15" i="40"/>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C33"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W43" i="39"/>
  <c r="AA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s="1"/>
  <c r="J11" i="33"/>
  <c r="W11" i="33" s="1"/>
  <c r="H33" i="37"/>
  <c r="AB33" i="37" s="1"/>
  <c r="AC15" i="34"/>
  <c r="U20" i="35"/>
  <c r="AB20" i="35"/>
  <c r="W23" i="40"/>
  <c r="D73" i="9"/>
  <c r="N73" i="9" s="1"/>
  <c r="AP11" i="1"/>
  <c r="B11" i="1"/>
  <c r="E11" i="1" s="1"/>
  <c r="K11" i="1"/>
  <c r="M11" i="1" s="1"/>
  <c r="B9" i="1"/>
  <c r="E9" i="1" s="1"/>
  <c r="K9" i="1"/>
  <c r="M9" i="1" s="1"/>
  <c r="B7" i="1"/>
  <c r="E7" i="1" s="1"/>
  <c r="K7" i="1"/>
  <c r="M7" i="1" s="1"/>
  <c r="C20" i="43"/>
  <c r="F6" i="1"/>
  <c r="AP6" i="1" s="1"/>
  <c r="G11" i="1"/>
  <c r="M22" i="44"/>
  <c r="F29" i="12"/>
  <c r="D86" i="9"/>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AB26" i="33"/>
  <c r="H25" i="33"/>
  <c r="AB25" i="33" s="1"/>
  <c r="J25" i="33"/>
  <c r="W25"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AC34" i="21"/>
  <c r="U35" i="21"/>
  <c r="W28" i="21"/>
  <c r="AC46" i="21"/>
  <c r="AC26" i="21"/>
  <c r="J23" i="21"/>
  <c r="W23" i="21" s="1"/>
  <c r="F23" i="21"/>
  <c r="AA23" i="21" s="1"/>
  <c r="H23" i="21"/>
  <c r="AB23" i="21" s="1"/>
  <c r="F15" i="21"/>
  <c r="S15" i="21" s="1"/>
  <c r="J15" i="21"/>
  <c r="W15" i="21" s="1"/>
  <c r="H15" i="21"/>
  <c r="U15" i="21" s="1"/>
  <c r="AC21" i="21"/>
  <c r="W44" i="21"/>
  <c r="AB21" i="21"/>
  <c r="U21" i="21"/>
  <c r="AA30" i="21"/>
  <c r="W33" i="40"/>
  <c r="U33" i="40"/>
  <c r="S35" i="40"/>
  <c r="U15" i="40"/>
  <c r="S14" i="40"/>
  <c r="S15" i="40"/>
  <c r="AB13" i="40"/>
  <c r="S16" i="40"/>
  <c r="W11" i="40"/>
  <c r="AA21" i="40"/>
  <c r="U21" i="40"/>
  <c r="W25" i="40"/>
  <c r="U25" i="40"/>
  <c r="W42" i="40"/>
  <c r="U35" i="40"/>
  <c r="F37" i="40"/>
  <c r="J37" i="40"/>
  <c r="AC37" i="40" s="1"/>
  <c r="H37" i="40"/>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19" i="39"/>
  <c r="AC38" i="39"/>
  <c r="S29" i="39"/>
  <c r="AC21" i="39"/>
  <c r="S14" i="39"/>
  <c r="AB15" i="39"/>
  <c r="U11" i="39"/>
  <c r="U41" i="39"/>
  <c r="AB38" i="39"/>
  <c r="S38" i="39"/>
  <c r="S22" i="31"/>
  <c r="M20" i="15"/>
  <c r="D96" i="9"/>
  <c r="M18" i="15"/>
  <c r="A18" i="64"/>
  <c r="B74" i="63" s="1"/>
  <c r="C53" i="10"/>
  <c r="A25" i="64" s="1"/>
  <c r="A18" i="51"/>
  <c r="B14" i="63" s="1"/>
  <c r="BA16" i="3"/>
  <c r="BA17" i="3"/>
  <c r="AZ17" i="3"/>
  <c r="F3" i="35"/>
  <c r="K1" i="43"/>
  <c r="K1" i="12"/>
  <c r="G1" i="44"/>
  <c r="I4" i="6"/>
  <c r="C11" i="21" s="1"/>
  <c r="AZ15" i="3"/>
  <c r="BK5" i="3"/>
  <c r="BO5" i="3"/>
  <c r="BP5" i="3"/>
  <c r="BN5" i="3"/>
  <c r="BL18" i="3"/>
  <c r="AZ18" i="3" s="1"/>
  <c r="BC5" i="3"/>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s="1"/>
  <c r="H6" i="48"/>
  <c r="H15" i="48"/>
  <c r="H5" i="48"/>
  <c r="H14" i="48"/>
  <c r="F38" i="46"/>
  <c r="F36" i="46"/>
  <c r="F34" i="46"/>
  <c r="K17" i="46"/>
  <c r="C17" i="46"/>
  <c r="F39" i="46"/>
  <c r="H13" i="48"/>
  <c r="H11" i="48"/>
  <c r="J17" i="46"/>
  <c r="D17" i="46"/>
  <c r="D84" i="46"/>
  <c r="E80" i="46" s="1"/>
  <c r="B78" i="46" s="1"/>
  <c r="E47" i="46"/>
  <c r="B45" i="46" s="1"/>
  <c r="E58" i="46"/>
  <c r="B56" i="46" s="1"/>
  <c r="A4" i="64"/>
  <c r="A4" i="51"/>
  <c r="C51" i="10"/>
  <c r="A9" i="64" s="1"/>
  <c r="H58" i="46"/>
  <c r="I100" i="46"/>
  <c r="N100" i="46"/>
  <c r="H100" i="46"/>
  <c r="F108" i="46"/>
  <c r="H80" i="46"/>
  <c r="E100" i="46"/>
  <c r="G100" i="46"/>
  <c r="H84" i="46"/>
  <c r="C100" i="46"/>
  <c r="J100" i="46"/>
  <c r="M100" i="46"/>
  <c r="AA12" i="36"/>
  <c r="U12" i="35"/>
  <c r="AB12" i="35"/>
  <c r="W11" i="35"/>
  <c r="AA11" i="35"/>
  <c r="S14" i="37"/>
  <c r="U13" i="37"/>
  <c r="C24" i="9"/>
  <c r="C25" i="9"/>
  <c r="G9" i="1"/>
  <c r="G8" i="1"/>
  <c r="I20" i="46"/>
  <c r="B6" i="63"/>
  <c r="L5" i="54"/>
  <c r="B39" i="63" s="1"/>
  <c r="K5" i="54"/>
  <c r="B38" i="63" s="1"/>
  <c r="T41" i="4"/>
  <c r="A17" i="64" s="1"/>
  <c r="B46" i="50"/>
  <c r="B4" i="63" s="1"/>
  <c r="C46" i="36"/>
  <c r="C59" i="34"/>
  <c r="C48" i="35"/>
  <c r="D48" i="35" s="1"/>
  <c r="C52" i="37"/>
  <c r="D52" i="37" s="1"/>
  <c r="D65" i="40"/>
  <c r="E65" i="40" s="1"/>
  <c r="E67" i="40" s="1"/>
  <c r="C72" i="39"/>
  <c r="O19" i="46"/>
  <c r="K17" i="4"/>
  <c r="A22" i="51" s="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A29" i="21"/>
  <c r="U27" i="21"/>
  <c r="W31" i="21"/>
  <c r="W29" i="21"/>
  <c r="G96" i="40"/>
  <c r="J27" i="40"/>
  <c r="AC27" i="40" s="1"/>
  <c r="W37" i="40"/>
  <c r="S17" i="40"/>
  <c r="W30" i="40"/>
  <c r="S34" i="40"/>
  <c r="U17" i="40"/>
  <c r="U38" i="40"/>
  <c r="S40" i="40"/>
  <c r="S42" i="40"/>
  <c r="S45" i="39"/>
  <c r="AB43" i="39"/>
  <c r="AC46" i="39"/>
  <c r="W42" i="39"/>
  <c r="W23"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s="1"/>
  <c r="A17" i="51"/>
  <c r="B13" i="63" s="1"/>
  <c r="AT6" i="3"/>
  <c r="G29" i="6"/>
  <c r="AZ16" i="3"/>
  <c r="A9" i="51"/>
  <c r="B9" i="63" s="1"/>
  <c r="A25" i="51"/>
  <c r="B18" i="63" s="1"/>
  <c r="A3" i="55"/>
  <c r="B56" i="63" s="1"/>
  <c r="D72" i="39"/>
  <c r="E4" i="4"/>
  <c r="C4" i="4"/>
  <c r="B20" i="55" s="1"/>
  <c r="B70" i="63" s="1"/>
  <c r="G66" i="36"/>
  <c r="J18" i="36"/>
  <c r="AC18" i="36" s="1"/>
  <c r="AE8" i="1"/>
  <c r="AE7" i="1"/>
  <c r="AE6" i="1"/>
  <c r="AG6" i="1"/>
  <c r="L20" i="6"/>
  <c r="L19" i="6"/>
  <c r="B21" i="55"/>
  <c r="B72" i="63" s="1"/>
  <c r="F7" i="21"/>
  <c r="AA7" i="21" s="1"/>
  <c r="J7" i="21"/>
  <c r="AC7" i="21" s="1"/>
  <c r="H7" i="21"/>
  <c r="AB7" i="21" s="1"/>
  <c r="E72" i="39"/>
  <c r="F70" i="39"/>
  <c r="F72" i="39" s="1"/>
  <c r="S7" i="1"/>
  <c r="S8" i="1"/>
  <c r="S9" i="1"/>
  <c r="G70" i="39"/>
  <c r="H70" i="39" s="1"/>
  <c r="R9" i="1"/>
  <c r="R7" i="1"/>
  <c r="R8" i="1"/>
  <c r="C45" i="9"/>
  <c r="H14" i="66"/>
  <c r="B7" i="66" s="1"/>
  <c r="O40" i="9"/>
  <c r="K31" i="9"/>
  <c r="K32" i="9" s="1"/>
  <c r="R7" i="54"/>
  <c r="B52" i="63" s="1"/>
  <c r="N76" i="9"/>
  <c r="C46" i="9"/>
  <c r="K33" i="9" s="1"/>
  <c r="K34" i="9" s="1"/>
  <c r="O41" i="9"/>
  <c r="R8" i="54" s="1"/>
  <c r="B54" i="63" s="1"/>
  <c r="F8" i="67"/>
  <c r="F38" i="44"/>
  <c r="E12" i="67"/>
  <c r="M11" i="44"/>
  <c r="E10" i="67"/>
  <c r="B12" i="67"/>
  <c r="E14" i="67"/>
  <c r="M8" i="44"/>
  <c r="F11" i="44"/>
  <c r="F9" i="67"/>
  <c r="L49" i="44"/>
  <c r="L48" i="44"/>
  <c r="N5" i="65"/>
  <c r="F11" i="67"/>
  <c r="M23" i="44"/>
  <c r="N4" i="65"/>
  <c r="F37" i="44"/>
  <c r="F39" i="44"/>
  <c r="B14" i="67"/>
  <c r="M25" i="44"/>
  <c r="N6" i="65"/>
  <c r="M30" i="44"/>
  <c r="F40" i="44"/>
  <c r="F18" i="44"/>
  <c r="M26" i="44"/>
  <c r="B8" i="67"/>
  <c r="F10" i="44"/>
  <c r="M24" i="44"/>
  <c r="F15" i="44"/>
  <c r="F13" i="67"/>
  <c r="B9" i="67"/>
  <c r="B13" i="67"/>
  <c r="F8" i="44"/>
  <c r="F28" i="44"/>
  <c r="L48" i="15"/>
  <c r="B10" i="67"/>
  <c r="F9" i="44"/>
  <c r="J36" i="15"/>
  <c r="C19" i="44"/>
  <c r="E9" i="67"/>
  <c r="E8" i="67"/>
  <c r="M23" i="15"/>
  <c r="M24" i="15"/>
  <c r="F40" i="15"/>
  <c r="F43" i="44"/>
  <c r="E11" i="67"/>
  <c r="M29" i="15"/>
  <c r="M28" i="44"/>
  <c r="F37" i="15"/>
  <c r="F8" i="15"/>
  <c r="N7" i="65"/>
  <c r="F43" i="15"/>
  <c r="J17" i="44"/>
  <c r="B11" i="67"/>
  <c r="F10" i="67"/>
  <c r="F45" i="44"/>
  <c r="J15" i="15"/>
  <c r="M27" i="15"/>
  <c r="M8" i="15"/>
  <c r="E13" i="67"/>
  <c r="F38" i="15"/>
  <c r="N3" i="65"/>
  <c r="M21" i="15"/>
  <c r="M31" i="44"/>
  <c r="M28" i="15"/>
  <c r="F12" i="67"/>
  <c r="F9" i="15"/>
  <c r="M29" i="44"/>
  <c r="M10" i="44"/>
  <c r="F36" i="15"/>
  <c r="L47" i="15"/>
  <c r="M9" i="15"/>
  <c r="F35" i="15"/>
  <c r="F14" i="67"/>
  <c r="F46" i="44"/>
  <c r="M26" i="15"/>
  <c r="F6" i="15"/>
  <c r="AZ496" i="3" l="1"/>
  <c r="AZ506" i="3"/>
  <c r="AZ523" i="3"/>
  <c r="AZ567" i="3"/>
  <c r="AZ571" i="3"/>
  <c r="U13" i="21"/>
  <c r="AB13" i="21"/>
  <c r="AA45" i="21"/>
  <c r="S45" i="21"/>
  <c r="AC9" i="34"/>
  <c r="W9" i="34"/>
  <c r="W24" i="36"/>
  <c r="AC24" i="36"/>
  <c r="W18" i="36"/>
  <c r="W27" i="40"/>
  <c r="F65" i="40"/>
  <c r="F67" i="40" s="1"/>
  <c r="F11" i="21"/>
  <c r="J11" i="21"/>
  <c r="H11" i="21"/>
  <c r="U11" i="21" s="1"/>
  <c r="AZ370" i="3"/>
  <c r="AZ356" i="3"/>
  <c r="AZ345" i="3"/>
  <c r="AZ340" i="3"/>
  <c r="AZ329" i="3"/>
  <c r="AZ324" i="3"/>
  <c r="AZ305" i="3"/>
  <c r="AZ381" i="3"/>
  <c r="AZ359" i="3"/>
  <c r="AZ358" i="3"/>
  <c r="AZ355" i="3"/>
  <c r="AZ307" i="3"/>
  <c r="AB31" i="37"/>
  <c r="U31" i="37"/>
  <c r="U43" i="33"/>
  <c r="AB43" i="33"/>
  <c r="AZ526" i="3"/>
  <c r="AZ534" i="3"/>
  <c r="AC39" i="37"/>
  <c r="W39" i="37"/>
  <c r="AZ542" i="3"/>
  <c r="BA570" i="3"/>
  <c r="AZ570" i="3" s="1"/>
  <c r="S27" i="37"/>
  <c r="AC28" i="34"/>
  <c r="AZ20" i="3"/>
  <c r="AZ514" i="3"/>
  <c r="AZ524" i="3"/>
  <c r="AZ532" i="3"/>
  <c r="AZ546" i="3"/>
  <c r="AZ502" i="3"/>
  <c r="AZ550" i="3"/>
  <c r="AZ556" i="3"/>
  <c r="AZ557" i="3"/>
  <c r="AC28" i="33"/>
  <c r="AB31" i="33"/>
  <c r="AB14" i="21"/>
  <c r="AB31" i="21"/>
  <c r="U30" i="33"/>
  <c r="AA38" i="37"/>
  <c r="F31" i="21"/>
  <c r="H29" i="21"/>
  <c r="F27" i="21"/>
  <c r="J27" i="21"/>
  <c r="F13" i="21"/>
  <c r="J13" i="21"/>
  <c r="S22" i="35"/>
  <c r="W40" i="33"/>
  <c r="AA39" i="37"/>
  <c r="W33" i="33"/>
  <c r="U33" i="33"/>
  <c r="F26" i="33"/>
  <c r="H9" i="21"/>
  <c r="AB9" i="21" s="1"/>
  <c r="J9" i="21"/>
  <c r="AC9" i="21" s="1"/>
  <c r="G571" i="3"/>
  <c r="BF5" i="3"/>
  <c r="F9" i="34"/>
  <c r="G567" i="3"/>
  <c r="G563" i="3"/>
  <c r="G552" i="3"/>
  <c r="G540" i="3"/>
  <c r="G531" i="3"/>
  <c r="G525" i="3"/>
  <c r="G516" i="3"/>
  <c r="G504" i="3"/>
  <c r="G496" i="3"/>
  <c r="G487" i="3"/>
  <c r="G19" i="3"/>
  <c r="C92" i="9"/>
  <c r="A2" i="55"/>
  <c r="B55" i="63" s="1"/>
  <c r="A11" i="55"/>
  <c r="B62" i="6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BL433" i="3"/>
  <c r="AZ433" i="3" s="1"/>
  <c r="BA435" i="3"/>
  <c r="AZ435" i="3" s="1"/>
  <c r="BA436" i="3"/>
  <c r="AZ436" i="3" s="1"/>
  <c r="BL438" i="3"/>
  <c r="AZ438" i="3" s="1"/>
  <c r="AZ451" i="3"/>
  <c r="AZ400" i="3"/>
  <c r="AZ421" i="3"/>
  <c r="BL439" i="3"/>
  <c r="AZ439" i="3" s="1"/>
  <c r="G441" i="3"/>
  <c r="G442" i="3"/>
  <c r="G443" i="3"/>
  <c r="BL443" i="3"/>
  <c r="AZ443" i="3" s="1"/>
  <c r="BA445" i="3"/>
  <c r="AZ445" i="3" s="1"/>
  <c r="BA446" i="3"/>
  <c r="AZ446" i="3" s="1"/>
  <c r="G449" i="3"/>
  <c r="G450" i="3"/>
  <c r="G451" i="3"/>
  <c r="BL451" i="3"/>
  <c r="BA453" i="3"/>
  <c r="AZ453" i="3" s="1"/>
  <c r="BA454" i="3"/>
  <c r="AZ454" i="3" s="1"/>
  <c r="BA455" i="3"/>
  <c r="AZ455" i="3" s="1"/>
  <c r="BA456" i="3"/>
  <c r="AZ456" i="3" s="1"/>
  <c r="BL458" i="3"/>
  <c r="AZ458" i="3" s="1"/>
  <c r="BA460" i="3"/>
  <c r="AZ460" i="3" s="1"/>
  <c r="BA461" i="3"/>
  <c r="AZ461" i="3" s="1"/>
  <c r="BL463" i="3"/>
  <c r="AZ463" i="3" s="1"/>
  <c r="G465" i="3"/>
  <c r="BL465" i="3"/>
  <c r="BL467" i="3"/>
  <c r="AZ467" i="3" s="1"/>
  <c r="BA468" i="3"/>
  <c r="AZ468" i="3" s="1"/>
  <c r="BA469" i="3"/>
  <c r="AZ469" i="3" s="1"/>
  <c r="BL471" i="3"/>
  <c r="AZ471" i="3" s="1"/>
  <c r="G473" i="3"/>
  <c r="BL473" i="3"/>
  <c r="BL475" i="3"/>
  <c r="AZ475"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BA218" i="3"/>
  <c r="AZ218" i="3" s="1"/>
  <c r="BL220" i="3"/>
  <c r="AZ220" i="3" s="1"/>
  <c r="BA222" i="3"/>
  <c r="AZ222" i="3" s="1"/>
  <c r="BA223" i="3"/>
  <c r="AZ223" i="3" s="1"/>
  <c r="BL225" i="3"/>
  <c r="AZ225" i="3" s="1"/>
  <c r="BA226" i="3"/>
  <c r="AZ226" i="3" s="1"/>
  <c r="BL228" i="3"/>
  <c r="AZ228" i="3" s="1"/>
  <c r="G231" i="3"/>
  <c r="G232" i="3"/>
  <c r="BL232" i="3"/>
  <c r="AZ232" i="3" s="1"/>
  <c r="BA234" i="3"/>
  <c r="AZ234" i="3" s="1"/>
  <c r="BL236" i="3"/>
  <c r="AZ236" i="3" s="1"/>
  <c r="BA238" i="3"/>
  <c r="AZ238" i="3" s="1"/>
  <c r="BA239" i="3"/>
  <c r="AZ239" i="3" s="1"/>
  <c r="BL241" i="3"/>
  <c r="AZ241" i="3" s="1"/>
  <c r="BA242" i="3"/>
  <c r="AZ242" i="3" s="1"/>
  <c r="BL244" i="3"/>
  <c r="AZ244" i="3" s="1"/>
  <c r="G247" i="3"/>
  <c r="G248" i="3"/>
  <c r="BL248" i="3"/>
  <c r="AZ248" i="3" s="1"/>
  <c r="BA250" i="3"/>
  <c r="AZ250" i="3" s="1"/>
  <c r="BL252" i="3"/>
  <c r="AZ252" i="3" s="1"/>
  <c r="BA254" i="3"/>
  <c r="AZ254" i="3" s="1"/>
  <c r="BA255" i="3"/>
  <c r="AZ255" i="3" s="1"/>
  <c r="BL257" i="3"/>
  <c r="AZ257" i="3" s="1"/>
  <c r="BA258" i="3"/>
  <c r="AZ258" i="3" s="1"/>
  <c r="BL260" i="3"/>
  <c r="AZ260" i="3" s="1"/>
  <c r="G263" i="3"/>
  <c r="G264" i="3"/>
  <c r="BL264" i="3"/>
  <c r="AZ264"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P53" i="59"/>
  <c r="E52" i="59"/>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AZ60" i="3" s="1"/>
  <c r="BA61" i="3"/>
  <c r="AZ61" i="3" s="1"/>
  <c r="BL63" i="3"/>
  <c r="AZ63" i="3" s="1"/>
  <c r="BA64" i="3"/>
  <c r="AZ64" i="3" s="1"/>
  <c r="BL66" i="3"/>
  <c r="AZ66" i="3" s="1"/>
  <c r="BA67" i="3"/>
  <c r="AZ67" i="3" s="1"/>
  <c r="G70" i="3"/>
  <c r="G71" i="3"/>
  <c r="G72" i="3"/>
  <c r="BL72" i="3"/>
  <c r="AZ72" i="3" s="1"/>
  <c r="BA73" i="3"/>
  <c r="AZ73" i="3" s="1"/>
  <c r="BA74" i="3"/>
  <c r="AZ74" i="3" s="1"/>
  <c r="G77" i="3"/>
  <c r="BL77" i="3"/>
  <c r="AZ77" i="3" s="1"/>
  <c r="BL79" i="3"/>
  <c r="AZ79" i="3" s="1"/>
  <c r="BA80" i="3"/>
  <c r="AZ80" i="3" s="1"/>
  <c r="BL82" i="3"/>
  <c r="AZ82" i="3" s="1"/>
  <c r="BA83" i="3"/>
  <c r="AZ83" i="3" s="1"/>
  <c r="BA84" i="3"/>
  <c r="AZ84" i="3" s="1"/>
  <c r="BL86" i="3"/>
  <c r="AZ86" i="3" s="1"/>
  <c r="BA87" i="3"/>
  <c r="AZ87" i="3" s="1"/>
  <c r="G90" i="3"/>
  <c r="D16" i="59"/>
  <c r="C17" i="59"/>
  <c r="D36" i="59"/>
  <c r="C37" i="59"/>
  <c r="D44" i="59"/>
  <c r="C45" i="59"/>
  <c r="B16" i="59"/>
  <c r="B17" i="59" s="1"/>
  <c r="B18" i="59" s="1"/>
  <c r="S18" i="59" s="1"/>
  <c r="A26" i="51"/>
  <c r="B19" i="63" s="1"/>
  <c r="G91" i="3"/>
  <c r="G92" i="3"/>
  <c r="BL92" i="3"/>
  <c r="AZ92" i="3" s="1"/>
  <c r="BA93" i="3"/>
  <c r="AZ93" i="3" s="1"/>
  <c r="BA94" i="3"/>
  <c r="AZ94" i="3" s="1"/>
  <c r="G97" i="3"/>
  <c r="BL97" i="3"/>
  <c r="AZ97" i="3" s="1"/>
  <c r="BL99" i="3"/>
  <c r="AZ99" i="3" s="1"/>
  <c r="BA100" i="3"/>
  <c r="AZ100" i="3" s="1"/>
  <c r="BL102" i="3"/>
  <c r="AZ102" i="3" s="1"/>
  <c r="BA103" i="3"/>
  <c r="AZ103" i="3" s="1"/>
  <c r="G106" i="3"/>
  <c r="G107" i="3"/>
  <c r="G108" i="3"/>
  <c r="BL108" i="3"/>
  <c r="AZ108" i="3" s="1"/>
  <c r="BA109" i="3"/>
  <c r="AZ109" i="3" s="1"/>
  <c r="BA110" i="3"/>
  <c r="AZ110" i="3" s="1"/>
  <c r="BL112" i="3"/>
  <c r="AZ112" i="3" s="1"/>
  <c r="I10" i="57"/>
  <c r="C27" i="40"/>
  <c r="X9" i="59"/>
  <c r="AC23" i="21"/>
  <c r="U23" i="21"/>
  <c r="AB15" i="21"/>
  <c r="AA15" i="21"/>
  <c r="W9" i="21"/>
  <c r="AA9" i="21"/>
  <c r="U9" i="21"/>
  <c r="AB11" i="21"/>
  <c r="E5" i="6"/>
  <c r="D21" i="12" s="1"/>
  <c r="C21" i="12" s="1"/>
  <c r="S34" i="39"/>
  <c r="S27" i="39"/>
  <c r="I14" i="66"/>
  <c r="B8" i="66" s="1"/>
  <c r="E58" i="39"/>
  <c r="F27" i="6"/>
  <c r="E53" i="40"/>
  <c r="G3" i="46"/>
  <c r="C13" i="39"/>
  <c r="S33" i="21"/>
  <c r="AC33" i="21"/>
  <c r="S46" i="21"/>
  <c r="AC47" i="39"/>
  <c r="G72" i="39"/>
  <c r="E29" i="6"/>
  <c r="K15" i="1" s="1"/>
  <c r="AZ484" i="3"/>
  <c r="AA31" i="33"/>
  <c r="S31" i="33"/>
  <c r="U45" i="33"/>
  <c r="AB45" i="33"/>
  <c r="AC23" i="35"/>
  <c r="W23" i="35"/>
  <c r="U36" i="35"/>
  <c r="AB36" i="35"/>
  <c r="D58" i="33"/>
  <c r="E58" i="33" s="1"/>
  <c r="F58" i="33" s="1"/>
  <c r="G58" i="33" s="1"/>
  <c r="H58" i="33" s="1"/>
  <c r="I58" i="33" s="1"/>
  <c r="J58" i="33" s="1"/>
  <c r="K58" i="33" s="1"/>
  <c r="L58" i="33" s="1"/>
  <c r="M58" i="33" s="1"/>
  <c r="N58" i="33" s="1"/>
  <c r="O58" i="33" s="1"/>
  <c r="AC26" i="33"/>
  <c r="W26" i="33"/>
  <c r="S28" i="34"/>
  <c r="AA28" i="34"/>
  <c r="AC23" i="36"/>
  <c r="W23" i="36"/>
  <c r="U25" i="33"/>
  <c r="S17" i="34"/>
  <c r="U41" i="40"/>
  <c r="W40" i="40"/>
  <c r="F69" i="46"/>
  <c r="H5" i="3"/>
  <c r="H12" i="36"/>
  <c r="F23" i="36"/>
  <c r="H23" i="36"/>
  <c r="G569" i="3"/>
  <c r="G564" i="3"/>
  <c r="AZ389" i="3"/>
  <c r="AZ404" i="3"/>
  <c r="U12" i="37"/>
  <c r="AC23" i="37"/>
  <c r="S46" i="33"/>
  <c r="AB40" i="37"/>
  <c r="W46" i="33"/>
  <c r="W35" i="35"/>
  <c r="BT5" i="3"/>
  <c r="G28" i="6" s="1"/>
  <c r="BL13" i="3"/>
  <c r="BI5" i="3"/>
  <c r="BG5" i="3"/>
  <c r="J43" i="21"/>
  <c r="H25" i="37"/>
  <c r="J25" i="37"/>
  <c r="F25" i="37"/>
  <c r="AZ396" i="3"/>
  <c r="AZ412" i="3"/>
  <c r="AZ419" i="3"/>
  <c r="AZ425" i="3"/>
  <c r="AZ429" i="3"/>
  <c r="AZ437" i="3"/>
  <c r="AZ457" i="3"/>
  <c r="AZ473" i="3"/>
  <c r="AZ465" i="3"/>
  <c r="AZ387" i="3"/>
  <c r="AZ219" i="3"/>
  <c r="AZ224" i="3"/>
  <c r="AZ235" i="3"/>
  <c r="AZ240" i="3"/>
  <c r="AZ251" i="3"/>
  <c r="AZ256" i="3"/>
  <c r="AZ267" i="3"/>
  <c r="AZ271" i="3"/>
  <c r="AZ283" i="3"/>
  <c r="AZ287" i="3"/>
  <c r="AZ156" i="3"/>
  <c r="AZ159" i="3"/>
  <c r="AZ172" i="3"/>
  <c r="AZ175" i="3"/>
  <c r="AZ202" i="3"/>
  <c r="AZ21" i="3"/>
  <c r="AZ28" i="3"/>
  <c r="AZ34" i="3"/>
  <c r="AZ37" i="3"/>
  <c r="AZ44" i="3"/>
  <c r="AZ50" i="3"/>
  <c r="AZ53" i="3"/>
  <c r="D1" i="57"/>
  <c r="E10" i="57" s="1"/>
  <c r="I21" i="57"/>
  <c r="AZ57" i="3"/>
  <c r="AZ62" i="3"/>
  <c r="AZ65" i="3"/>
  <c r="AZ68" i="3"/>
  <c r="AZ75" i="3"/>
  <c r="AZ81" i="3"/>
  <c r="AZ85" i="3"/>
  <c r="AZ88" i="3"/>
  <c r="AZ95" i="3"/>
  <c r="AZ101" i="3"/>
  <c r="AZ104" i="3"/>
  <c r="AZ111" i="3"/>
  <c r="C29" i="59"/>
  <c r="D28" i="59"/>
  <c r="V14" i="59"/>
  <c r="F13" i="59"/>
  <c r="F12" i="59" s="1"/>
  <c r="K12" i="1"/>
  <c r="S27" i="40"/>
  <c r="D40" i="59"/>
  <c r="C41" i="59"/>
  <c r="D48" i="59"/>
  <c r="C49" i="59"/>
  <c r="B13" i="59"/>
  <c r="B12" i="59" s="1"/>
  <c r="S14" i="59"/>
  <c r="Y15" i="59"/>
  <c r="Z15" i="59" s="1"/>
  <c r="F16" i="59"/>
  <c r="F17" i="59" s="1"/>
  <c r="F18" i="59" s="1"/>
  <c r="V18" i="59" s="1"/>
  <c r="X18" i="59"/>
  <c r="B20" i="59"/>
  <c r="B21" i="59" s="1"/>
  <c r="B22" i="59" s="1"/>
  <c r="S22" i="59" s="1"/>
  <c r="C20" i="59"/>
  <c r="AA19" i="59"/>
  <c r="AB22" i="59"/>
  <c r="Y23" i="59"/>
  <c r="Z23" i="59" s="1"/>
  <c r="E24" i="59"/>
  <c r="E25" i="59" s="1"/>
  <c r="E26" i="59" s="1"/>
  <c r="F24" i="59"/>
  <c r="F25" i="59" s="1"/>
  <c r="F26" i="59" s="1"/>
  <c r="V26" i="59" s="1"/>
  <c r="Q51" i="59"/>
  <c r="T14" i="59"/>
  <c r="C13" i="59"/>
  <c r="F9" i="59"/>
  <c r="F8" i="59" s="1"/>
  <c r="F7" i="59" s="1"/>
  <c r="F6" i="59" s="1"/>
  <c r="V10" i="59"/>
  <c r="E5" i="59"/>
  <c r="U6" i="59"/>
  <c r="D14" i="59"/>
  <c r="Y10" i="59"/>
  <c r="Z10" i="59" s="1"/>
  <c r="AB10" i="59"/>
  <c r="AA8" i="59"/>
  <c r="AA9" i="59"/>
  <c r="AA10" i="59"/>
  <c r="X8" i="59"/>
  <c r="X7" i="59"/>
  <c r="AA7" i="59"/>
  <c r="AC12" i="46"/>
  <c r="Z12" i="46"/>
  <c r="AA10" i="46"/>
  <c r="AI10" i="46"/>
  <c r="E13" i="59"/>
  <c r="E12" i="59" s="1"/>
  <c r="O76" i="9"/>
  <c r="K76" i="9"/>
  <c r="K77" i="9" s="1"/>
  <c r="K79" i="9" s="1"/>
  <c r="K81" i="9" s="1"/>
  <c r="X10" i="59"/>
  <c r="Y8" i="59"/>
  <c r="Z8" i="59" s="1"/>
  <c r="Y9" i="59"/>
  <c r="Z9" i="59" s="1"/>
  <c r="C10" i="59"/>
  <c r="AB8" i="59"/>
  <c r="AB9" i="59"/>
  <c r="Y7" i="59"/>
  <c r="Z7" i="59" s="1"/>
  <c r="AB7" i="59"/>
  <c r="AB5" i="59"/>
  <c r="A28" i="64"/>
  <c r="X6" i="59"/>
  <c r="AA6" i="59"/>
  <c r="AA5" i="59"/>
  <c r="Y6" i="59"/>
  <c r="Z6" i="59" s="1"/>
  <c r="AB6" i="59"/>
  <c r="X5" i="59"/>
  <c r="Y5" i="59"/>
  <c r="Z5" i="59" s="1"/>
  <c r="L27" i="6"/>
  <c r="W10" i="21"/>
  <c r="S7" i="21"/>
  <c r="AB10" i="21"/>
  <c r="S10" i="21"/>
  <c r="U43" i="21"/>
  <c r="AA36" i="21"/>
  <c r="AB32" i="21"/>
  <c r="AA32" i="21"/>
  <c r="AC38" i="21"/>
  <c r="U38" i="21"/>
  <c r="AA38" i="21"/>
  <c r="AC35" i="21"/>
  <c r="W32" i="21"/>
  <c r="AB29" i="39"/>
  <c r="W29" i="39"/>
  <c r="W25" i="39"/>
  <c r="AC44" i="39"/>
  <c r="AB44" i="39"/>
  <c r="S41" i="39"/>
  <c r="W41" i="39"/>
  <c r="W36" i="39"/>
  <c r="W34" i="39"/>
  <c r="U34" i="39"/>
  <c r="AB33" i="39"/>
  <c r="S25" i="39"/>
  <c r="W27" i="39"/>
  <c r="S23" i="39"/>
  <c r="AC17" i="39"/>
  <c r="S17" i="39"/>
  <c r="AA43" i="21"/>
  <c r="S42" i="21"/>
  <c r="U42" i="21"/>
  <c r="W42" i="21"/>
  <c r="S23" i="21"/>
  <c r="S21" i="21"/>
  <c r="AC19" i="21"/>
  <c r="U19" i="21"/>
  <c r="W17" i="21"/>
  <c r="AA17" i="21"/>
  <c r="U17" i="21"/>
  <c r="AC15" i="21"/>
  <c r="U23" i="39"/>
  <c r="AB17" i="39"/>
  <c r="F31" i="39"/>
  <c r="AA31" i="39" s="1"/>
  <c r="F105" i="39"/>
  <c r="G105" i="39" s="1"/>
  <c r="J31" i="39" s="1"/>
  <c r="AC31" i="39" s="1"/>
  <c r="S31" i="39"/>
  <c r="W31" i="39"/>
  <c r="G113" i="21"/>
  <c r="J37" i="21" s="1"/>
  <c r="AB36" i="21"/>
  <c r="C18" i="9"/>
  <c r="D18" i="9" s="1"/>
  <c r="M44" i="9" s="1"/>
  <c r="W8" i="21"/>
  <c r="G83" i="39"/>
  <c r="H83" i="39" s="1"/>
  <c r="I83" i="39" s="1"/>
  <c r="J83" i="39" s="1"/>
  <c r="K83" i="39" s="1"/>
  <c r="L83" i="39" s="1"/>
  <c r="M83" i="39" s="1"/>
  <c r="F13" i="39"/>
  <c r="U40" i="39"/>
  <c r="S40" i="39"/>
  <c r="A30" i="51"/>
  <c r="B22" i="63" s="1"/>
  <c r="A30" i="64"/>
  <c r="F28" i="15"/>
  <c r="C28" i="15" s="1"/>
  <c r="F30" i="44"/>
  <c r="M20" i="44"/>
  <c r="F70" i="9"/>
  <c r="F32" i="15"/>
  <c r="F59" i="15" s="1"/>
  <c r="F72" i="9"/>
  <c r="F66" i="9"/>
  <c r="P72" i="9" s="1"/>
  <c r="D23" i="15"/>
  <c r="AZ13" i="3"/>
  <c r="BL5" i="3"/>
  <c r="F30" i="6"/>
  <c r="D12" i="11"/>
  <c r="C12" i="11" s="1"/>
  <c r="U7" i="21"/>
  <c r="D67" i="40"/>
  <c r="E14" i="52"/>
  <c r="C30" i="44"/>
  <c r="C25" i="12"/>
  <c r="C15" i="43"/>
  <c r="C27" i="43"/>
  <c r="C31" i="43"/>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O7" i="1"/>
  <c r="P7" i="1" s="1"/>
  <c r="O11" i="1"/>
  <c r="P11" i="1" s="1"/>
  <c r="O13" i="1"/>
  <c r="P13" i="1" s="1"/>
  <c r="O9" i="1"/>
  <c r="P9" i="1" s="1"/>
  <c r="E14" i="6"/>
  <c r="E15" i="6"/>
  <c r="E13" i="6"/>
  <c r="E12" i="6"/>
  <c r="E10" i="6"/>
  <c r="E11" i="6"/>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F62" i="15"/>
  <c r="C61" i="15" s="1"/>
  <c r="C34" i="15"/>
  <c r="J20" i="15"/>
  <c r="F65" i="15"/>
  <c r="F50" i="15"/>
  <c r="L59" i="15"/>
  <c r="L58" i="15"/>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F33" i="44"/>
  <c r="F31" i="15"/>
  <c r="M19" i="44"/>
  <c r="M17" i="15"/>
  <c r="F58" i="15"/>
  <c r="F13" i="15"/>
  <c r="F41" i="15"/>
  <c r="F16" i="15"/>
  <c r="M22" i="15"/>
  <c r="I3" i="65"/>
  <c r="C17" i="15"/>
  <c r="C18" i="44"/>
  <c r="I6" i="65"/>
  <c r="J3" i="65"/>
  <c r="J4" i="65"/>
  <c r="I4" i="65"/>
  <c r="I5" i="65"/>
  <c r="J5" i="65"/>
  <c r="J6" i="65"/>
  <c r="F7" i="15"/>
  <c r="M6" i="15"/>
  <c r="F42" i="15"/>
  <c r="F26" i="15"/>
  <c r="I7" i="65"/>
  <c r="J7" i="65"/>
  <c r="C27" i="15" l="1"/>
  <c r="M7" i="15"/>
  <c r="J6" i="15" s="1"/>
  <c r="C6" i="15"/>
  <c r="F49" i="15"/>
  <c r="F68" i="15"/>
  <c r="AZ5" i="3"/>
  <c r="E3" i="6" s="1"/>
  <c r="AA9" i="34"/>
  <c r="S9" i="34"/>
  <c r="AA13" i="21"/>
  <c r="S13" i="21"/>
  <c r="AA27" i="21"/>
  <c r="S27" i="21"/>
  <c r="S31" i="21"/>
  <c r="AA31" i="21"/>
  <c r="W11" i="21"/>
  <c r="AC11" i="21"/>
  <c r="BA5" i="3"/>
  <c r="E27" i="6" s="1"/>
  <c r="J7" i="33"/>
  <c r="W7" i="33" s="1"/>
  <c r="C46" i="59"/>
  <c r="D45" i="59"/>
  <c r="D37" i="59"/>
  <c r="C38" i="59"/>
  <c r="D17" i="59"/>
  <c r="C18" i="59"/>
  <c r="P51" i="59"/>
  <c r="P52" i="59"/>
  <c r="AA26" i="33"/>
  <c r="S26" i="33"/>
  <c r="AC13" i="21"/>
  <c r="W13" i="21"/>
  <c r="W27" i="21"/>
  <c r="AC27" i="21"/>
  <c r="U29" i="21"/>
  <c r="AB29" i="21"/>
  <c r="S11" i="21"/>
  <c r="AA11" i="21"/>
  <c r="J13" i="39"/>
  <c r="H13" i="39"/>
  <c r="G30" i="6"/>
  <c r="G31" i="6" s="1"/>
  <c r="E28" i="6"/>
  <c r="M43" i="9"/>
  <c r="F5" i="59"/>
  <c r="V6" i="59"/>
  <c r="C50" i="59"/>
  <c r="D49" i="59"/>
  <c r="C42" i="59"/>
  <c r="D41" i="59"/>
  <c r="S25" i="37"/>
  <c r="AA25" i="37"/>
  <c r="U25" i="37"/>
  <c r="AB25" i="37"/>
  <c r="G5" i="3"/>
  <c r="B3" i="3" s="1"/>
  <c r="E569" i="3" s="1"/>
  <c r="AB23" i="36"/>
  <c r="U23" i="36"/>
  <c r="U12" i="36"/>
  <c r="AB12" i="36"/>
  <c r="H71" i="46"/>
  <c r="AC7" i="33"/>
  <c r="V48" i="33" s="1"/>
  <c r="I48" i="33" s="1"/>
  <c r="I52" i="33" s="1"/>
  <c r="J52" i="33" s="1"/>
  <c r="G16" i="1"/>
  <c r="C9" i="59"/>
  <c r="D10" i="59"/>
  <c r="T10" i="59"/>
  <c r="C12" i="59"/>
  <c r="D12" i="59" s="1"/>
  <c r="D13" i="59"/>
  <c r="M19" i="46"/>
  <c r="U26" i="59"/>
  <c r="D20" i="59"/>
  <c r="C21" i="59"/>
  <c r="M12" i="1"/>
  <c r="O12" i="1" s="1"/>
  <c r="P12" i="1" s="1"/>
  <c r="H16" i="1"/>
  <c r="C30" i="59"/>
  <c r="D29" i="59"/>
  <c r="W25" i="37"/>
  <c r="AC25" i="37"/>
  <c r="AC43" i="21"/>
  <c r="W43" i="21"/>
  <c r="AA23" i="36"/>
  <c r="S23" i="36"/>
  <c r="H31" i="39"/>
  <c r="W37" i="21"/>
  <c r="AC37" i="21"/>
  <c r="F37" i="21"/>
  <c r="H113" i="21"/>
  <c r="H37" i="21"/>
  <c r="AA13" i="39"/>
  <c r="S13" i="39"/>
  <c r="C34" i="12"/>
  <c r="D33" i="12" s="1"/>
  <c r="D16" i="43"/>
  <c r="C16" i="43" s="1"/>
  <c r="L38" i="9"/>
  <c r="B14" i="66" s="1"/>
  <c r="B1" i="66" s="1"/>
  <c r="D46" i="9"/>
  <c r="D16" i="12"/>
  <c r="D45" i="9"/>
  <c r="B5" i="59"/>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C16" i="15"/>
  <c r="E2" i="65"/>
  <c r="E3" i="65"/>
  <c r="D46" i="59" l="1"/>
  <c r="T46" i="59"/>
  <c r="D18" i="59"/>
  <c r="T18" i="59"/>
  <c r="D38" i="59"/>
  <c r="T38" i="59"/>
  <c r="E6" i="6"/>
  <c r="D10" i="11"/>
  <c r="C21" i="4"/>
  <c r="O5" i="54" s="1"/>
  <c r="B45" i="63" s="1"/>
  <c r="AB13" i="39"/>
  <c r="U13" i="39"/>
  <c r="AC13" i="39"/>
  <c r="W13" i="39"/>
  <c r="O28" i="46"/>
  <c r="G20" i="46" s="1"/>
  <c r="E41" i="46" s="1"/>
  <c r="C41" i="46" s="1"/>
  <c r="T30" i="59"/>
  <c r="D30" i="59"/>
  <c r="K72" i="46"/>
  <c r="M72" i="46"/>
  <c r="N72" i="46" s="1"/>
  <c r="M76" i="46"/>
  <c r="N76" i="46" s="1"/>
  <c r="K76" i="46"/>
  <c r="M71" i="46"/>
  <c r="N71" i="46" s="1"/>
  <c r="K71" i="46"/>
  <c r="K75" i="46"/>
  <c r="M75" i="46"/>
  <c r="N75" i="46" s="1"/>
  <c r="E561"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9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7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H6" i="3" s="1"/>
  <c r="E103" i="3"/>
  <c r="E548" i="3"/>
  <c r="E200" i="3"/>
  <c r="Z6" i="3"/>
  <c r="E62" i="3"/>
  <c r="E454" i="3"/>
  <c r="E389" i="3"/>
  <c r="E520" i="3"/>
  <c r="E230" i="3"/>
  <c r="AK6" i="3"/>
  <c r="E143" i="3"/>
  <c r="AY6" i="3"/>
  <c r="T42" i="59"/>
  <c r="D42" i="59"/>
  <c r="D50" i="59"/>
  <c r="T50" i="59"/>
  <c r="V48" i="21"/>
  <c r="I48" i="21" s="1"/>
  <c r="C22" i="59"/>
  <c r="D21" i="59"/>
  <c r="C8" i="59"/>
  <c r="D9" i="59"/>
  <c r="M70" i="46"/>
  <c r="N70" i="46" s="1"/>
  <c r="K70" i="46"/>
  <c r="K74" i="46"/>
  <c r="J74" i="46" s="1"/>
  <c r="D74" i="46" s="1"/>
  <c r="M74" i="46"/>
  <c r="N74" i="46" s="1"/>
  <c r="K69" i="46"/>
  <c r="M69" i="46"/>
  <c r="N69" i="46" s="1"/>
  <c r="M73" i="46"/>
  <c r="N73" i="46" s="1"/>
  <c r="K73" i="46"/>
  <c r="M77" i="46"/>
  <c r="N77" i="46" s="1"/>
  <c r="K77" i="46"/>
  <c r="E564" i="3"/>
  <c r="AB31" i="39"/>
  <c r="U31" i="39"/>
  <c r="I52" i="21"/>
  <c r="J52" i="21" s="1"/>
  <c r="U37" i="21"/>
  <c r="AB37" i="21"/>
  <c r="T48" i="21" s="1"/>
  <c r="G48" i="21" s="1"/>
  <c r="S37" i="21"/>
  <c r="AA37" i="21"/>
  <c r="R48" i="21" s="1"/>
  <c r="C7" i="66"/>
  <c r="C8" i="66"/>
  <c r="D19" i="12"/>
  <c r="C19" i="12" s="1"/>
  <c r="C16" i="12"/>
  <c r="M28" i="46"/>
  <c r="N28" i="46"/>
  <c r="B40" i="1"/>
  <c r="F24" i="15" s="1"/>
  <c r="C24" i="15" s="1"/>
  <c r="F17" i="11"/>
  <c r="S5" i="46"/>
  <c r="S2" i="46"/>
  <c r="S3" i="46"/>
  <c r="S7" i="46"/>
  <c r="S6" i="46"/>
  <c r="S4" i="46"/>
  <c r="K16" i="1"/>
  <c r="C11" i="11" s="1"/>
  <c r="C10" i="11" s="1"/>
  <c r="C18" i="11" s="1"/>
  <c r="M14" i="1"/>
  <c r="M19" i="6"/>
  <c r="K27" i="6"/>
  <c r="E68" i="3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9" i="15" s="1"/>
  <c r="J24" i="15"/>
  <c r="J18" i="15"/>
  <c r="L52" i="44"/>
  <c r="D13" i="11" l="1"/>
  <c r="C13" i="11" s="1"/>
  <c r="D22" i="12"/>
  <c r="C22" i="12" s="1"/>
  <c r="C20" i="46"/>
  <c r="J69" i="46"/>
  <c r="D69" i="46"/>
  <c r="D8" i="59"/>
  <c r="C7" i="59"/>
  <c r="D22" i="59"/>
  <c r="T22" i="5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J71" i="46"/>
  <c r="D71" i="46"/>
  <c r="J76" i="46"/>
  <c r="D76" i="46"/>
  <c r="F7" i="36"/>
  <c r="J77" i="46"/>
  <c r="D77" i="46"/>
  <c r="J73" i="46"/>
  <c r="D73" i="46"/>
  <c r="J70" i="46"/>
  <c r="D70" i="46"/>
  <c r="J75" i="46"/>
  <c r="D75" i="46"/>
  <c r="J72" i="46"/>
  <c r="D72" i="46"/>
  <c r="C17" i="11"/>
  <c r="C19" i="11" s="1"/>
  <c r="C20" i="11" s="1"/>
  <c r="C21" i="11" s="1"/>
  <c r="C22" i="11" s="1"/>
  <c r="C23" i="11" s="1"/>
  <c r="B2" i="11" s="1"/>
  <c r="B3" i="11" s="1"/>
  <c r="C20" i="12"/>
  <c r="E48" i="21"/>
  <c r="R49" i="21"/>
  <c r="G53" i="21"/>
  <c r="H53" i="21" s="1"/>
  <c r="G52" i="21"/>
  <c r="H52" i="21" s="1"/>
  <c r="F21" i="43"/>
  <c r="C23" i="43" s="1"/>
  <c r="D21" i="43" s="1"/>
  <c r="F26" i="12"/>
  <c r="C27" i="12" s="1"/>
  <c r="D26" i="12" s="1"/>
  <c r="C32" i="12" s="1"/>
  <c r="D30" i="12" s="1"/>
  <c r="F26" i="44"/>
  <c r="C26" i="44"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4" i="15"/>
  <c r="C16" i="44"/>
  <c r="E63" i="40" l="1"/>
  <c r="D19" i="6"/>
  <c r="D25" i="6"/>
  <c r="D13" i="6"/>
  <c r="H24" i="6"/>
  <c r="D23" i="6"/>
  <c r="D28" i="6"/>
  <c r="D8" i="6"/>
  <c r="E45" i="9"/>
  <c r="K38" i="9"/>
  <c r="C14" i="66" s="1"/>
  <c r="B2" i="66" s="1"/>
  <c r="D26" i="6"/>
  <c r="D11" i="6"/>
  <c r="H20" i="6"/>
  <c r="D9" i="6"/>
  <c r="D29" i="6"/>
  <c r="D15" i="6"/>
  <c r="E46" i="9"/>
  <c r="C22" i="4"/>
  <c r="D21" i="6"/>
  <c r="D10" i="6"/>
  <c r="H21" i="6"/>
  <c r="D6" i="6"/>
  <c r="D14" i="6"/>
  <c r="D20" i="6"/>
  <c r="H23" i="6"/>
  <c r="F45" i="9"/>
  <c r="D24" i="6"/>
  <c r="R24" i="6" s="1"/>
  <c r="D22" i="6"/>
  <c r="D12" i="6"/>
  <c r="H25" i="6"/>
  <c r="D5" i="6"/>
  <c r="H22" i="6"/>
  <c r="H26" i="6"/>
  <c r="F46" i="9"/>
  <c r="B5" i="11"/>
  <c r="C6" i="59"/>
  <c r="D7" i="59"/>
  <c r="E69" i="46"/>
  <c r="B67" i="46" s="1"/>
  <c r="C24" i="46" s="1"/>
  <c r="B4" i="11"/>
  <c r="C48" i="21"/>
  <c r="C49" i="21"/>
  <c r="B3" i="21" s="1"/>
  <c r="E52" i="21"/>
  <c r="F52" i="21" s="1"/>
  <c r="E53" i="21"/>
  <c r="F53" i="21" s="1"/>
  <c r="I53" i="21"/>
  <c r="J53" i="21" s="1"/>
  <c r="T16" i="1"/>
  <c r="P14" i="1"/>
  <c r="P16" i="1" s="1"/>
  <c r="C13" i="12" s="1"/>
  <c r="C14" i="12"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R20" i="6" l="1"/>
  <c r="D30" i="6"/>
  <c r="R25" i="6"/>
  <c r="R21" i="6"/>
  <c r="T6" i="59"/>
  <c r="D6" i="59"/>
  <c r="M20" i="46" s="1"/>
  <c r="C19" i="46" s="1"/>
  <c r="C5" i="59"/>
  <c r="D5" i="59" s="1"/>
  <c r="R22" i="6"/>
  <c r="A6" i="64"/>
  <c r="A20" i="51"/>
  <c r="B15" i="63" s="1"/>
  <c r="A6" i="51"/>
  <c r="B7" i="63" s="1"/>
  <c r="A20" i="64"/>
  <c r="N5" i="54"/>
  <c r="B43" i="63" s="1"/>
  <c r="R26" i="6"/>
  <c r="D16" i="6"/>
  <c r="R23" i="6"/>
  <c r="D27" i="6"/>
  <c r="D31" i="6" s="1"/>
  <c r="I6" i="6" s="1"/>
  <c r="D7" i="66"/>
  <c r="D8" i="66"/>
  <c r="B2" i="21"/>
  <c r="C10" i="12" s="1"/>
  <c r="C6" i="12" s="1"/>
  <c r="C8" i="12"/>
  <c r="C17" i="12"/>
  <c r="C18" i="12" s="1"/>
  <c r="C23" i="12" s="1"/>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I5" i="6" l="1"/>
  <c r="T7" i="46"/>
  <c r="V7" i="46" s="1"/>
  <c r="C34" i="46"/>
  <c r="C36" i="46"/>
  <c r="C37" i="46"/>
  <c r="T3" i="46"/>
  <c r="V3" i="46" s="1"/>
  <c r="C35" i="46"/>
  <c r="T16" i="46"/>
  <c r="V16" i="46" s="1"/>
  <c r="T14" i="46"/>
  <c r="V14" i="46" s="1"/>
  <c r="T12" i="46"/>
  <c r="V12" i="46" s="1"/>
  <c r="T13" i="46"/>
  <c r="V13" i="46" s="1"/>
  <c r="T10" i="46"/>
  <c r="V10" i="46" s="1"/>
  <c r="T2" i="46"/>
  <c r="V2" i="46" s="1"/>
  <c r="T4" i="46"/>
  <c r="V4" i="46" s="1"/>
  <c r="C39" i="46"/>
  <c r="C33" i="46"/>
  <c r="T6" i="46"/>
  <c r="V6" i="46" s="1"/>
  <c r="T5" i="46"/>
  <c r="V5" i="46" s="1"/>
  <c r="C38" i="46"/>
  <c r="T9" i="46"/>
  <c r="V9" i="46" s="1"/>
  <c r="T15" i="46"/>
  <c r="V15" i="46" s="1"/>
  <c r="C29" i="46"/>
  <c r="C27" i="9" s="1"/>
  <c r="T8" i="46"/>
  <c r="V8" i="46" s="1"/>
  <c r="T11" i="46"/>
  <c r="V11" i="46" s="1"/>
  <c r="C24" i="12"/>
  <c r="C35" i="12" s="1"/>
  <c r="C33" i="12" s="1"/>
  <c r="C29" i="12"/>
  <c r="R27" i="6"/>
  <c r="R6" i="1"/>
  <c r="R16" i="1"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E38" i="46" l="1"/>
  <c r="G38" i="46"/>
  <c r="I38" i="46" s="1"/>
  <c r="G39" i="46"/>
  <c r="I39" i="46" s="1"/>
  <c r="E39" i="46"/>
  <c r="G35" i="46"/>
  <c r="I35" i="46" s="1"/>
  <c r="E35" i="46"/>
  <c r="G37" i="46"/>
  <c r="I37" i="46" s="1"/>
  <c r="E37" i="46"/>
  <c r="E34" i="46"/>
  <c r="G34" i="46"/>
  <c r="I34" i="46" s="1"/>
  <c r="C30" i="46"/>
  <c r="E30" i="46" s="1"/>
  <c r="E29" i="46"/>
  <c r="E33" i="46"/>
  <c r="G33" i="46"/>
  <c r="I33" i="46" s="1"/>
  <c r="G36" i="46"/>
  <c r="I36" i="46" s="1"/>
  <c r="E36" i="46"/>
  <c r="C28" i="12"/>
  <c r="C26" i="12" s="1"/>
  <c r="C31" i="12" s="1"/>
  <c r="C30" i="12" s="1"/>
  <c r="C36" i="12" s="1"/>
  <c r="B2" i="12"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D19" i="9"/>
  <c r="F7" i="67"/>
  <c r="E4" i="67" l="1"/>
  <c r="C26" i="46"/>
  <c r="C27" i="46"/>
  <c r="J22" i="15"/>
  <c r="J16" i="15" s="1"/>
  <c r="J25" i="15" s="1"/>
  <c r="B4" i="12"/>
  <c r="B5" i="12"/>
  <c r="B3" i="12"/>
  <c r="L44" i="9"/>
  <c r="R50" i="39"/>
  <c r="C50" i="39" s="1"/>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E7" i="67"/>
  <c r="L51" i="15"/>
  <c r="D21" i="9"/>
  <c r="D20" i="9"/>
  <c r="E3" i="67" l="1"/>
  <c r="B2" i="46"/>
  <c r="C49"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B7" i="67"/>
  <c r="B2" i="67" l="1"/>
  <c r="D4" i="46"/>
  <c r="B3" i="46"/>
  <c r="B4" i="46"/>
  <c r="F68" i="39"/>
  <c r="B2" i="39" s="1"/>
  <c r="B3" i="39" s="1"/>
  <c r="C46" i="15"/>
  <c r="Q63" i="15"/>
  <c r="Q67" i="15"/>
  <c r="Q76" i="15" s="1"/>
  <c r="L46" i="15"/>
  <c r="B2" i="15" s="1"/>
  <c r="B3"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C20" i="9"/>
  <c r="B4" i="39" l="1"/>
  <c r="B5" i="39"/>
  <c r="G19" i="9"/>
  <c r="G22" i="9" s="1"/>
  <c r="L43" i="9"/>
  <c r="D22" i="9"/>
  <c r="B4" i="67"/>
  <c r="B3" i="67"/>
  <c r="G20" i="9"/>
  <c r="W7" i="37"/>
  <c r="AC7" i="37"/>
  <c r="V42" i="37" s="1"/>
  <c r="I42" i="37" s="1"/>
  <c r="C45" i="40"/>
  <c r="C44" i="40"/>
  <c r="AB7" i="37"/>
  <c r="T42" i="37" s="1"/>
  <c r="G42" i="37" s="1"/>
  <c r="U7" i="37"/>
  <c r="E48" i="40"/>
  <c r="F48" i="40" s="1"/>
  <c r="E49" i="40"/>
  <c r="F49" i="40" s="1"/>
  <c r="E42" i="37"/>
  <c r="R43" i="37"/>
  <c r="C21" i="9"/>
  <c r="C32" i="9" l="1"/>
  <c r="C42" i="9" s="1"/>
  <c r="C44" i="9" s="1"/>
  <c r="N43" i="9"/>
  <c r="G21"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9" l="1"/>
  <c r="F42" i="9" s="1"/>
  <c r="O43" i="9"/>
  <c r="C34" i="9"/>
  <c r="E42" i="9" s="1"/>
  <c r="P5" i="54" s="1"/>
  <c r="B46" i="63" s="1"/>
  <c r="O38" i="9"/>
  <c r="K25" i="9" s="1"/>
  <c r="C33" i="9"/>
  <c r="N38" i="9" s="1"/>
  <c r="K28" i="9" s="1"/>
  <c r="G14" i="66"/>
  <c r="B6" i="66" s="1"/>
  <c r="N69" i="9"/>
  <c r="O39" i="9"/>
  <c r="D44" i="9"/>
  <c r="F44" i="9"/>
  <c r="E44" i="9"/>
  <c r="K26" i="9"/>
  <c r="D63" i="9"/>
  <c r="R5" i="54"/>
  <c r="B48" i="63" s="1"/>
  <c r="N68" i="9"/>
  <c r="D14" i="66"/>
  <c r="B5" i="40"/>
  <c r="B4" i="40"/>
  <c r="B3" i="40"/>
  <c r="M38" i="9" l="1"/>
  <c r="K27" i="9" s="1"/>
  <c r="D42" i="9"/>
  <c r="Q5" i="54" s="1"/>
  <c r="B47" i="63" s="1"/>
  <c r="M86" i="9"/>
  <c r="N86" i="9" s="1"/>
  <c r="M83" i="9"/>
  <c r="N83" i="9" s="1"/>
  <c r="M87" i="9"/>
  <c r="N87" i="9" s="1"/>
  <c r="M84" i="9"/>
  <c r="N84" i="9" s="1"/>
  <c r="M85" i="9"/>
  <c r="N85" i="9" s="1"/>
  <c r="M88" i="9"/>
  <c r="N88" i="9" s="1"/>
  <c r="R6" i="54"/>
  <c r="B50" i="63" s="1"/>
  <c r="K29" i="9"/>
  <c r="K30" i="9" s="1"/>
  <c r="C6" i="66"/>
  <c r="D6" i="66"/>
  <c r="E14" i="66"/>
  <c r="B5" i="66"/>
  <c r="F14" i="66"/>
  <c r="C111" i="9"/>
  <c r="C104" i="9" s="1"/>
  <c r="C103" i="9"/>
  <c r="D71" i="9"/>
  <c r="D66" i="9" s="1"/>
  <c r="N72" i="9" s="1"/>
  <c r="D77" i="9"/>
  <c r="N75" i="9" s="1"/>
  <c r="C82" i="9"/>
  <c r="C81" i="9" s="1"/>
  <c r="C85" i="9" s="1"/>
  <c r="C86" i="9" s="1"/>
  <c r="D72" i="9" s="1"/>
  <c r="C96" i="9"/>
  <c r="C91" i="9" s="1"/>
  <c r="C90" i="9"/>
  <c r="D70" i="9"/>
  <c r="N89" i="9" l="1"/>
  <c r="O89" i="9" s="1"/>
  <c r="C97" i="9"/>
  <c r="C5" i="66"/>
  <c r="D5" i="66"/>
  <c r="C113" i="9"/>
  <c r="C98" i="9" l="1"/>
  <c r="E98" i="9" s="1"/>
  <c r="E9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<sst xmlns="http://schemas.openxmlformats.org/spreadsheetml/2006/main" count="7256" uniqueCount="3180">
  <si>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</si>
  <si>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</si>
  <si>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</si>
  <si>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</si>
  <si>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</si>
  <si>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</si>
  <si>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</si>
  <si>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</si>
  <si>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</si>
  <si>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</si>
  <si>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</si>
  <si>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</si>
  <si>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</si>
  <si>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</si>
  <si>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</si>
  <si>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</si>
  <si>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</si>
  <si>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</si>
  <si>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</si>
  <si>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</si>
  <si>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</si>
  <si>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</si>
  <si>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</si>
  <si>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</si>
  <si>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</si>
  <si>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</si>
  <si>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</si>
  <si>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</si>
  <si>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</si>
  <si>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</si>
  <si>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</si>
  <si>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</si>
  <si>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</si>
  <si>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</si>
  <si>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</si>
  <si>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</si>
  <si>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</si>
  <si>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</si>
  <si>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</si>
  <si>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</si>
  <si>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</si>
  <si>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</si>
  <si>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</si>
  <si>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</si>
  <si>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</si>
  <si>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</si>
  <si>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</si>
  <si>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</si>
  <si>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</si>
  <si>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</si>
  <si>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</si>
  <si>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</si>
  <si>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</si>
  <si>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</si>
  <si>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</si>
  <si>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</si>
  <si>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</si>
  <si>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</si>
  <si>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</si>
  <si>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</si>
  <si>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</si>
  <si>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</si>
  <si>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</si>
  <si>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</si>
  <si>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</si>
  <si>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</si>
  <si>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</si>
  <si>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</si>
  <si>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</si>
  <si>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</si>
  <si>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</si>
  <si>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</si>
  <si>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</si>
  <si>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</si>
  <si>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</si>
  <si>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</si>
  <si>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</si>
  <si>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</si>
  <si>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</si>
  <si>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</si>
  <si>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</si>
  <si>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</si>
  <si>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</si>
  <si>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</si>
  <si>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</si>
  <si>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</si>
  <si>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</si>
  <si>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</si>
  <si>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</si>
  <si>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</si>
  <si>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</si>
  <si>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</si>
  <si>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</si>
  <si>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</si>
  <si>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</si>
  <si>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</si>
  <si>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</si>
  <si>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</si>
  <si>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</si>
  <si>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</si>
  <si>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</si>
  <si>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</si>
  <si>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</si>
  <si>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</si>
  <si>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</si>
  <si>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</si>
  <si>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</si>
  <si>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</si>
  <si>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</si>
  <si>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</si>
  <si>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</si>
  <si>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</si>
  <si>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</si>
  <si>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</si>
  <si>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</si>
  <si>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</si>
  <si>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</si>
  <si>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</si>
  <si>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</si>
  <si>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</si>
  <si>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</si>
  <si>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</si>
  <si>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</si>
  <si>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</si>
  <si>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</si>
  <si>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</si>
  <si>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</si>
  <si>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</si>
  <si>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</si>
  <si>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</si>
  <si>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</si>
  <si>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</si>
  <si>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</si>
  <si>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</si>
  <si>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</si>
  <si>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</si>
  <si>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</si>
  <si>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</si>
  <si>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</si>
  <si>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</si>
  <si>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</si>
  <si>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</si>
  <si>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</si>
  <si>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</si>
  <si>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</si>
  <si>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</si>
  <si>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</si>
  <si>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</si>
  <si>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</si>
  <si>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</si>
  <si>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</si>
  <si>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</si>
  <si>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</si>
  <si>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</si>
  <si>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</si>
  <si>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</si>
  <si>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</si>
  <si>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</si>
  <si>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</si>
  <si>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</si>
  <si>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</si>
  <si>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</si>
  <si>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</si>
  <si>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</si>
  <si>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</si>
  <si>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</si>
  <si>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</si>
  <si>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</si>
  <si>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</si>
  <si>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</si>
  <si>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</si>
  <si>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</si>
  <si>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</si>
  <si>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</si>
  <si>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</si>
  <si>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</si>
  <si>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</si>
  <si>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</si>
  <si>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</si>
  <si>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</si>
  <si>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</si>
  <si>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</si>
  <si>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</si>
  <si>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</si>
  <si>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</si>
  <si>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</si>
  <si>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</si>
  <si>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</si>
  <si>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</si>
  <si>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</si>
  <si>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</si>
  <si>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</si>
  <si>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</si>
  <si>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</si>
  <si>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</si>
  <si>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</si>
  <si>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</si>
  <si>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</si>
  <si>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</si>
  <si>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</si>
  <si>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</si>
  <si>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</si>
  <si>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</si>
  <si>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</si>
  <si>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</si>
  <si>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</si>
  <si>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</si>
  <si>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</si>
  <si>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</si>
  <si>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</si>
  <si>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</si>
  <si>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</si>
  <si>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</si>
  <si>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</si>
  <si>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</si>
  <si>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</si>
  <si>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</si>
  <si>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</si>
  <si>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</si>
  <si>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</si>
  <si>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</si>
  <si>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</si>
  <si>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</si>
  <si>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</si>
  <si>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</si>
  <si>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</si>
  <si>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</si>
  <si>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</si>
  <si>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</si>
  <si>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</si>
  <si>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</si>
  <si>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</si>
  <si>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</si>
  <si>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</si>
  <si>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</si>
  <si>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</si>
  <si>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</si>
  <si>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</si>
  <si>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</si>
  <si>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</si>
  <si>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</si>
  <si>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</si>
  <si>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</si>
  <si>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</si>
  <si>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</si>
  <si>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</si>
  <si>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</si>
  <si>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</si>
  <si>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</si>
  <si>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</si>
  <si>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</si>
  <si>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</si>
  <si>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</si>
  <si>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</si>
  <si>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</si>
  <si>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</si>
  <si>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</si>
  <si>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</si>
  <si>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</si>
  <si>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</si>
  <si>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</si>
  <si>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</si>
  <si>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</si>
  <si>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</si>
  <si>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</si>
  <si>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</si>
  <si>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</si>
  <si>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</si>
  <si>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</si>
  <si>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</si>
  <si>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</si>
  <si>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</si>
  <si>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</si>
  <si>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</si>
  <si>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</si>
  <si>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</si>
  <si>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</si>
  <si>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</si>
  <si>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</si>
  <si>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</si>
  <si>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</si>
  <si>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</si>
  <si>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</si>
  <si>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</si>
  <si>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</si>
  <si>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</si>
  <si>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</si>
  <si>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</si>
  <si>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</si>
  <si>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</si>
  <si>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</si>
  <si>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</si>
  <si>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</si>
  <si>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</si>
  <si>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</si>
  <si>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</si>
  <si>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</si>
  <si>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</si>
  <si>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</si>
  <si>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</si>
  <si>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</si>
  <si>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</si>
  <si>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</si>
  <si>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</si>
  <si>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</si>
  <si>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</si>
  <si>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</si>
  <si>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</si>
  <si>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</si>
  <si>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</si>
  <si>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</si>
  <si>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</si>
  <si>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</si>
  <si>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</si>
  <si>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</si>
  <si>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</si>
  <si>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</si>
  <si>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</si>
  <si>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</si>
  <si>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</si>
  <si>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</si>
  <si>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</si>
  <si>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</si>
  <si>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</si>
  <si>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</si>
  <si>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</si>
  <si>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</si>
  <si>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</si>
  <si>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</si>
  <si>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</si>
  <si>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</si>
  <si>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</si>
  <si>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</si>
  <si>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</si>
  <si>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</si>
  <si>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</si>
  <si>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</si>
  <si>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</si>
  <si>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</si>
  <si>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</si>
  <si>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</si>
  <si>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</si>
  <si>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</si>
  <si>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</si>
  <si>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</si>
  <si>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</si>
  <si>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</si>
  <si>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</si>
  <si>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</si>
  <si>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</si>
  <si>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</si>
  <si>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</si>
  <si>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</si>
  <si>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</si>
  <si>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</si>
  <si>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</si>
  <si>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</si>
  <si>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</si>
  <si>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</si>
  <si>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</si>
  <si>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</si>
  <si>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</si>
  <si>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</si>
  <si>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</si>
  <si>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</si>
  <si>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</si>
  <si>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</si>
  <si>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</si>
  <si>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</si>
  <si>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</si>
  <si>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</si>
  <si>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</si>
  <si>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</si>
  <si>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</si>
  <si>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</si>
  <si>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</si>
  <si>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</si>
  <si>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</si>
  <si>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</si>
  <si>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</si>
  <si>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</si>
  <si>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</si>
  <si>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</si>
  <si>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</si>
  <si>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</si>
  <si>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</si>
  <si>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</si>
  <si>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</si>
  <si>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</si>
  <si>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</si>
  <si>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</si>
  <si>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</si>
  <si>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</si>
  <si>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</si>
  <si>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</si>
  <si>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</si>
  <si>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</si>
  <si>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</si>
  <si>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</si>
  <si>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</si>
  <si>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</si>
  <si>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</si>
  <si>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</si>
  <si>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</si>
  <si>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</si>
  <si>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</si>
  <si>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</si>
  <si>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</si>
  <si>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</si>
  <si>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</si>
  <si>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</si>
  <si>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</si>
  <si>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</si>
  <si>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</si>
  <si>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</si>
  <si>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</si>
  <si>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</si>
  <si>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</si>
  <si>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</si>
  <si>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</si>
  <si>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</si>
  <si>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</si>
  <si>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</si>
  <si>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</si>
  <si>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</si>
  <si>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</si>
  <si>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</si>
  <si>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</si>
  <si>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</si>
  <si>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</si>
  <si>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</si>
  <si>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</si>
  <si>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</si>
  <si>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</si>
  <si>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</si>
  <si>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</si>
  <si>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</si>
  <si>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</si>
  <si>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</si>
  <si>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</si>
  <si>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</si>
  <si>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</si>
  <si>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</si>
  <si>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</si>
  <si>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</si>
  <si>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</si>
  <si>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</si>
  <si>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</si>
  <si>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</si>
  <si>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</si>
  <si>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</si>
  <si>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</si>
  <si>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</si>
  <si>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</si>
  <si>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</si>
  <si>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</si>
  <si>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</si>
  <si>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</si>
  <si>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</si>
  <si>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</si>
  <si>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</si>
  <si>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</si>
  <si>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</si>
  <si>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</si>
  <si>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</si>
  <si>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</si>
  <si>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</si>
  <si>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</si>
  <si>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</si>
  <si>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</si>
  <si>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</si>
  <si>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</si>
  <si>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</si>
  <si>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</si>
  <si>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</si>
  <si>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</si>
  <si>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</si>
  <si>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</si>
  <si>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</si>
  <si>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</si>
  <si>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</si>
  <si>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</si>
  <si>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</si>
  <si>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</si>
  <si>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</si>
  <si>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</si>
  <si>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</si>
  <si>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</si>
  <si>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</si>
  <si>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</si>
  <si>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</si>
  <si>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</si>
  <si>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</si>
  <si>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</si>
  <si>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</si>
  <si>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</si>
  <si>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</si>
  <si>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</si>
  <si>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</si>
  <si>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</si>
  <si>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</si>
  <si>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</si>
  <si>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</si>
  <si>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</si>
  <si>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</si>
  <si>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</si>
  <si>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</si>
  <si>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</si>
  <si>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</si>
  <si>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</si>
  <si>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</si>
  <si>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</si>
  <si>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</si>
  <si>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</si>
  <si>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</si>
  <si>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</si>
  <si>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</si>
  <si>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</si>
  <si>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</si>
  <si>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</si>
  <si>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</si>
  <si>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</si>
  <si>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</si>
  <si>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</si>
  <si>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</si>
  <si>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</si>
  <si>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</si>
  <si>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</si>
  <si>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</si>
  <si>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</si>
  <si>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</si>
  <si>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</si>
  <si>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</si>
  <si>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</si>
  <si>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</si>
  <si>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</si>
  <si>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</si>
  <si>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</si>
  <si>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</si>
  <si>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</si>
  <si>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</si>
  <si>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</si>
  <si>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</si>
  <si>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</si>
  <si>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</si>
  <si>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</si>
  <si>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</si>
  <si>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</si>
  <si>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</si>
  <si>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</si>
  <si>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</si>
  <si>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</si>
  <si>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</si>
  <si>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</si>
  <si>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</si>
  <si>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</si>
  <si>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</si>
  <si>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</si>
  <si>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</si>
  <si>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</si>
  <si>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</si>
  <si>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</si>
  <si>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</si>
  <si>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</si>
  <si>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</si>
  <si>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</si>
  <si>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</si>
  <si>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</si>
  <si>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</si>
  <si>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</si>
  <si>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</si>
  <si>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</si>
  <si>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</si>
  <si>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</si>
  <si>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</si>
  <si>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</si>
  <si>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</si>
  <si>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</si>
  <si>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</si>
  <si>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</si>
  <si>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</si>
  <si>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</si>
  <si>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</si>
  <si>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</si>
  <si>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</si>
  <si>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</si>
  <si>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</si>
  <si>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</si>
  <si>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</si>
  <si>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</si>
  <si>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</si>
  <si>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</si>
  <si>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</si>
  <si>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</si>
  <si>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</si>
  <si>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</si>
  <si>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</si>
  <si>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</si>
  <si>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</si>
  <si>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</si>
  <si>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</si>
  <si>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</si>
  <si>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</si>
  <si>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</si>
  <si>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</si>
  <si>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</si>
  <si>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</si>
  <si>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</si>
  <si>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</si>
  <si>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</si>
  <si>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</si>
  <si>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</si>
  <si>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</si>
  <si>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</si>
  <si>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</si>
  <si>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</si>
  <si>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</si>
  <si>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</si>
  <si>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</si>
  <si>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</si>
  <si>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</si>
  <si>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</si>
  <si>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</si>
  <si>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</si>
  <si>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</si>
  <si>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</si>
  <si>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</si>
  <si>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</si>
  <si>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</si>
  <si>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</si>
  <si>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</si>
  <si>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</si>
  <si>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</si>
  <si>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</si>
  <si>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</si>
  <si>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</si>
  <si>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</si>
  <si>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</si>
  <si>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</si>
  <si>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</si>
  <si>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</si>
  <si>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</si>
  <si>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</si>
  <si>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</si>
  <si>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</si>
  <si>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</si>
  <si>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</si>
  <si>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</si>
  <si>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</si>
  <si>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</si>
  <si>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</si>
  <si>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</si>
  <si>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</si>
  <si>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</si>
  <si>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</si>
  <si>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</si>
  <si>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</si>
  <si>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</si>
  <si>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</si>
  <si>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</si>
  <si>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</si>
  <si>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</si>
  <si>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</si>
  <si>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</si>
  <si>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</si>
  <si>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</si>
  <si>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</si>
  <si>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</si>
  <si>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</si>
  <si>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</si>
  <si>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</si>
  <si>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</si>
  <si>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</si>
  <si>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</si>
  <si>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</si>
  <si>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</si>
  <si>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</si>
  <si>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</si>
  <si>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</si>
  <si>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</si>
  <si>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</si>
  <si>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</si>
  <si>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</si>
  <si>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</si>
  <si>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</si>
  <si>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</si>
  <si>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</si>
  <si>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</si>
  <si>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</si>
  <si>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</si>
  <si>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</si>
  <si>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</si>
  <si>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</si>
  <si>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</si>
  <si>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</si>
  <si>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</si>
  <si>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</si>
  <si>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</si>
  <si>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</si>
  <si>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</si>
  <si>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</si>
  <si>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</si>
  <si>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</si>
  <si>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</si>
  <si>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</si>
  <si>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</si>
  <si>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</si>
  <si>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</si>
  <si>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</si>
  <si>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</si>
  <si>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</si>
  <si>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</si>
  <si>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</si>
  <si>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</si>
  <si>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</si>
  <si>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</si>
  <si>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</si>
  <si>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</si>
  <si>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</si>
  <si>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</si>
  <si>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</si>
  <si>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</si>
  <si>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</si>
  <si>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</si>
  <si>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</si>
  <si>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</si>
  <si>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</si>
  <si>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</si>
  <si>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</si>
  <si>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</si>
  <si>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</si>
  <si>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</si>
  <si>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</si>
  <si>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</si>
  <si>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</si>
  <si>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</si>
  <si>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</si>
  <si>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</si>
  <si>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</si>
  <si>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</si>
  <si>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</si>
  <si>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</si>
  <si>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</si>
  <si>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</si>
  <si>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</si>
  <si>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</si>
  <si>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</si>
  <si>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</si>
  <si>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</si>
  <si>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</si>
  <si>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</si>
  <si>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</si>
  <si>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</si>
  <si>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</si>
  <si>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</si>
  <si>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</si>
  <si>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</si>
  <si>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</si>
  <si>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</si>
  <si>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</si>
  <si>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</si>
  <si>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</si>
  <si>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</si>
  <si>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</si>
  <si>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</si>
  <si>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</si>
  <si>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</si>
  <si>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</si>
  <si>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</si>
  <si>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</si>
  <si>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</si>
  <si>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</si>
  <si>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</si>
  <si>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</si>
  <si>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</si>
  <si>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</si>
  <si>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</si>
  <si>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</si>
  <si>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</si>
  <si>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</si>
  <si>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</si>
  <si>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</si>
  <si>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</si>
  <si>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</si>
  <si>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</si>
  <si>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</si>
  <si>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</si>
  <si>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</si>
  <si>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</si>
  <si>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</si>
  <si>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</si>
  <si>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</si>
  <si>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</si>
  <si>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</si>
  <si>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</si>
  <si>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</si>
  <si>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</si>
  <si>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</si>
  <si>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</si>
  <si>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</si>
  <si>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</si>
  <si>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</si>
  <si>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</si>
  <si>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</si>
  <si>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</si>
  <si>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</si>
  <si>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</si>
  <si>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</si>
  <si>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</si>
  <si>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</si>
  <si>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</si>
  <si>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</si>
  <si>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</si>
  <si>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</si>
  <si>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</si>
  <si>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</si>
  <si>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</si>
  <si>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</si>
  <si>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</si>
  <si>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</si>
  <si>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</si>
  <si>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</si>
  <si>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</si>
  <si>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</si>
  <si>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</si>
  <si>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</si>
  <si>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</si>
  <si>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</si>
  <si>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</si>
  <si>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</si>
  <si>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</si>
  <si>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</si>
  <si>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</si>
  <si>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</si>
  <si>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</si>
  <si>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</si>
  <si>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</si>
  <si>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</si>
  <si>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</si>
  <si>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</si>
  <si>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</si>
  <si>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</si>
  <si>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</si>
  <si>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</si>
  <si>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</si>
  <si>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</si>
  <si>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</si>
  <si>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</si>
  <si>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</si>
  <si>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</si>
  <si>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</si>
  <si>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</si>
  <si>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</si>
  <si>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</si>
  <si>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</si>
  <si>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</si>
  <si>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</si>
  <si>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</si>
  <si>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</si>
  <si>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</si>
  <si>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</si>
  <si>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</si>
  <si>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</si>
  <si>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</si>
  <si>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</si>
  <si>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</si>
  <si>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</si>
  <si>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</si>
  <si>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</si>
  <si>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</si>
  <si>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</si>
  <si>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</si>
  <si>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</si>
  <si>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</si>
  <si>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</si>
  <si>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</si>
  <si>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</si>
  <si>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</si>
  <si>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</si>
  <si>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</si>
  <si>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</si>
  <si>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</si>
  <si>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</si>
  <si>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</si>
  <si>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</si>
  <si>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</si>
  <si>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</si>
  <si>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</si>
  <si>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</si>
  <si>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</si>
  <si>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</si>
  <si>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</si>
  <si>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</si>
  <si>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</si>
  <si>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</si>
  <si>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</si>
  <si>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</si>
  <si>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</si>
  <si>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</si>
  <si>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</si>
  <si>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</si>
  <si>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</si>
  <si>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</si>
  <si>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</si>
  <si>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</si>
  <si>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</si>
  <si>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</si>
  <si>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</si>
  <si>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</si>
  <si>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</si>
  <si>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</si>
  <si>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</si>
  <si>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</si>
  <si>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</si>
  <si>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</si>
  <si>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</si>
  <si>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</si>
  <si>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</si>
  <si>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</si>
  <si>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</si>
  <si>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</si>
  <si>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</si>
  <si>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</si>
  <si>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</si>
  <si>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</si>
  <si>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</si>
  <si>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</si>
  <si>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</si>
  <si>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</si>
  <si>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</si>
  <si>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</si>
  <si>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</si>
  <si>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</si>
  <si>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</si>
  <si>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</si>
  <si>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</si>
  <si>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</si>
  <si>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</si>
  <si>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</si>
  <si>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</si>
  <si>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</si>
  <si>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</si>
  <si>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</si>
  <si>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</si>
  <si>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</si>
  <si>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</si>
  <si>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</si>
  <si>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</si>
  <si>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</si>
  <si>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</si>
  <si>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</si>
  <si>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</si>
  <si>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</si>
  <si>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</si>
  <si>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</si>
  <si>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</si>
  <si>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</si>
  <si>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</si>
  <si>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</si>
  <si>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</si>
  <si>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</si>
  <si>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</si>
  <si>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</si>
  <si>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</si>
  <si>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</si>
  <si>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</si>
  <si>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</si>
  <si>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</si>
  <si>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</si>
  <si>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</si>
  <si>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</si>
  <si>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</si>
  <si>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</si>
  <si>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</si>
  <si>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</si>
  <si>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</si>
  <si>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</si>
  <si>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</si>
  <si>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</si>
  <si>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</si>
  <si>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</si>
  <si>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</si>
  <si>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</si>
  <si>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</si>
  <si>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</si>
  <si>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</si>
  <si>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</si>
  <si>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</si>
  <si>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</si>
  <si>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</si>
  <si>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</si>
  <si>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</si>
  <si>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</si>
  <si>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</si>
  <si>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</si>
  <si>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</si>
  <si>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</si>
  <si>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</si>
  <si>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</si>
  <si>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</si>
  <si>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</si>
  <si>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</si>
  <si>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</si>
  <si>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</si>
  <si>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</si>
  <si>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</si>
  <si>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</si>
  <si>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</si>
  <si>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</si>
  <si>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</si>
  <si>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</si>
  <si>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</si>
  <si>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</si>
  <si>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</si>
  <si>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</si>
  <si>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</si>
  <si>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</si>
  <si>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</si>
  <si>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</si>
  <si>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</si>
  <si>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</si>
  <si>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</si>
  <si>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</si>
  <si>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</si>
  <si>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</si>
  <si>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</si>
  <si>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</si>
  <si>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</si>
  <si>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</si>
  <si>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</si>
  <si>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</si>
  <si>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</si>
  <si>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</si>
  <si>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</si>
  <si>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</si>
  <si>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</si>
  <si>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</si>
  <si>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</si>
  <si>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</si>
  <si>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</si>
  <si>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</si>
  <si>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</si>
  <si>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</si>
  <si>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</si>
  <si>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</si>
  <si>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</si>
  <si>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</si>
  <si>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</si>
  <si>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</si>
  <si>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</si>
  <si>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</si>
  <si>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</si>
  <si>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</si>
  <si>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</si>
  <si>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</si>
  <si>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</si>
  <si>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</si>
  <si>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</si>
  <si>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</si>
  <si>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</si>
  <si>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</si>
  <si>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</si>
  <si>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</si>
  <si>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</si>
  <si>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</si>
  <si>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</si>
  <si>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</si>
  <si>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</si>
  <si>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</si>
  <si>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</si>
  <si>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</si>
  <si>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</si>
  <si>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</si>
  <si>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</si>
  <si>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</si>
  <si>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</si>
  <si>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</si>
  <si>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</si>
  <si>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</si>
  <si>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</si>
  <si>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</si>
  <si>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</si>
  <si>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</si>
  <si>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</si>
  <si>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</si>
  <si>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</si>
  <si>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</si>
  <si>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</si>
  <si>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</si>
  <si>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</si>
  <si>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</si>
  <si>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</si>
  <si>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</si>
  <si>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</si>
  <si>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</si>
  <si>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</si>
  <si>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</si>
  <si>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</si>
  <si>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</si>
  <si>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</si>
  <si>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</si>
  <si>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</si>
  <si>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</si>
  <si>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</si>
  <si>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</si>
  <si>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</si>
  <si>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</si>
  <si>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</si>
  <si>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</si>
  <si>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</si>
  <si>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</si>
  <si>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</si>
  <si>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</si>
  <si>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</si>
  <si>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</si>
  <si>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</si>
  <si>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</si>
  <si>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</si>
  <si>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</si>
  <si>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</si>
  <si>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</si>
  <si>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</si>
  <si>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</si>
  <si>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</si>
  <si>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</si>
  <si>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</si>
  <si>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</si>
  <si>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</si>
  <si>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</si>
  <si>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</si>
  <si>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</si>
  <si>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</si>
  <si>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</si>
  <si>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</si>
  <si>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</si>
  <si>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</si>
  <si>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</si>
  <si>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</si>
  <si>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</si>
  <si>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</si>
  <si>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</si>
  <si>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</si>
  <si>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</si>
  <si>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</si>
  <si>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</si>
  <si>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</si>
  <si>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</si>
  <si>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</si>
  <si>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</si>
  <si>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</si>
  <si>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</si>
  <si>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</si>
  <si>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</si>
  <si>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</si>
  <si>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</si>
  <si>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</si>
  <si>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</si>
  <si>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</si>
  <si>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</si>
  <si>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</si>
  <si>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</si>
  <si>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</si>
  <si>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</si>
  <si>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</si>
  <si>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</si>
  <si>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</si>
  <si>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</si>
  <si>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</si>
  <si>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</si>
  <si>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</si>
  <si>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</si>
  <si>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</si>
  <si>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</si>
  <si>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</si>
  <si>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</si>
  <si>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</si>
  <si>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</si>
  <si>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</si>
  <si>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</si>
  <si>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</si>
  <si>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</si>
  <si>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</si>
  <si>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</si>
  <si>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</si>
  <si>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</si>
  <si>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</si>
  <si>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</si>
  <si>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</si>
  <si>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</si>
  <si>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</si>
  <si>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</si>
  <si>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</si>
  <si>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</si>
  <si>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</si>
  <si>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</si>
  <si>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</si>
  <si>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</si>
  <si>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</si>
  <si>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</si>
  <si>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</si>
  <si>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</si>
  <si>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</si>
  <si>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</si>
  <si>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</si>
  <si>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</si>
  <si>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</si>
  <si>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</si>
  <si>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</si>
  <si>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</si>
  <si>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</si>
  <si>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</si>
  <si>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</si>
  <si>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</si>
  <si>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</si>
  <si>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</si>
  <si>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</si>
  <si>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</si>
  <si>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</si>
  <si>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</si>
  <si>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</si>
  <si>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</si>
  <si>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</si>
  <si>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</si>
  <si>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</si>
  <si>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</si>
  <si>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</si>
  <si>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</si>
  <si>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</si>
  <si>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</si>
  <si>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</si>
  <si>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</si>
  <si>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</si>
  <si>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</si>
  <si>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</si>
  <si>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</si>
  <si>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</si>
  <si>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</si>
  <si>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</si>
  <si>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</si>
  <si>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</si>
  <si>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</si>
  <si>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</si>
  <si>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</si>
  <si>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</si>
  <si>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</si>
  <si>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</si>
  <si>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</si>
  <si>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</si>
  <si>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</si>
  <si>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</si>
  <si>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</si>
  <si>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</si>
  <si>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</si>
  <si>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</si>
  <si>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</si>
  <si>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</si>
  <si>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</si>
  <si>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</si>
  <si>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</si>
  <si>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</si>
  <si>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</si>
  <si>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</si>
  <si>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</si>
  <si>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</si>
  <si>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</si>
  <si>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</si>
  <si>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</si>
  <si>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</si>
  <si>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</si>
  <si>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</si>
  <si>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</si>
  <si>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</si>
  <si>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</si>
  <si>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</si>
  <si>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</si>
  <si>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</si>
  <si>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</si>
  <si>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</si>
  <si>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</si>
  <si>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</si>
  <si>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</si>
  <si>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</si>
  <si>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</si>
  <si>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</si>
  <si>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</si>
  <si>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</si>
  <si>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</si>
  <si>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</si>
  <si>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</si>
  <si>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</si>
  <si>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</si>
  <si>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</si>
  <si>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</si>
  <si>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</si>
  <si>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</si>
  <si>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</si>
  <si>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</si>
  <si>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</si>
  <si>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</si>
  <si>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</si>
  <si>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</si>
  <si>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</si>
  <si>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</si>
  <si>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</si>
  <si>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</si>
  <si>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</si>
  <si>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</si>
  <si>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</si>
  <si>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</si>
  <si>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</si>
  <si>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</si>
  <si>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</si>
  <si>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</si>
  <si>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</si>
  <si>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</si>
  <si>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</si>
  <si>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</si>
  <si>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</si>
  <si>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</si>
  <si>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</si>
  <si>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</si>
  <si>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</si>
  <si>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</si>
  <si>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</si>
  <si>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</si>
  <si>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</si>
  <si>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</si>
  <si>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</si>
  <si>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</si>
  <si>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</si>
  <si>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</si>
  <si>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</si>
  <si>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</si>
  <si>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</si>
  <si>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</si>
  <si>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</si>
  <si>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</si>
  <si>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</si>
  <si>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</si>
  <si>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</si>
  <si>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</si>
  <si>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</si>
  <si>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</si>
  <si>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</si>
  <si>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</si>
  <si>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</si>
  <si>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</si>
  <si>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</si>
  <si>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</si>
  <si>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</si>
  <si>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</si>
  <si>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</si>
  <si>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</si>
  <si>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</si>
  <si>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</si>
  <si>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</si>
  <si>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</si>
  <si>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</si>
  <si>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</si>
  <si>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</si>
  <si>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</si>
  <si>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</si>
  <si>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</si>
  <si>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</si>
  <si>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</si>
  <si>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</si>
  <si>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</si>
  <si>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</si>
  <si>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</si>
  <si>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</si>
  <si>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</si>
  <si>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</si>
  <si>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</si>
  <si>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</si>
  <si>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</si>
  <si>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</si>
  <si>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</si>
  <si>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</si>
  <si>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</si>
  <si>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</si>
  <si>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</si>
  <si>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</si>
  <si>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</si>
  <si>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</si>
  <si>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</si>
  <si>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</si>
  <si>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</si>
  <si>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</si>
  <si>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</si>
  <si>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</si>
  <si>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</si>
  <si>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</si>
  <si>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</si>
  <si>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</si>
  <si>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</si>
  <si>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</si>
  <si>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</si>
  <si>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</si>
  <si>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</si>
  <si>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</si>
  <si>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</si>
  <si>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</si>
  <si>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</si>
  <si>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</si>
  <si>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</si>
  <si>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</si>
  <si>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</si>
  <si>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</si>
  <si>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</si>
  <si>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</si>
  <si>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</si>
  <si>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</si>
  <si>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</si>
  <si>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</si>
  <si>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</si>
  <si>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</si>
  <si>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</si>
  <si>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</si>
  <si>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</si>
  <si>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</si>
  <si>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</si>
  <si>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</si>
  <si>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</si>
  <si>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</si>
  <si>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</si>
  <si>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</si>
  <si>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</si>
  <si>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</si>
  <si>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</si>
  <si>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</si>
  <si>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</si>
  <si>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</si>
  <si>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</si>
  <si>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</si>
  <si>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</si>
  <si>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</si>
  <si>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</si>
  <si>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</si>
  <si>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</si>
  <si>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</si>
  <si>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</si>
  <si>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</si>
  <si>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</si>
  <si>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</si>
  <si>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</si>
  <si>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</si>
  <si>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</si>
  <si>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</si>
  <si>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</si>
  <si>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</si>
  <si>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</si>
  <si>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</si>
  <si>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</si>
  <si>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</si>
  <si>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</si>
  <si>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</si>
  <si>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</si>
  <si>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</si>
  <si>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</si>
  <si>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</si>
  <si>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</si>
  <si>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</si>
  <si>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</si>
  <si>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</si>
  <si>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</si>
  <si>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</si>
  <si>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</si>
  <si>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</si>
  <si>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</si>
  <si>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</si>
  <si>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</si>
  <si>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</si>
  <si>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</si>
  <si>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</si>
  <si>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</si>
  <si>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</si>
  <si>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</si>
  <si>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</si>
  <si>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</si>
  <si>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</si>
  <si>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</si>
  <si>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</si>
  <si>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</si>
  <si>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</si>
  <si>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</si>
  <si>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</si>
  <si>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</si>
  <si>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</si>
  <si>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</si>
  <si>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</si>
  <si>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</si>
  <si>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</si>
  <si>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</si>
  <si>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</si>
  <si>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</si>
  <si>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</si>
  <si>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</si>
  <si>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</si>
  <si>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</si>
  <si>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</si>
  <si>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</si>
  <si>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</si>
  <si>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</si>
  <si>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</si>
  <si>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</si>
  <si>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</si>
  <si>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</si>
  <si>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</si>
  <si>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</si>
  <si>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</si>
  <si>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</si>
  <si>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</si>
  <si>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</si>
  <si>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</si>
  <si>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</si>
  <si>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</si>
  <si>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</si>
  <si>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</si>
  <si>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</si>
  <si>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</si>
  <si>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</si>
  <si>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</si>
  <si>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</si>
  <si>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</si>
  <si>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</si>
  <si>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</si>
  <si>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</si>
  <si>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</si>
  <si>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</si>
  <si>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</si>
  <si>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</si>
  <si>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</si>
  <si>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</si>
  <si>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</si>
  <si>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</si>
  <si>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</si>
  <si>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</si>
  <si>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</si>
  <si>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</si>
  <si>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</si>
  <si>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</si>
  <si>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</si>
  <si>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</si>
  <si>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</si>
  <si>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</si>
  <si>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</si>
  <si>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</si>
  <si>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</si>
  <si>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</si>
  <si>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</si>
  <si>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</si>
  <si>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</si>
  <si>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</si>
  <si>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</si>
  <si>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</si>
  <si>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</si>
  <si>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</si>
  <si>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</si>
  <si>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</si>
  <si>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</si>
  <si>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</si>
  <si>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</si>
  <si>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</si>
  <si>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</si>
  <si>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</si>
  <si>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</si>
  <si>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</si>
  <si>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</si>
  <si>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</si>
  <si>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</si>
  <si>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</si>
  <si>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</si>
  <si>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</si>
  <si>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</si>
  <si>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</si>
  <si>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</si>
  <si>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</si>
  <si>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</si>
  <si>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</si>
  <si>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</si>
  <si>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</si>
  <si>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</si>
  <si>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</si>
  <si>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</si>
  <si>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</si>
  <si>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</si>
  <si>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</si>
  <si>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</si>
  <si>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</si>
  <si>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</si>
  <si>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</si>
  <si>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</si>
  <si>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</si>
  <si>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</si>
  <si>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</si>
  <si>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</si>
  <si>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</si>
  <si>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</si>
  <si>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</si>
  <si>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</si>
  <si>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</si>
  <si>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</si>
  <si>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</si>
  <si>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</si>
  <si>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</si>
  <si>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</si>
  <si>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</si>
  <si>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</si>
  <si>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</si>
  <si>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</si>
  <si>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</si>
  <si>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</si>
  <si>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</si>
  <si>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</si>
  <si>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</si>
  <si>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</si>
  <si>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</si>
  <si>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</si>
  <si>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</si>
  <si>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</si>
  <si>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</si>
  <si>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</si>
  <si>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</si>
  <si>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</si>
  <si>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</si>
  <si>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</si>
  <si>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</si>
  <si>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</si>
  <si>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</si>
  <si>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</si>
  <si>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</si>
  <si>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</si>
  <si>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</si>
  <si>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</si>
  <si>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</si>
  <si>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</si>
  <si>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</si>
  <si>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</si>
  <si>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</si>
  <si>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</si>
  <si>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</si>
  <si>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</si>
  <si>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</si>
  <si>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</si>
  <si>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</si>
  <si>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</si>
  <si>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</si>
  <si>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</si>
  <si>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</si>
  <si>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</si>
  <si>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</si>
  <si>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</si>
  <si>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</si>
  <si>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</si>
  <si>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</si>
  <si>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</si>
  <si>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</si>
  <si>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</si>
  <si>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</si>
  <si>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</si>
  <si>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</si>
  <si>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</si>
  <si>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</si>
  <si>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</si>
  <si>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</si>
  <si>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</si>
  <si>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</si>
  <si>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</si>
  <si>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</si>
  <si>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</si>
  <si>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</si>
  <si>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</si>
  <si>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</si>
  <si>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</si>
  <si>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</si>
  <si>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</si>
  <si>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</si>
  <si>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</si>
  <si>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</si>
  <si>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</si>
  <si>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</si>
  <si>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</si>
  <si>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</si>
  <si>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</si>
  <si>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</si>
  <si>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</si>
  <si>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</si>
  <si>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</si>
  <si>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</si>
  <si>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</si>
  <si>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</si>
  <si>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</si>
  <si>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</si>
  <si>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</si>
  <si>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</si>
  <si>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</si>
  <si>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</si>
  <si>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</si>
  <si>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</si>
  <si>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</si>
  <si>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</si>
  <si>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</si>
  <si>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</si>
  <si>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</si>
  <si>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</si>
  <si>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</si>
  <si>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</si>
  <si>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</si>
  <si>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</si>
  <si>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</si>
  <si>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</si>
  <si>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</si>
  <si>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</si>
  <si>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</si>
  <si>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</si>
  <si>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</si>
  <si>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</si>
  <si>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</si>
  <si>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</si>
  <si>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</si>
  <si>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</si>
  <si>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</si>
  <si>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</si>
  <si>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</si>
  <si>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</si>
  <si>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</si>
  <si>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</si>
  <si>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</si>
  <si>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</si>
  <si>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</si>
  <si>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</si>
  <si>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</si>
  <si>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</si>
  <si>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</si>
  <si>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</si>
  <si>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</si>
  <si>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</si>
  <si>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</si>
  <si>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</si>
  <si>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</si>
  <si>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</si>
  <si>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</si>
  <si>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</si>
  <si>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</si>
  <si>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</si>
  <si>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</si>
  <si>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</si>
  <si>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</si>
  <si>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</si>
  <si>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</si>
  <si>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</si>
  <si>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</si>
  <si>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</si>
  <si>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</si>
  <si>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</si>
  <si>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</si>
  <si>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</si>
  <si>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</si>
  <si>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</si>
  <si>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</si>
  <si>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</si>
  <si>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</si>
  <si>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</si>
  <si>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</si>
  <si>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</si>
  <si>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</si>
  <si>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</si>
  <si>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</si>
  <si>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</si>
  <si>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</si>
  <si>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</si>
  <si>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</si>
  <si>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</si>
  <si>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</si>
  <si>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</si>
  <si>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</si>
  <si>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</si>
  <si>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</si>
  <si>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</si>
  <si>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</si>
  <si>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</si>
  <si>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</si>
  <si>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</si>
  <si>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</si>
  <si>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</si>
  <si>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</si>
  <si>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</si>
  <si>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</si>
  <si>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</si>
  <si>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</si>
  <si>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</si>
  <si>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</si>
  <si>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</si>
  <si>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</si>
  <si>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</si>
  <si>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</si>
  <si>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</si>
  <si>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</si>
  <si>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</si>
  <si>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</si>
  <si>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</si>
  <si>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</si>
  <si>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</si>
  <si>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</si>
  <si>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</si>
  <si>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</si>
  <si>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</si>
  <si>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</si>
  <si>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</si>
  <si>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</si>
  <si>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</si>
  <si>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</si>
  <si>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</si>
  <si>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</si>
  <si>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</si>
  <si>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</si>
  <si>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</si>
  <si>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</si>
  <si>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</si>
  <si>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</si>
  <si>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</si>
  <si>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</si>
  <si>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</si>
  <si>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</si>
  <si>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</si>
  <si>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</si>
  <si>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</si>
  <si>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</si>
  <si>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</si>
  <si>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</si>
  <si>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</si>
  <si>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</si>
  <si>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</si>
  <si>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</si>
  <si>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</si>
  <si>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</si>
  <si>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</si>
  <si>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</si>
  <si>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</si>
  <si>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</si>
  <si>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</si>
  <si>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</si>
  <si>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</si>
  <si>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</si>
  <si>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</si>
  <si>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</si>
  <si>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</si>
  <si>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</si>
  <si>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</si>
  <si>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</si>
  <si>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</si>
  <si>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</si>
  <si>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</si>
  <si>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</si>
  <si>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</si>
  <si>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</si>
  <si>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</si>
  <si>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</si>
  <si>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</si>
  <si>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</si>
  <si>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</si>
  <si>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</si>
  <si>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</si>
  <si>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</si>
  <si>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</si>
  <si>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</si>
  <si>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</si>
  <si>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</si>
  <si>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</si>
  <si>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</si>
  <si>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</si>
  <si>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</si>
  <si>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</si>
  <si>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</si>
  <si>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</si>
  <si>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</si>
  <si>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</si>
  <si>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</si>
  <si>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</si>
  <si>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</si>
  <si>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</si>
  <si>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</si>
  <si>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</si>
  <si>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</si>
  <si>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</si>
  <si>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</si>
  <si>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</si>
  <si>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</si>
  <si>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</si>
  <si>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</si>
  <si>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</si>
  <si>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</si>
  <si>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</si>
  <si>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</si>
  <si>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</si>
  <si>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</si>
  <si>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</si>
  <si>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</si>
  <si>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</si>
  <si>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</si>
  <si>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</si>
  <si>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</si>
  <si>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</si>
  <si>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</si>
  <si>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</si>
  <si>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</si>
  <si>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</si>
  <si>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</si>
  <si>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</si>
  <si>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</si>
  <si>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</si>
  <si>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</si>
  <si>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</si>
  <si>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</si>
  <si>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</si>
  <si>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</si>
  <si>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</si>
  <si>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</si>
  <si>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</si>
  <si>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</si>
  <si>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</si>
  <si>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</si>
  <si>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</si>
  <si>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</si>
  <si>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</si>
  <si>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</si>
  <si>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</si>
  <si>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</si>
  <si>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</si>
  <si>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</si>
  <si>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</si>
  <si>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</si>
  <si>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</si>
  <si>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</si>
  <si>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</si>
  <si>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</si>
  <si>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</si>
  <si>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</si>
  <si>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</si>
  <si>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</si>
  <si>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</si>
  <si>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</si>
  <si>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</si>
  <si>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</si>
  <si>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</si>
  <si>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</si>
  <si>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</si>
  <si>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</si>
  <si>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</si>
  <si>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</si>
  <si>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</si>
  <si>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</si>
  <si>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</si>
  <si>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</si>
  <si>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</si>
  <si>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</si>
  <si>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</si>
  <si>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</si>
  <si>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</si>
  <si>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</si>
  <si>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</si>
  <si>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</si>
  <si>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</si>
  <si>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</si>
  <si>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</si>
  <si>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</si>
  <si>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</si>
  <si>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</si>
  <si>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</si>
  <si>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</si>
  <si>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</si>
  <si>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</si>
  <si>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</si>
  <si>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</si>
  <si>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</si>
  <si>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</si>
  <si>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</si>
  <si>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</si>
  <si>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</si>
  <si>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</si>
  <si>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</si>
  <si>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</si>
  <si>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</si>
  <si>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</si>
  <si>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</si>
  <si>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</si>
  <si>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</si>
  <si>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</si>
  <si>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</si>
  <si>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</si>
  <si>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</si>
  <si>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</si>
  <si>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</si>
  <si>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</si>
  <si>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</si>
  <si>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</si>
  <si>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</si>
  <si>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</si>
  <si>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</si>
  <si>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</si>
  <si>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</si>
  <si>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</si>
  <si>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</si>
  <si>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</si>
  <si>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</si>
  <si>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</si>
  <si>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</si>
  <si>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</si>
  <si>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</si>
  <si>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</si>
  <si>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</si>
  <si>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</si>
  <si>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</si>
  <si>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</si>
  <si>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</si>
  <si>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</si>
  <si>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</si>
  <si>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</si>
  <si>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</si>
  <si>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</si>
  <si>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</si>
  <si>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</si>
  <si>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</si>
  <si>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</si>
  <si>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</si>
  <si>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</si>
  <si>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</si>
  <si>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</si>
  <si>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</si>
  <si>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</si>
  <si>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</si>
  <si>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</si>
  <si>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</si>
  <si>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</si>
  <si>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</si>
  <si>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</si>
  <si>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</si>
  <si>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</si>
  <si>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</si>
  <si>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</si>
  <si>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</si>
  <si>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</si>
  <si>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</si>
  <si>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</si>
  <si>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</si>
  <si>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</si>
  <si>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</si>
  <si>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</si>
  <si>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</si>
  <si>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</si>
  <si>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</si>
  <si>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</si>
  <si>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</si>
  <si>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</si>
  <si>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</si>
  <si>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</si>
  <si>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</si>
  <si>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</si>
  <si>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</si>
  <si>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</si>
  <si>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</si>
  <si>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</si>
  <si>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</si>
  <si>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</si>
  <si>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</si>
  <si>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</si>
  <si>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</si>
  <si>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</si>
  <si>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</si>
  <si>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</si>
  <si>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</si>
  <si>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</si>
  <si>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</si>
  <si>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</si>
  <si>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</si>
  <si>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</si>
  <si>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</si>
  <si>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</si>
  <si>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</si>
  <si>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</si>
  <si>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</si>
  <si>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</si>
  <si>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</si>
  <si>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</si>
  <si>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</si>
  <si>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</si>
  <si>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</si>
  <si>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</si>
  <si>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</si>
  <si>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</si>
  <si>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</si>
  <si>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</si>
  <si>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</si>
  <si>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</si>
  <si>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</si>
  <si>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</si>
  <si>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</si>
  <si>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</si>
  <si>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</si>
  <si>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</si>
  <si>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</si>
  <si>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</si>
  <si>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</si>
  <si>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</si>
  <si>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</si>
  <si>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</si>
  <si>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</si>
  <si>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</si>
  <si>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</si>
  <si>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</si>
  <si>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</si>
  <si>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</si>
  <si>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</si>
  <si>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</si>
  <si>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</si>
  <si>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</si>
  <si>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</si>
  <si>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</si>
  <si>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</si>
  <si>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</si>
  <si>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</si>
  <si>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</si>
  <si>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</si>
  <si>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</si>
  <si>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</si>
  <si>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</si>
  <si>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</si>
  <si>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</si>
  <si>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</si>
  <si>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</si>
  <si>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</si>
  <si>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</si>
  <si>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</si>
  <si>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</si>
  <si>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</si>
  <si>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</si>
  <si>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</si>
  <si>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</si>
  <si>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</si>
  <si>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</si>
  <si>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</si>
  <si>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</si>
  <si>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</si>
  <si>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</si>
  <si>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</si>
  <si>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</si>
  <si>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</si>
  <si>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</si>
  <si>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</si>
  <si>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</si>
  <si>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</si>
  <si>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</si>
  <si>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</si>
  <si>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</si>
  <si>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</si>
  <si>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</si>
  <si>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</si>
  <si>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</si>
  <si>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</si>
  <si>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</si>
  <si>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</si>
  <si>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</si>
  <si>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</si>
  <si>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</si>
  <si>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</si>
  <si>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</si>
  <si>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</si>
  <si>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</si>
  <si>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</si>
  <si>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</si>
  <si>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</si>
  <si>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</si>
  <si>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</si>
  <si>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</si>
  <si>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</si>
  <si>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</si>
  <si>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</si>
  <si>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</si>
  <si>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</si>
  <si>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</si>
  <si>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</si>
  <si>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</si>
  <si>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</si>
  <si>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</si>
  <si>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</si>
  <si>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</si>
  <si>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</si>
  <si>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</si>
  <si>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</si>
  <si>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</si>
  <si>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</si>
  <si>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</si>
  <si>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</si>
  <si>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</si>
  <si>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</si>
  <si>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</si>
  <si>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</si>
  <si>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</si>
  <si>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</si>
  <si>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</si>
  <si>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</si>
  <si>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</si>
  <si>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</si>
  <si>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</si>
  <si>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</si>
  <si>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</si>
  <si>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</si>
  <si>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</si>
  <si>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</si>
  <si>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</si>
  <si>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</si>
  <si>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</si>
  <si>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</si>
  <si>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</si>
  <si>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</si>
  <si>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</si>
  <si>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</si>
  <si>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</si>
  <si>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</si>
  <si>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</si>
  <si>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</si>
  <si>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</si>
  <si>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</si>
  <si>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</si>
  <si>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</si>
  <si>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</si>
  <si>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</si>
  <si>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</si>
  <si>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</si>
  <si>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</si>
  <si>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</si>
  <si>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</si>
  <si>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</si>
  <si>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</si>
  <si>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</si>
  <si>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</si>
  <si>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</si>
  <si>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</si>
  <si>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</si>
  <si>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</si>
  <si>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</si>
  <si>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</si>
  <si>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</si>
  <si>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</si>
  <si>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</si>
  <si>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</si>
  <si>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</si>
  <si>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</si>
  <si>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</si>
  <si>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</si>
  <si>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</si>
  <si>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</si>
  <si>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</si>
  <si>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</si>
  <si>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</si>
  <si>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</si>
  <si>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</si>
  <si>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</si>
  <si>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</si>
  <si>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</si>
  <si>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</si>
  <si>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</si>
  <si>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</si>
  <si>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</si>
  <si>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</si>
  <si>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</si>
  <si>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</si>
  <si>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</si>
  <si>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</si>
  <si>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</si>
  <si>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</si>
  <si>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</si>
  <si>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</si>
  <si>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</si>
  <si>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</si>
  <si>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</si>
  <si>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</si>
  <si>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</si>
  <si>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</si>
  <si>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</si>
  <si>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</si>
  <si>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</si>
  <si>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</si>
  <si>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</si>
  <si>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</si>
  <si>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</si>
  <si>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</si>
  <si>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</si>
  <si>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</si>
  <si>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</si>
  <si>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</si>
  <si>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</si>
  <si>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</si>
  <si>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</si>
  <si>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</si>
  <si>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</si>
  <si>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</si>
  <si>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</si>
  <si>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</si>
  <si>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</si>
  <si>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</si>
  <si>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</si>
  <si>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</si>
  <si>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</si>
  <si>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</si>
  <si>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</si>
  <si>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</si>
  <si>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</si>
  <si>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</si>
  <si>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</si>
  <si>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</si>
  <si>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</si>
  <si>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</si>
  <si>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</si>
  <si>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</si>
  <si>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</si>
  <si>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</si>
  <si>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</si>
  <si>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</si>
  <si>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</si>
  <si>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</si>
  <si>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</si>
  <si>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</si>
  <si>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</si>
  <si>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</si>
  <si>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</si>
  <si>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</si>
  <si>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</si>
  <si>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</si>
  <si>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</si>
  <si>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</si>
  <si>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</si>
  <si>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</si>
  <si>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</si>
  <si>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</si>
  <si>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</si>
  <si>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</si>
  <si>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</si>
  <si>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</si>
  <si>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</si>
  <si>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</si>
  <si>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</si>
  <si>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</si>
  <si>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</si>
  <si>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</si>
  <si>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</si>
  <si>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</si>
  <si>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</si>
  <si>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</si>
  <si>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</si>
  <si>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</si>
  <si>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</si>
  <si>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</si>
  <si>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</si>
  <si>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</si>
  <si>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</si>
  <si>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</si>
  <si>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</si>
  <si>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</si>
  <si>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</si>
  <si>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</si>
  <si>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</si>
  <si>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</si>
  <si>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</si>
  <si>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</si>
  <si>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</si>
  <si>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</si>
  <si>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</si>
  <si>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</si>
  <si>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</si>
  <si>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</si>
  <si>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</si>
  <si>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</si>
  <si>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</si>
  <si>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</si>
  <si>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</si>
  <si>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</si>
  <si>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</si>
  <si>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</si>
  <si>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</si>
  <si>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</si>
  <si>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</si>
  <si>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</si>
  <si>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</si>
  <si>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</si>
  <si>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</si>
  <si>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</si>
  <si>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</si>
  <si>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</si>
  <si>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</si>
  <si>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</si>
  <si>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</si>
  <si>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</si>
  <si>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</si>
  <si>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</si>
  <si>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</si>
  <si>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</si>
  <si>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</si>
  <si>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</si>
  <si>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</si>
  <si>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</si>
  <si>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</si>
  <si>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</si>
  <si>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</si>
  <si>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</si>
  <si>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</si>
  <si>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</si>
  <si>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</si>
  <si>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</si>
  <si>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</si>
  <si>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</si>
  <si>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</si>
  <si>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</si>
  <si>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</si>
  <si>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</si>
  <si>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</si>
  <si>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</si>
  <si>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</si>
  <si>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</si>
  <si>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</si>
  <si>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</si>
  <si>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</si>
  <si>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</si>
  <si>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</si>
  <si>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</si>
  <si>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</si>
  <si>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</si>
  <si>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</si>
  <si>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</si>
  <si>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</si>
  <si>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</si>
  <si>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</si>
  <si>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</si>
  <si>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</si>
  <si>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</si>
  <si>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</si>
  <si>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</si>
  <si>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</si>
  <si>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</si>
  <si>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</si>
  <si>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</si>
  <si>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</si>
  <si>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</si>
  <si>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</si>
  <si>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</si>
  <si>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</si>
  <si>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</si>
  <si>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</si>
  <si>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</si>
  <si>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</si>
  <si>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</si>
  <si>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</si>
  <si>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</si>
  <si>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</si>
  <si>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</si>
  <si>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</si>
  <si>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</si>
  <si>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</si>
  <si>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</si>
  <si>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</si>
  <si>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</si>
  <si>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</si>
  <si>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</si>
  <si>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</si>
  <si>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</si>
  <si>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</si>
  <si>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</si>
  <si>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</si>
  <si>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</si>
  <si>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</si>
  <si>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</si>
  <si>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</si>
  <si>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</si>
  <si>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</si>
  <si>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</si>
  <si>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</si>
  <si>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</si>
  <si>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</si>
  <si>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</si>
  <si>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</si>
  <si>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</si>
  <si>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</si>
  <si>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</si>
  <si>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</si>
  <si>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</si>
  <si>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</si>
  <si>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</si>
  <si>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</si>
  <si>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</si>
  <si>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</si>
  <si>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</si>
  <si>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</si>
  <si>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</si>
  <si>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</si>
  <si>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</si>
  <si>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</si>
  <si>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</si>
  <si>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</si>
  <si>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</si>
  <si>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</si>
  <si>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</si>
  <si>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</si>
  <si>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</si>
  <si>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</si>
  <si>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</si>
  <si>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</si>
  <si>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</si>
  <si>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</si>
  <si>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</si>
  <si>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</si>
  <si>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</si>
  <si>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</si>
  <si>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</si>
  <si>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</si>
  <si>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</si>
  <si>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</si>
  <si>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</si>
  <si>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</si>
  <si>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</si>
  <si>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</si>
  <si>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</si>
  <si>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</si>
  <si>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</si>
  <si>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</si>
  <si>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</si>
  <si>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</si>
  <si>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</si>
  <si>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</si>
  <si>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</si>
  <si>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</si>
  <si>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</si>
  <si>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</si>
  <si>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</si>
  <si>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</si>
  <si>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</si>
  <si>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</si>
  <si>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</si>
  <si>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</si>
  <si>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</si>
  <si>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</si>
  <si>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</si>
  <si>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</si>
  <si>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</si>
  <si>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</si>
  <si>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</si>
  <si>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</si>
  <si>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</si>
  <si>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</si>
  <si>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</si>
  <si>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</si>
  <si>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</si>
  <si>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</si>
  <si>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</si>
  <si>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</si>
  <si>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</si>
  <si>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</si>
  <si>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</si>
  <si>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</si>
  <si>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</si>
  <si>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</si>
  <si>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</si>
  <si>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</si>
  <si>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</si>
  <si>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</si>
  <si>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</si>
  <si>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</si>
  <si>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</si>
  <si>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</si>
  <si>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</si>
  <si>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</si>
  <si>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</si>
  <si>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</si>
  <si>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</si>
  <si>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</si>
  <si>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</si>
  <si>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</si>
  <si>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</si>
  <si>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</si>
  <si>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</si>
  <si>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</si>
  <si>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</si>
  <si>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</si>
  <si>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</si>
  <si>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</si>
  <si>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</si>
  <si>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</si>
  <si>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</si>
  <si>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</si>
  <si>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</si>
  <si>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</si>
  <si>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</si>
  <si>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</si>
  <si>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</si>
  <si>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</si>
  <si>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</si>
  <si>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</si>
  <si>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</si>
  <si>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</si>
  <si>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</si>
  <si>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</si>
  <si>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</si>
  <si>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</si>
  <si>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</si>
  <si>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</si>
  <si>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</si>
  <si>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</si>
  <si>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</si>
  <si>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</si>
  <si>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</si>
  <si>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</si>
  <si>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</si>
  <si>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</si>
  <si>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</si>
  <si>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</si>
  <si>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</si>
  <si>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</si>
  <si>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</si>
  <si>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</si>
  <si>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</si>
  <si>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</si>
  <si>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</si>
  <si>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</si>
  <si>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</si>
  <si>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</si>
  <si>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</si>
  <si>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</si>
  <si>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</si>
  <si>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</si>
  <si>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</si>
  <si>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</si>
  <si>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</si>
  <si>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</si>
  <si>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</si>
  <si>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</si>
  <si>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</si>
  <si>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</si>
  <si>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</si>
  <si>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</si>
  <si>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</si>
  <si>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</si>
  <si>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</si>
  <si>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</si>
  <si>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</si>
  <si>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</si>
  <si>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</si>
  <si>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</si>
  <si>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</si>
  <si>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</si>
  <si>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</si>
  <si>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</si>
  <si>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</si>
  <si>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</si>
  <si>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</si>
  <si>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</si>
  <si>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</si>
  <si>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</si>
  <si>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</si>
  <si>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</si>
  <si>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</si>
  <si>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</si>
  <si>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</si>
  <si>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</si>
  <si>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</si>
  <si>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</si>
  <si>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</si>
  <si>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</si>
  <si>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</si>
  <si>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</si>
  <si>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</si>
  <si>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</si>
  <si>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</si>
  <si>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</si>
  <si>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</si>
  <si>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</si>
  <si>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</si>
  <si>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</si>
  <si>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</si>
  <si>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</si>
  <si>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</si>
  <si>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</si>
  <si>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</si>
  <si>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</si>
  <si>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</si>
  <si>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</si>
  <si>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</si>
  <si>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</si>
  <si>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</si>
  <si>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</si>
  <si>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</si>
  <si>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</si>
  <si>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</si>
  <si>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</si>
  <si>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</si>
  <si>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</si>
  <si>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</si>
  <si>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</si>
  <si>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</si>
  <si>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</si>
  <si>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</si>
  <si>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</si>
  <si>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</si>
  <si>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</si>
  <si>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</si>
  <si>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</si>
  <si>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</si>
  <si>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</si>
  <si>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</si>
  <si>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</si>
  <si>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</si>
  <si>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</si>
  <si>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</si>
  <si>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</si>
  <si>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</si>
  <si>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</si>
  <si>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</si>
  <si>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</si>
  <si>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</si>
  <si>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</si>
  <si>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</si>
  <si>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</si>
  <si>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</si>
  <si>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</si>
  <si>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</si>
  <si>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</si>
  <si>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</si>
  <si>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</si>
  <si>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</si>
  <si>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</si>
  <si>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</si>
  <si>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</si>
  <si>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</si>
  <si>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</si>
  <si>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</si>
  <si>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</si>
  <si>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</si>
  <si>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</si>
  <si>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</si>
  <si>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</si>
  <si>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</si>
  <si>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</si>
  <si>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</si>
  <si>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</si>
  <si>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</si>
  <si>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</si>
  <si>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</si>
  <si>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</si>
  <si>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</si>
  <si>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</si>
  <si>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</si>
  <si>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</si>
  <si>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</si>
  <si>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</si>
  <si>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</si>
  <si>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</si>
  <si>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</si>
  <si>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</si>
  <si>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</si>
  <si>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</si>
  <si>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</si>
  <si>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</si>
  <si>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</si>
  <si>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</si>
  <si>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</si>
  <si>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</si>
  <si>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</si>
  <si>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</si>
  <si>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</si>
  <si>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</si>
  <si>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</si>
  <si>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</si>
  <si>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</si>
  <si>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</si>
  <si>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</si>
  <si>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</si>
  <si>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</si>
  <si>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</si>
  <si>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</si>
  <si>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</si>
  <si>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</si>
  <si>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</si>
  <si>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</si>
  <si>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</si>
  <si>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</si>
  <si>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</si>
  <si>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</si>
  <si>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</si>
  <si>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</si>
  <si>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</si>
  <si>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</si>
  <si>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</si>
  <si>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</si>
  <si>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</si>
  <si>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</si>
  <si>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</si>
  <si>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</si>
  <si>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</si>
  <si>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</si>
  <si>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</si>
  <si>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</si>
  <si>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</si>
  <si>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</si>
  <si>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</si>
  <si>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</si>
  <si>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</si>
  <si>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</si>
  <si>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</si>
  <si>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</si>
  <si>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</si>
  <si>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</si>
  <si>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</si>
  <si>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</si>
  <si>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</si>
  <si>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</si>
  <si>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</si>
  <si>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</si>
  <si>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</si>
  <si>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</si>
  <si>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</si>
  <si>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</si>
  <si>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</si>
  <si>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</si>
  <si>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</si>
  <si>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</si>
  <si>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</si>
  <si>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</si>
  <si>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</si>
  <si>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</si>
  <si>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</si>
  <si>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</si>
  <si>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</si>
  <si>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</si>
  <si>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</si>
  <si>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</si>
  <si>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</si>
  <si>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</si>
  <si>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</si>
  <si>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</si>
  <si>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</si>
  <si>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</si>
  <si>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</si>
  <si>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</si>
  <si>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</si>
  <si>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</si>
  <si>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</si>
  <si>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</si>
  <si>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</si>
  <si>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</si>
  <si>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</si>
  <si>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</si>
  <si>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</si>
  <si>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</si>
  <si>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</si>
  <si>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</si>
  <si>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</si>
  <si>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</si>
  <si>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</si>
  <si>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</si>
  <si>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</si>
  <si>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</si>
  <si>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</si>
  <si>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</si>
  <si>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</si>
  <si>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</si>
  <si>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</si>
  <si>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</si>
  <si>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</si>
  <si>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</si>
  <si>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</si>
  <si>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</si>
  <si>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</si>
  <si>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</si>
  <si>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</si>
  <si>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</si>
  <si>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</si>
  <si>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</si>
  <si>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</si>
  <si>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</si>
  <si>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</si>
  <si>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</si>
  <si>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</si>
  <si>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</si>
  <si>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</si>
  <si>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</si>
  <si>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</si>
  <si>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</si>
  <si>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</si>
  <si>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</si>
  <si>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</si>
  <si>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</si>
  <si>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</si>
  <si>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</si>
  <si>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</si>
  <si>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</si>
  <si>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</si>
  <si>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</si>
  <si>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</si>
  <si>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</si>
  <si>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</si>
  <si>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</si>
  <si>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</si>
  <si>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</si>
  <si>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</si>
  <si>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</si>
  <si>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</si>
  <si>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</si>
  <si>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</si>
  <si>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</si>
  <si>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</si>
  <si>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</si>
  <si>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</si>
  <si>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</si>
  <si>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</si>
  <si>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</si>
  <si>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</si>
  <si>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</si>
  <si>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</si>
  <si>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</si>
  <si>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</si>
  <si>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</si>
  <si>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</si>
  <si>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</si>
  <si>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</si>
  <si>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</si>
  <si>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</si>
  <si>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</si>
  <si>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</si>
  <si>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</si>
  <si>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</si>
  <si>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</si>
  <si>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</si>
  <si>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</si>
  <si>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</si>
  <si>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</si>
  <si>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</si>
  <si>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</si>
  <si>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</si>
  <si>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</si>
  <si>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</si>
  <si>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</si>
  <si>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</si>
  <si>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</si>
  <si>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</si>
  <si>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</si>
  <si>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</si>
  <si>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</si>
  <si>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</si>
  <si>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</si>
  <si>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</si>
  <si>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</si>
  <si>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</si>
  <si>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</si>
  <si>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</si>
  <si>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</si>
  <si>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</si>
  <si>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</si>
  <si>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</si>
  <si>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</si>
  <si>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</si>
  <si>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</si>
  <si>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</si>
  <si>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</si>
  <si>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</si>
  <si>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</si>
  <si>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</si>
  <si>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</si>
  <si>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</si>
  <si>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</si>
  <si>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</si>
  <si>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</si>
  <si>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</si>
  <si>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</si>
  <si>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</si>
  <si>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</si>
  <si>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</si>
  <si>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</si>
  <si>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</si>
  <si>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</si>
  <si>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</si>
  <si>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</si>
  <si>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</si>
  <si>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</si>
  <si>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</si>
  <si>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</si>
  <si>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</si>
  <si>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</si>
  <si>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地上</t>
  </si>
  <si>
    <t>叠拼</t>
  </si>
  <si>
    <t>别墅</t>
    <phoneticPr fontId="7" type="noConversion"/>
  </si>
  <si>
    <t>别墅</t>
  </si>
  <si>
    <t>比较法-住宅、综合</t>
  </si>
  <si>
    <t>剩余法-待开发</t>
  </si>
  <si>
    <t>北京市朝阳区将台乡1016-030地块R2二类居住用地、1016-033地块F2公建混合住宅用地</t>
  </si>
  <si>
    <t>综合用地(含住宅)</t>
  </si>
  <si>
    <t>r2=2.5,f2=3</t>
  </si>
  <si>
    <t>挂牌</t>
  </si>
  <si>
    <t>2019-02-01</t>
  </si>
  <si>
    <t>华通置业有限公司和北京茂康企业管理有限公司联合体</t>
  </si>
  <si>
    <t>3星</t>
  </si>
  <si>
    <t>北京市朝阳区东坝乡单店村1108-006地块R2二类居住用地</t>
  </si>
  <si>
    <t>住宅用地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</si>
  <si>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</si>
  <si>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</si>
  <si>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</si>
  <si>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</si>
  <si>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</si>
  <si>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</si>
  <si>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</si>
  <si>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</si>
  <si>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</si>
  <si>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</si>
  <si>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北京市朝阳区豆各庄乡水牛坊村1306-635地块R2二类居住用地、1306-636地块A8社区综合服务用地</t>
  </si>
  <si>
    <t>2018-01-25</t>
  </si>
  <si>
    <t>中铁房地产集团北方有限公司</t>
  </si>
  <si>
    <t>2星</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</si>
  <si>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</si>
  <si>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</si>
  <si>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</si>
  <si>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</si>
  <si>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</si>
  <si>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</si>
  <si>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</si>
  <si>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</si>
  <si>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</si>
  <si>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</si>
  <si>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</si>
  <si>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</si>
  <si>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</si>
  <si>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</si>
  <si>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</si>
  <si>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</si>
  <si>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</si>
  <si>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</si>
  <si>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</si>
  <si>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</si>
  <si>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</si>
  <si>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</si>
  <si>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</si>
  <si>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北京市顺义区顺义新城牛栏山组团一级开发项目17-11-07地块(南侧)R2二类居住用地</t>
  </si>
  <si>
    <t>2018-12-11</t>
  </si>
  <si>
    <t>北京拓景商务服务有限公司</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</si>
  <si>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</si>
  <si>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</si>
  <si>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</si>
  <si>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</si>
  <si>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</si>
  <si>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</si>
  <si>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</si>
  <si>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</si>
  <si>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</si>
  <si>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</si>
  <si>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</si>
  <si>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</si>
  <si>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</si>
  <si>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</si>
  <si>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</si>
  <si>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</si>
  <si>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</si>
  <si>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</si>
  <si>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</si>
  <si>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</si>
  <si>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</si>
  <si>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</si>
  <si>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</si>
  <si>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</si>
  <si>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</si>
  <si>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</si>
  <si>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</si>
  <si>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</si>
  <si>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</si>
  <si>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</si>
  <si>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</si>
  <si>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</si>
  <si>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</si>
  <si>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</si>
  <si>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</si>
  <si>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北京市海淀区西三旗建材城中路东侧1814-630等地块R2二类居住用地、A4体育用地、A334托幼用地</t>
  </si>
  <si>
    <t>招标</t>
  </si>
  <si>
    <t>2019-01-24</t>
  </si>
  <si>
    <t>北京金隅程远房地产开发有限公司</t>
  </si>
  <si>
    <t>北京市海淀区清河安宁庄1820-618A等地块R2二类居住用地、A8社区综合服务设施用地、S32公交场站设施用地、U17邮政设施用地</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</si>
  <si>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</si>
  <si>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</si>
  <si>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</si>
  <si>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</si>
  <si>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</si>
  <si>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</si>
  <si>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</si>
  <si>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楼面单价</t>
    <phoneticPr fontId="228" type="noConversion"/>
  </si>
  <si>
    <t>容积率</t>
    <phoneticPr fontId="228" type="noConversion"/>
  </si>
  <si>
    <t>地面单价</t>
    <phoneticPr fontId="228" type="noConversion"/>
  </si>
  <si>
    <t>r2:1.8;b1:2</t>
    <phoneticPr fontId="228" type="noConversion"/>
  </si>
  <si>
    <t>正常</t>
  </si>
  <si>
    <t>北京市顺义区后沙峪镇马头庄村SY00-0019-6007地块R2二类居住用地</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</si>
  <si>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</si>
  <si>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</si>
  <si>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</si>
  <si>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</si>
  <si>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</si>
  <si>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</si>
  <si>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</si>
  <si>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</si>
  <si>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</si>
  <si>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</si>
  <si>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</si>
  <si>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</si>
  <si>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</si>
  <si>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北京市朝阳孙河乡北甸西村2902-14地块R2二类居住用地</t>
    <phoneticPr fontId="228" type="noConversion"/>
  </si>
  <si>
    <t>2018-3</t>
    <phoneticPr fontId="21" type="noConversion"/>
  </si>
  <si>
    <t>售价</t>
  </si>
  <si>
    <t>居住用地（指二类居住用地）</t>
  </si>
  <si>
    <t>宗地容积率</t>
  </si>
  <si>
    <t>容积率修正</t>
  </si>
  <si>
    <t>较好</t>
  </si>
  <si>
    <t>好</t>
  </si>
  <si>
    <t>三通</t>
  </si>
  <si>
    <t>五通</t>
  </si>
  <si>
    <t>六通</t>
  </si>
  <si>
    <t>住宅</t>
    <phoneticPr fontId="26" type="noConversion"/>
  </si>
  <si>
    <t>估价对象所在区域公共配套设施较齐备</t>
  </si>
  <si>
    <t>估价对象所在区域公共配套设施较齐备</t>
    <phoneticPr fontId="3" type="noConversion"/>
  </si>
  <si>
    <t>估价对象所在区域基础设施水平较高</t>
  </si>
  <si>
    <t>估价对象所在区域基础设施水平较高</t>
    <phoneticPr fontId="3" type="noConversion"/>
  </si>
  <si>
    <t>估价对象周边居住用地比例较大、居住小区规模和社区发展完善程度较好，综合评价居住社区成熟度较好</t>
  </si>
  <si>
    <t>估价对象周边居住用地比例较大、居住小区规模和社区发展完善程度较好，综合评价居住社区成熟度较好</t>
    <phoneticPr fontId="3" type="noConversion"/>
  </si>
  <si>
    <t>一般</t>
  </si>
  <si>
    <t>规则</t>
    <phoneticPr fontId="26" type="noConversion"/>
  </si>
  <si>
    <t>较规则</t>
  </si>
  <si>
    <t>较规则</t>
    <phoneticPr fontId="26" type="noConversion"/>
  </si>
  <si>
    <t>较好</t>
    <phoneticPr fontId="26" type="noConversion"/>
  </si>
  <si>
    <t>钢混</t>
  </si>
  <si>
    <t>钢混</t>
    <phoneticPr fontId="21" type="noConversion"/>
  </si>
  <si>
    <t>高档</t>
  </si>
  <si>
    <t>高档</t>
    <phoneticPr fontId="21" type="noConversion"/>
  </si>
  <si>
    <t>精装修</t>
  </si>
  <si>
    <t>精装修</t>
    <phoneticPr fontId="21" type="noConversion"/>
  </si>
  <si>
    <t>专业物业管理</t>
  </si>
  <si>
    <t>专业物业管理</t>
    <phoneticPr fontId="21" type="noConversion"/>
  </si>
  <si>
    <t>七通</t>
  </si>
  <si>
    <t>七通</t>
    <phoneticPr fontId="21" type="noConversion"/>
  </si>
  <si>
    <t>毛坯</t>
  </si>
  <si>
    <t>毛坯</t>
    <phoneticPr fontId="21" type="noConversion"/>
  </si>
  <si>
    <t>60-70（含）</t>
  </si>
  <si>
    <r>
      <rPr>
        <sz val="11"/>
        <color rgb="FFFF0000"/>
        <rFont val="仿宋_GB2312"/>
        <family val="3"/>
        <charset val="134"/>
      </rPr>
      <t>临街状况</t>
    </r>
    <phoneticPr fontId="26" type="noConversion"/>
  </si>
  <si>
    <r>
      <rPr>
        <sz val="11"/>
        <color rgb="FFFF0000"/>
        <rFont val="仿宋_GB2312"/>
        <family val="3"/>
        <charset val="134"/>
      </rPr>
      <t>毗邻道路的类型与等级</t>
    </r>
    <phoneticPr fontId="26" type="noConversion"/>
  </si>
  <si>
    <t>楼面地价</t>
  </si>
  <si>
    <t>独栋</t>
  </si>
  <si>
    <t>独栋</t>
    <phoneticPr fontId="21" type="noConversion"/>
  </si>
  <si>
    <t>双拼</t>
    <phoneticPr fontId="21" type="noConversion"/>
  </si>
  <si>
    <t>联排</t>
    <phoneticPr fontId="21" type="noConversion"/>
  </si>
  <si>
    <t>叠拼</t>
    <phoneticPr fontId="21" type="noConversion"/>
  </si>
  <si>
    <t>中粮瑞府</t>
    <phoneticPr fontId="3" type="noConversion"/>
  </si>
  <si>
    <t>首开琅樾</t>
    <phoneticPr fontId="3" type="noConversion"/>
  </si>
  <si>
    <t>景粼原著</t>
    <phoneticPr fontId="3" type="noConversion"/>
  </si>
  <si>
    <t>四通</t>
  </si>
  <si>
    <t>与级别开发程度不一致</t>
  </si>
  <si>
    <t>通路</t>
  </si>
  <si>
    <t>通电</t>
  </si>
  <si>
    <t>通上水</t>
  </si>
  <si>
    <t>否</t>
  </si>
  <si>
    <t>居住项目</t>
  </si>
  <si>
    <t>抵押价格</t>
  </si>
  <si>
    <t>抵押</t>
  </si>
  <si>
    <t>企业</t>
  </si>
  <si>
    <t>一致</t>
  </si>
  <si>
    <t>符合</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</si>
  <si>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来广营东路</t>
    </r>
    <phoneticPr fontId="21" type="noConversion"/>
  </si>
  <si>
    <t>多面临街</t>
  </si>
  <si>
    <t>较一致</t>
    <phoneticPr fontId="21" type="noConversion"/>
  </si>
  <si>
    <t>区域自然环境较好；人文环境一般；综合评价环境状况较好</t>
    <phoneticPr fontId="3" type="noConversion"/>
  </si>
  <si>
    <t>区域自然环境较好；人文环境一般；综合评价环境状况较好</t>
  </si>
  <si>
    <t>——</t>
    <phoneticPr fontId="26" type="noConversion"/>
  </si>
  <si>
    <t>城市次干道</t>
    <phoneticPr fontId="3" type="noConversion"/>
  </si>
  <si>
    <t>城市支路</t>
    <phoneticPr fontId="3" type="noConversion"/>
  </si>
  <si>
    <t>城市次干道</t>
  </si>
  <si>
    <t>城市支路</t>
  </si>
  <si>
    <t>估价对象周边道路状况、公共交通通达情况、停车便捷程度，综合评价交通便捷度一般</t>
    <phoneticPr fontId="26" type="noConversion"/>
  </si>
  <si>
    <t>按公示增长率计算</t>
  </si>
  <si>
    <t>有</t>
  </si>
  <si>
    <t>1000米以外</t>
  </si>
  <si>
    <t>住宅</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</si>
</sst>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6" fontId="11" fillId="0" borderId="2" xfId="0" applyNumberFormat="1" applyFont="1" applyBorder="1" applyAlignment="1" applyProtection="1">
      <alignment vertical="center" wrapText="1"/>
      <protection locked="0"/>
    </xf>
    <xf numFmtId="0" fontId="145" fillId="0" borderId="0" xfId="0" applyFont="1">
      <alignment vertical="center"/>
    </xf>
    <xf numFmtId="0" fontId="0" fillId="6" borderId="0" xfId="0" applyFill="1">
      <alignment vertical="center"/>
    </xf>
    <xf numFmtId="0" fontId="145" fillId="6" borderId="0" xfId="0" applyFont="1" applyFill="1">
      <alignment vertical="center"/>
    </xf>
    <xf numFmtId="0" fontId="145" fillId="0" borderId="0" xfId="0" applyFont="1" applyFill="1">
      <alignment vertical="center"/>
    </xf>
    <xf numFmtId="0" fontId="0" fillId="0" borderId="0" xfId="0" applyFill="1">
      <alignment vertical="center"/>
    </xf>
    <xf numFmtId="10" fontId="149" fillId="5" borderId="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75" fillId="2" borderId="30"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3" fillId="5" borderId="51"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49" fontId="144" fillId="0" borderId="2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590550</xdr:colOff>
      <xdr:row>64</xdr:row>
      <xdr:rowOff>27301</xdr:rowOff>
    </xdr:from>
    <xdr:to>
      <xdr:col>23</xdr:col>
      <xdr:colOff>370603</xdr:colOff>
      <xdr:row>89</xdr:row>
      <xdr:rowOff>8818</xdr:rowOff>
    </xdr:to>
    <xdr:pic>
      <xdr:nvPicPr>
        <xdr:cNvPr id="2" name="图片 1"/>
        <xdr:cNvPicPr>
          <a:picLocks noChangeAspect="1"/>
        </xdr:cNvPicPr>
      </xdr:nvPicPr>
      <xdr:blipFill>
        <a:blip xmlns:r="http://schemas.openxmlformats.org/officeDocument/2006/relationships" r:embed="rId1"/>
        <a:stretch>
          <a:fillRect/>
        </a:stretch>
      </xdr:blipFill>
      <xdr:spPr>
        <a:xfrm>
          <a:off x="12487275" y="11009626"/>
          <a:ext cx="5266453" cy="4267767"/>
        </a:xfrm>
        <a:prstGeom prst="rect">
          <a:avLst/>
        </a:prstGeom>
      </xdr:spPr>
    </xdr:pic>
    <xdr:clientData/>
  </xdr:twoCellAnchor>
  <xdr:twoCellAnchor editAs="oneCell">
    <xdr:from>
      <xdr:col>10</xdr:col>
      <xdr:colOff>419100</xdr:colOff>
      <xdr:row>60</xdr:row>
      <xdr:rowOff>152400</xdr:rowOff>
    </xdr:from>
    <xdr:to>
      <xdr:col>20</xdr:col>
      <xdr:colOff>522948</xdr:colOff>
      <xdr:row>94</xdr:row>
      <xdr:rowOff>37386</xdr:rowOff>
    </xdr:to>
    <xdr:pic>
      <xdr:nvPicPr>
        <xdr:cNvPr id="3" name="图片 2"/>
        <xdr:cNvPicPr>
          <a:picLocks noChangeAspect="1"/>
        </xdr:cNvPicPr>
      </xdr:nvPicPr>
      <xdr:blipFill>
        <a:blip xmlns:r="http://schemas.openxmlformats.org/officeDocument/2006/relationships" r:embed="rId2"/>
        <a:stretch>
          <a:fillRect/>
        </a:stretch>
      </xdr:blipFill>
      <xdr:spPr>
        <a:xfrm>
          <a:off x="8429625" y="10448925"/>
          <a:ext cx="7419048" cy="5714286"/>
        </a:xfrm>
        <a:prstGeom prst="rect">
          <a:avLst/>
        </a:prstGeom>
      </xdr:spPr>
    </xdr:pic>
    <xdr:clientData/>
  </xdr:twoCellAnchor>
  <xdr:twoCellAnchor editAs="oneCell">
    <xdr:from>
      <xdr:col>9</xdr:col>
      <xdr:colOff>76200</xdr:colOff>
      <xdr:row>113</xdr:row>
      <xdr:rowOff>123825</xdr:rowOff>
    </xdr:from>
    <xdr:to>
      <xdr:col>19</xdr:col>
      <xdr:colOff>132429</xdr:colOff>
      <xdr:row>147</xdr:row>
      <xdr:rowOff>161208</xdr:rowOff>
    </xdr:to>
    <xdr:pic>
      <xdr:nvPicPr>
        <xdr:cNvPr id="4" name="图片 3"/>
        <xdr:cNvPicPr>
          <a:picLocks noChangeAspect="1"/>
        </xdr:cNvPicPr>
      </xdr:nvPicPr>
      <xdr:blipFill>
        <a:blip xmlns:r="http://schemas.openxmlformats.org/officeDocument/2006/relationships" r:embed="rId3"/>
        <a:stretch>
          <a:fillRect/>
        </a:stretch>
      </xdr:blipFill>
      <xdr:spPr>
        <a:xfrm>
          <a:off x="7400925" y="19507200"/>
          <a:ext cx="7371429" cy="5742858"/>
        </a:xfrm>
        <a:prstGeom prst="rect">
          <a:avLst/>
        </a:prstGeom>
      </xdr:spPr>
    </xdr:pic>
    <xdr:clientData/>
  </xdr:twoCellAnchor>
  <xdr:twoCellAnchor editAs="oneCell">
    <xdr:from>
      <xdr:col>0</xdr:col>
      <xdr:colOff>0</xdr:colOff>
      <xdr:row>23</xdr:row>
      <xdr:rowOff>142875</xdr:rowOff>
    </xdr:from>
    <xdr:to>
      <xdr:col>7</xdr:col>
      <xdr:colOff>380073</xdr:colOff>
      <xdr:row>57</xdr:row>
      <xdr:rowOff>85004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4095750"/>
          <a:ext cx="7419048" cy="5771429"/>
        </a:xfrm>
        <a:prstGeom prst="rect">
          <a:avLst/>
        </a:prstGeom>
      </xdr:spPr>
    </xdr:pic>
    <xdr:clientData/>
  </xdr:twoCellAnchor>
  <xdr:twoCellAnchor editAs="oneCell">
    <xdr:from>
      <xdr:col>8</xdr:col>
      <xdr:colOff>409575</xdr:colOff>
      <xdr:row>28</xdr:row>
      <xdr:rowOff>0</xdr:rowOff>
    </xdr:from>
    <xdr:to>
      <xdr:col>24</xdr:col>
      <xdr:colOff>398623</xdr:colOff>
      <xdr:row>39</xdr:row>
      <xdr:rowOff>56907</xdr:rowOff>
    </xdr:to>
    <xdr:pic>
      <xdr:nvPicPr>
        <xdr:cNvPr id="7" name="图片 6"/>
        <xdr:cNvPicPr>
          <a:picLocks noChangeAspect="1"/>
        </xdr:cNvPicPr>
      </xdr:nvPicPr>
      <xdr:blipFill>
        <a:blip xmlns:r="http://schemas.openxmlformats.org/officeDocument/2006/relationships" r:embed="rId5"/>
        <a:stretch>
          <a:fillRect/>
        </a:stretch>
      </xdr:blipFill>
      <xdr:spPr>
        <a:xfrm>
          <a:off x="7048500" y="4810125"/>
          <a:ext cx="11419048" cy="1942857"/>
        </a:xfrm>
        <a:prstGeom prst="rect">
          <a:avLst/>
        </a:prstGeom>
      </xdr:spPr>
    </xdr:pic>
    <xdr:clientData/>
  </xdr:twoCellAnchor>
  <xdr:twoCellAnchor editAs="oneCell">
    <xdr:from>
      <xdr:col>8</xdr:col>
      <xdr:colOff>561975</xdr:colOff>
      <xdr:row>38</xdr:row>
      <xdr:rowOff>114300</xdr:rowOff>
    </xdr:from>
    <xdr:to>
      <xdr:col>24</xdr:col>
      <xdr:colOff>589119</xdr:colOff>
      <xdr:row>47</xdr:row>
      <xdr:rowOff>56964</xdr:rowOff>
    </xdr:to>
    <xdr:pic>
      <xdr:nvPicPr>
        <xdr:cNvPr id="8" name="图片 7"/>
        <xdr:cNvPicPr>
          <a:picLocks noChangeAspect="1"/>
        </xdr:cNvPicPr>
      </xdr:nvPicPr>
      <xdr:blipFill>
        <a:blip xmlns:r="http://schemas.openxmlformats.org/officeDocument/2006/relationships" r:embed="rId6"/>
        <a:stretch>
          <a:fillRect/>
        </a:stretch>
      </xdr:blipFill>
      <xdr:spPr>
        <a:xfrm>
          <a:off x="7200900" y="6638925"/>
          <a:ext cx="11457144" cy="1485714"/>
        </a:xfrm>
        <a:prstGeom prst="rect">
          <a:avLst/>
        </a:prstGeom>
      </xdr:spPr>
    </xdr:pic>
    <xdr:clientData/>
  </xdr:twoCellAnchor>
  <xdr:twoCellAnchor editAs="oneCell">
    <xdr:from>
      <xdr:col>8</xdr:col>
      <xdr:colOff>552450</xdr:colOff>
      <xdr:row>46</xdr:row>
      <xdr:rowOff>152400</xdr:rowOff>
    </xdr:from>
    <xdr:to>
      <xdr:col>18</xdr:col>
      <xdr:colOff>551536</xdr:colOff>
      <xdr:row>79</xdr:row>
      <xdr:rowOff>56455</xdr:rowOff>
    </xdr:to>
    <xdr:pic>
      <xdr:nvPicPr>
        <xdr:cNvPr id="9" name="图片 8"/>
        <xdr:cNvPicPr>
          <a:picLocks noChangeAspect="1"/>
        </xdr:cNvPicPr>
      </xdr:nvPicPr>
      <xdr:blipFill>
        <a:blip xmlns:r="http://schemas.openxmlformats.org/officeDocument/2006/relationships" r:embed="rId7"/>
        <a:stretch>
          <a:fillRect/>
        </a:stretch>
      </xdr:blipFill>
      <xdr:spPr>
        <a:xfrm>
          <a:off x="7191375" y="8048625"/>
          <a:ext cx="7314286" cy="5561905"/>
        </a:xfrm>
        <a:prstGeom prst="rect">
          <a:avLst/>
        </a:prstGeom>
      </xdr:spPr>
    </xdr:pic>
    <xdr:clientData/>
  </xdr:twoCellAnchor>
  <xdr:twoCellAnchor editAs="oneCell">
    <xdr:from>
      <xdr:col>0</xdr:col>
      <xdr:colOff>0</xdr:colOff>
      <xdr:row>69</xdr:row>
      <xdr:rowOff>61751</xdr:rowOff>
    </xdr:from>
    <xdr:to>
      <xdr:col>5</xdr:col>
      <xdr:colOff>627216</xdr:colOff>
      <xdr:row>87</xdr:row>
      <xdr:rowOff>151677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1901326"/>
          <a:ext cx="6294591" cy="3176026"/>
        </a:xfrm>
        <a:prstGeom prst="rect">
          <a:avLst/>
        </a:prstGeom>
      </xdr:spPr>
    </xdr:pic>
    <xdr:clientData/>
  </xdr:twoCellAnchor>
  <xdr:twoCellAnchor editAs="oneCell">
    <xdr:from>
      <xdr:col>0</xdr:col>
      <xdr:colOff>190500</xdr:colOff>
      <xdr:row>86</xdr:row>
      <xdr:rowOff>75881</xdr:rowOff>
    </xdr:from>
    <xdr:to>
      <xdr:col>5</xdr:col>
      <xdr:colOff>170015</xdr:colOff>
      <xdr:row>102</xdr:row>
      <xdr:rowOff>146761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90500" y="14830106"/>
          <a:ext cx="5646890" cy="2814080"/>
        </a:xfrm>
        <a:prstGeom prst="rect">
          <a:avLst/>
        </a:prstGeom>
      </xdr:spPr>
    </xdr:pic>
    <xdr:clientData/>
  </xdr:twoCellAnchor>
  <xdr:twoCellAnchor editAs="oneCell">
    <xdr:from>
      <xdr:col>0</xdr:col>
      <xdr:colOff>209550</xdr:colOff>
      <xdr:row>102</xdr:row>
      <xdr:rowOff>134926</xdr:rowOff>
    </xdr:from>
    <xdr:to>
      <xdr:col>5</xdr:col>
      <xdr:colOff>617672</xdr:colOff>
      <xdr:row>119</xdr:row>
      <xdr:rowOff>113607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09550" y="17632351"/>
          <a:ext cx="6075497" cy="2893331"/>
        </a:xfrm>
        <a:prstGeom prst="rect">
          <a:avLst/>
        </a:prstGeom>
      </xdr:spPr>
    </xdr:pic>
    <xdr:clientData/>
  </xdr:twoCellAnchor>
  <xdr:twoCellAnchor editAs="oneCell">
    <xdr:from>
      <xdr:col>0</xdr:col>
      <xdr:colOff>183479</xdr:colOff>
      <xdr:row>119</xdr:row>
      <xdr:rowOff>57150</xdr:rowOff>
    </xdr:from>
    <xdr:to>
      <xdr:col>6</xdr:col>
      <xdr:colOff>417670</xdr:colOff>
      <xdr:row>138</xdr:row>
      <xdr:rowOff>8855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83479" y="20469225"/>
          <a:ext cx="6587366" cy="3085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4191;&#33829;-213&#22320;&#22359;-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99890.33</v>
          </cell>
          <cell r="E3">
            <v>109879.36</v>
          </cell>
        </row>
      </sheetData>
      <sheetData sheetId="13"/>
      <sheetData sheetId="14"/>
      <sheetData sheetId="15"/>
      <sheetData sheetId="16">
        <row r="19">
          <cell r="G19">
            <v>693808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北京市出让国有建设用地使用权抵押价格预评估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受贵公司委托，我公司对北京市出让国有建设用地使用权抵押价格进行了预评估。</v>
      </c>
      <c r="AM6" s="2856"/>
    </row>
    <row r="7" spans="1:55" s="2830" customFormat="1">
      <c r="A7" s="2831" t="s">
        <v>2656</v>
      </c>
      <c r="B7" s="2832" t="str">
        <f>'预评函-1'!A6</f>
        <v>估价对象为使用的、位于北京市出让国有建设用地使用权。根据，估价对象（分摊）出让国有建设用地使用权面积为120388.78平方米。根据，估价对象规划建筑面积为132427.66平方米。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2658</v>
      </c>
      <c r="B10" s="2832" t="str">
        <f>'预评函-1'!A11</f>
        <v>2019年4月26日</v>
      </c>
    </row>
    <row r="11" spans="1:55" s="2830" customFormat="1">
      <c r="A11" s="2831" t="s">
        <v>2664</v>
      </c>
      <c r="B11" s="2832" t="str">
        <f>'预评函-1'!A14</f>
        <v>根据，本次评估估价对象证载（地类）用途为。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根据，估价对象（分摊）出让国有建设用地使用权面积为120388.78平方米。根据，估价对象规划建筑面积为132427.66平方米。</v>
      </c>
    </row>
    <row r="16" spans="1:55" s="2830" customFormat="1">
      <c r="A16" s="2831" t="s">
        <v>2668</v>
      </c>
      <c r="B16" s="2832" t="str">
        <f>'预评函-1'!A22</f>
        <v>本次估价对象为出让国有建设用地使用权，证载土地终止日期为住宅2067年10月19日。截至估价期日，出让国有建设用地使用权剩余土地使用年限为。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估价期日：2019年4月26日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120388.78</v>
      </c>
    </row>
    <row r="44" spans="1:2">
      <c r="A44" s="2831" t="s">
        <v>2739</v>
      </c>
      <c r="B44" s="2832" t="str">
        <f>'预评函-2'!O3</f>
        <v>规划建筑面积/㎡</v>
      </c>
    </row>
    <row r="45" spans="1:2">
      <c r="A45" s="2831" t="s">
        <v>2721</v>
      </c>
      <c r="B45" s="2832">
        <f>'预评函-2'!O5</f>
        <v>132427.66</v>
      </c>
    </row>
    <row r="46" spans="1:2">
      <c r="A46" s="2831" t="s">
        <v>2722</v>
      </c>
      <c r="B46" s="2832">
        <f ca="1">'预评函-2'!P5</f>
        <v>70181</v>
      </c>
    </row>
    <row r="47" spans="1:2">
      <c r="A47" s="2831" t="s">
        <v>2723</v>
      </c>
      <c r="B47" s="2832">
        <f ca="1">'预评函-2'!Q5</f>
        <v>63801</v>
      </c>
    </row>
    <row r="48" spans="1:2">
      <c r="A48" s="2831" t="s">
        <v>2724</v>
      </c>
      <c r="B48" s="2832">
        <f ca="1">'预评函-2'!R5</f>
        <v>844897</v>
      </c>
    </row>
    <row r="49" spans="1:2">
      <c r="A49" s="2831" t="s">
        <v>2740</v>
      </c>
      <c r="B49" s="2832" t="str">
        <f>'预评函-2'!A6</f>
        <v>抵押价格</v>
      </c>
    </row>
    <row r="50" spans="1:2">
      <c r="A50" s="2831" t="s">
        <v>2725</v>
      </c>
      <c r="B50" s="2832">
        <f ca="1">'预评函-2'!R6</f>
        <v>844897</v>
      </c>
    </row>
    <row r="51" spans="1:2">
      <c r="A51" s="2831" t="s">
        <v>2741</v>
      </c>
      <c r="B51" s="2832" t="str">
        <f>'预评函-2'!A7</f>
        <v>——</v>
      </c>
    </row>
    <row r="52" spans="1:2">
      <c r="A52" s="2831" t="s">
        <v>2726</v>
      </c>
      <c r="B52" s="2832" t="str">
        <f>'预评函-2'!R7</f>
        <v>——</v>
      </c>
    </row>
    <row r="53" spans="1:2">
      <c r="A53" s="2831" t="s">
        <v>2742</v>
      </c>
      <c r="B53" s="2832" t="str">
        <f>'预评函-2'!A8</f>
        <v>——</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D19" sqref="D19"/>
    </sheetView>
  </sheetViews>
  <sheetFormatPr defaultColWidth="10" defaultRowHeight="14.25"/>
  <cols>
    <col min="1" max="1" width="15.375" style="1674" customWidth="1"/>
    <col min="2" max="2" width="11.375" style="1674" customWidth="1"/>
    <col min="3" max="3" width="12.625" style="1674" customWidth="1"/>
    <col min="4" max="4" width="15.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32" t="str">
        <f>IF(B10="北京市","北京市",C10)&amp;F10&amp;B16&amp;"国有建设用地使用权"&amp;B9&amp;"预评估"</f>
        <v>北京市出让国有建设用地使用权抵押价格预评估</v>
      </c>
      <c r="C1" s="3233"/>
      <c r="D1" s="3233"/>
      <c r="E1" s="3233"/>
      <c r="F1" s="3233"/>
      <c r="G1" s="3233"/>
      <c r="H1" s="3233"/>
      <c r="I1" s="3234"/>
      <c r="J1" s="1677"/>
      <c r="K1" s="2417" t="str">
        <f>IF(B10="北京市","北京市",C10)&amp;F10&amp;B16&amp;"国有建设用地使用权"&amp;B9</f>
        <v>北京市出让国有建设用地使用权抵押价格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7"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1939</v>
      </c>
      <c r="B3" s="1645"/>
      <c r="C3" s="1646" t="s">
        <v>1995</v>
      </c>
      <c r="D3" s="1645">
        <v>43581</v>
      </c>
      <c r="E3" s="1677"/>
      <c r="F3" s="1677"/>
      <c r="G3" s="1677"/>
      <c r="H3" s="1643"/>
      <c r="I3" s="1678"/>
      <c r="J3" s="1677"/>
      <c r="K3" s="1757"/>
      <c r="L3" s="1706"/>
      <c r="M3" s="1706"/>
      <c r="N3" s="1677"/>
      <c r="O3" s="1678"/>
      <c r="P3" s="1677"/>
      <c r="Q3" s="1677"/>
      <c r="R3" s="1677"/>
      <c r="S3" s="1677"/>
      <c r="T3" s="1677"/>
      <c r="U3" s="1677"/>
    </row>
    <row r="4" spans="1:21" ht="15" thickBot="1">
      <c r="A4" s="1647" t="s">
        <v>1940</v>
      </c>
      <c r="B4" s="1826" t="s">
        <v>2887</v>
      </c>
      <c r="C4" s="1829">
        <f>SUMIF(土地估价师,B4,估价师及机构信息!E3:E24)</f>
        <v>0</v>
      </c>
      <c r="D4" s="1826" t="s">
        <v>2887</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7"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3161</v>
      </c>
      <c r="C8" s="1654"/>
      <c r="D8" s="3238" t="s">
        <v>1944</v>
      </c>
      <c r="E8" s="1827" t="s">
        <v>3160</v>
      </c>
      <c r="F8" s="1655"/>
      <c r="G8" s="1643"/>
      <c r="H8" s="1643"/>
      <c r="I8" s="1690"/>
      <c r="J8" s="1677"/>
      <c r="K8" s="1757"/>
      <c r="L8" s="1706"/>
      <c r="M8" s="1706"/>
      <c r="N8" s="1677"/>
      <c r="O8" s="1678"/>
      <c r="P8" s="1677"/>
      <c r="Q8" s="1677"/>
      <c r="R8" s="1677"/>
      <c r="S8" s="1677"/>
      <c r="T8" s="1677"/>
      <c r="U8" s="1677"/>
    </row>
    <row r="9" spans="1:21" ht="15" thickBot="1">
      <c r="A9" s="1656" t="s">
        <v>1943</v>
      </c>
      <c r="B9" s="1657" t="s">
        <v>3160</v>
      </c>
      <c r="C9" s="1658"/>
      <c r="D9" s="3239"/>
      <c r="E9" s="1657" t="s">
        <v>952</v>
      </c>
      <c r="F9" s="1730"/>
      <c r="G9" s="1725"/>
      <c r="H9" s="1725"/>
      <c r="I9" s="1726"/>
      <c r="J9" s="1677"/>
      <c r="K9" s="1757"/>
      <c r="L9" s="1706"/>
      <c r="M9" s="1706"/>
      <c r="N9" s="1677"/>
      <c r="O9" s="1678"/>
      <c r="P9" s="1677"/>
      <c r="Q9" s="1677"/>
      <c r="R9" s="1677"/>
      <c r="S9" s="1677"/>
      <c r="T9" s="1677"/>
      <c r="U9" s="1677"/>
    </row>
    <row r="10" spans="1:21" ht="15" thickTop="1">
      <c r="A10" s="1727" t="s">
        <v>1998</v>
      </c>
      <c r="B10" s="1702" t="s">
        <v>1945</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1999</v>
      </c>
      <c r="B11" s="1681" t="s">
        <v>3162</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35"/>
      <c r="C12" s="3236"/>
      <c r="D12" s="3237"/>
      <c r="E12" s="1682" t="s">
        <v>2060</v>
      </c>
      <c r="F12" s="3253"/>
      <c r="G12" s="3254"/>
      <c r="H12" s="3254"/>
      <c r="I12" s="3255"/>
      <c r="J12" s="1677"/>
      <c r="K12" s="1757"/>
      <c r="L12" s="1706"/>
      <c r="M12" s="1706"/>
      <c r="N12" s="1677"/>
      <c r="O12" s="1678"/>
      <c r="P12" s="1677"/>
      <c r="Q12" s="1677"/>
      <c r="R12" s="1677"/>
      <c r="S12" s="1677"/>
      <c r="T12" s="1677"/>
      <c r="U12" s="1677"/>
    </row>
    <row r="13" spans="1:21">
      <c r="A13" s="1670" t="s">
        <v>2058</v>
      </c>
      <c r="B13" s="3235"/>
      <c r="C13" s="3236"/>
      <c r="D13" s="3237"/>
      <c r="E13" s="1682" t="s">
        <v>2060</v>
      </c>
      <c r="F13" s="3253"/>
      <c r="G13" s="3254"/>
      <c r="H13" s="3254"/>
      <c r="I13" s="3255"/>
      <c r="J13" s="1677"/>
      <c r="K13" s="1757"/>
      <c r="L13" s="1706"/>
      <c r="M13" s="1706"/>
      <c r="N13" s="1677"/>
      <c r="O13" s="1678"/>
      <c r="P13" s="1677"/>
      <c r="Q13" s="1677"/>
      <c r="R13" s="1677"/>
      <c r="S13" s="1677"/>
      <c r="T13" s="1677"/>
      <c r="U13" s="1677"/>
    </row>
    <row r="14" spans="1:21">
      <c r="A14" s="1644" t="s">
        <v>2061</v>
      </c>
      <c r="B14" s="1682"/>
      <c r="C14" s="1828" t="s">
        <v>3163</v>
      </c>
      <c r="D14" s="1716" t="str">
        <f>IF(C14="不一致","是否符合证载地类范围","")</f>
        <v/>
      </c>
      <c r="E14" s="1682"/>
      <c r="F14" s="1773" t="s">
        <v>3164</v>
      </c>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2981</v>
      </c>
      <c r="C16" s="1682" t="s">
        <v>1948</v>
      </c>
      <c r="D16" s="2608" t="s">
        <v>1949</v>
      </c>
      <c r="E16" s="1705"/>
      <c r="F16" s="1705"/>
      <c r="G16" s="1705"/>
      <c r="H16" s="1705"/>
      <c r="I16" s="1669" t="s">
        <v>1954</v>
      </c>
      <c r="J16" s="1677"/>
      <c r="K16" s="2418" t="str">
        <f>IF(D17="","",D16&amp;TEXT(D17,"yyyy年m月d日;;"))</f>
        <v>住宅2067年10月19日</v>
      </c>
      <c r="L16" s="1682" t="str">
        <f>IF(OR(K16="",M16=""),"","、")</f>
        <v/>
      </c>
      <c r="M16" s="2418" t="str">
        <f>IF(E17="","",E16&amp;TEXT(E17,"yyyy年m月d日;;"))</f>
        <v/>
      </c>
      <c r="N16" s="1682" t="str">
        <f>IF(OR(M16="",O16=""),"","、")</f>
        <v/>
      </c>
      <c r="O16" s="2418" t="str">
        <f>IF(F17="","",F16&amp;TEXT(F17,"yyyy年m月d日;;"))</f>
        <v/>
      </c>
      <c r="P16" s="1682" t="str">
        <f>IF(OR(O16="",Q16=""),"","、")</f>
        <v/>
      </c>
      <c r="Q16" s="2418" t="str">
        <f>IF(G17="","",G16&amp;TEXT(G17,"yyyy年m月d日;;"))</f>
        <v/>
      </c>
      <c r="R16" s="1682" t="str">
        <f>IF(OR(Q16="",S16=""),"","、")</f>
        <v/>
      </c>
      <c r="S16" s="2418" t="str">
        <f>IF(H17="","",H16&amp;TEXT(H17,"yyyy年m月d日;;"))</f>
        <v/>
      </c>
      <c r="T16" s="1682" t="str">
        <f>IF(OR(S16="",U16=""),"","、")</f>
        <v/>
      </c>
      <c r="U16" s="2418" t="str">
        <f>IF(I17="","",I16&amp;TEXT(I17,"yyyy年m月d日;;"))</f>
        <v/>
      </c>
    </row>
    <row r="17" spans="1:21">
      <c r="A17" s="1746"/>
      <c r="B17" s="1665"/>
      <c r="C17" s="1666" t="s">
        <v>1955</v>
      </c>
      <c r="D17" s="1683">
        <v>61289</v>
      </c>
      <c r="E17" s="1683"/>
      <c r="F17" s="1683"/>
      <c r="G17" s="1683"/>
      <c r="H17" s="1683"/>
      <c r="I17" s="1683"/>
      <c r="J17" s="1677"/>
      <c r="K17" s="2417" t="str">
        <f>CONCATENATE(K16,L16,M16,N16,O16,P16,Q16,R16,S16,T16,,U16)</f>
        <v>住宅2067年10月19日</v>
      </c>
      <c r="L17" s="1706"/>
      <c r="M17" s="1706"/>
      <c r="N17" s="1677"/>
      <c r="O17" s="1678"/>
      <c r="P17" s="1677"/>
      <c r="Q17" s="1677"/>
      <c r="R17" s="1677"/>
      <c r="S17" s="1677"/>
      <c r="T17" s="1677"/>
      <c r="U17" s="1677"/>
    </row>
    <row r="18" spans="1:21">
      <c r="A18" s="1746"/>
      <c r="B18" s="1665"/>
      <c r="C18" s="1666" t="s">
        <v>1956</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48.51</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50"/>
      <c r="E20" s="3251"/>
      <c r="F20" s="3251"/>
      <c r="G20" s="3251"/>
      <c r="H20" s="3251"/>
      <c r="I20" s="3252"/>
      <c r="J20" s="1677"/>
      <c r="K20" s="1757"/>
      <c r="L20" s="1706"/>
      <c r="M20" s="1706"/>
      <c r="N20" s="1677"/>
      <c r="O20" s="1678"/>
      <c r="P20" s="1677"/>
      <c r="Q20" s="1677"/>
      <c r="R20" s="1677"/>
      <c r="S20" s="1677"/>
      <c r="T20" s="1677"/>
      <c r="U20" s="1677"/>
    </row>
    <row r="21" spans="1:21">
      <c r="A21" s="1746" t="s">
        <v>1958</v>
      </c>
      <c r="B21" s="1747" t="s">
        <v>1959</v>
      </c>
      <c r="C21" s="1742">
        <f>'数据-汇总表'!E3</f>
        <v>132427.66</v>
      </c>
      <c r="D21" s="1743" t="s">
        <v>1960</v>
      </c>
      <c r="E21" s="3240"/>
      <c r="F21" s="3241"/>
      <c r="G21" s="3241"/>
      <c r="H21" s="3241"/>
      <c r="I21" s="3242"/>
      <c r="J21" s="1677"/>
      <c r="K21" s="1757"/>
      <c r="L21" s="1706"/>
      <c r="M21" s="1706"/>
      <c r="N21" s="1677"/>
      <c r="O21" s="1678"/>
      <c r="P21" s="1677"/>
      <c r="Q21" s="1677"/>
      <c r="R21" s="1677"/>
      <c r="S21" s="1677"/>
      <c r="T21" s="1677"/>
      <c r="U21" s="1677"/>
    </row>
    <row r="22" spans="1:21">
      <c r="A22" s="3094" t="s">
        <v>952</v>
      </c>
      <c r="B22" s="1644" t="s">
        <v>1961</v>
      </c>
      <c r="C22" s="1669">
        <f>'数据-汇总表'!D3</f>
        <v>120388.78</v>
      </c>
      <c r="D22" s="1670" t="s">
        <v>1960</v>
      </c>
      <c r="E22" s="3240"/>
      <c r="F22" s="3241"/>
      <c r="G22" s="3241"/>
      <c r="H22" s="3241"/>
      <c r="I22" s="3242"/>
      <c r="J22" s="1677"/>
      <c r="K22" s="1757"/>
      <c r="L22" s="1706"/>
      <c r="M22" s="1706"/>
      <c r="N22" s="1677"/>
      <c r="O22" s="1678"/>
      <c r="P22" s="1677"/>
      <c r="Q22" s="1677"/>
      <c r="R22" s="1677"/>
      <c r="S22" s="1677"/>
      <c r="T22" s="1677"/>
      <c r="U22" s="1677"/>
    </row>
    <row r="23" spans="1:21" ht="29.2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43" t="s">
        <v>1966</v>
      </c>
      <c r="C24" s="3244"/>
      <c r="D24" s="3245" t="s">
        <v>1967</v>
      </c>
      <c r="E24" s="3246"/>
      <c r="F24" s="1691" t="s">
        <v>1968</v>
      </c>
      <c r="G24" s="1677"/>
      <c r="H24" s="1677"/>
      <c r="I24" s="1690"/>
      <c r="J24" s="1677"/>
      <c r="K24" s="3231"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1970</v>
      </c>
      <c r="D25" s="1693"/>
      <c r="E25" s="1694" t="s">
        <v>952</v>
      </c>
      <c r="F25" s="1695"/>
      <c r="G25" s="1677"/>
      <c r="H25" s="1677"/>
      <c r="I25" s="1690"/>
      <c r="J25" s="1677"/>
      <c r="K25" s="323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2325</v>
      </c>
      <c r="D26" s="1643"/>
      <c r="E26" s="1643"/>
      <c r="F26" s="1671"/>
      <c r="G26" s="1677"/>
      <c r="H26" s="1677"/>
      <c r="I26" s="1690"/>
      <c r="J26" s="1677"/>
      <c r="K26" s="323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3"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4"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4"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5"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58" t="s">
        <v>2000</v>
      </c>
      <c r="B31" s="1747" t="s">
        <v>2001</v>
      </c>
      <c r="C31" s="3256" t="s">
        <v>3159</v>
      </c>
      <c r="D31" s="3257"/>
      <c r="E31" s="1677"/>
      <c r="F31" s="1677"/>
      <c r="G31" s="1677"/>
      <c r="H31" s="1677"/>
      <c r="I31" s="1690"/>
      <c r="J31" s="1677"/>
      <c r="K31" s="2420"/>
      <c r="L31" s="1677"/>
      <c r="M31" s="1677"/>
      <c r="N31" s="1677"/>
      <c r="O31" s="1677"/>
      <c r="P31" s="1677"/>
      <c r="Q31" s="1677"/>
      <c r="R31" s="1677"/>
      <c r="S31" s="1677"/>
      <c r="T31" s="1677"/>
      <c r="U31" s="1677"/>
    </row>
    <row r="32" spans="1:21">
      <c r="A32" s="3258"/>
      <c r="B32" s="1644" t="s">
        <v>2002</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58"/>
      <c r="B33" s="1644" t="s">
        <v>2003</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59"/>
      <c r="B34" s="1644" t="s">
        <v>2004</v>
      </c>
      <c r="C34" s="3260"/>
      <c r="D34" s="3261"/>
      <c r="E34" s="1677"/>
      <c r="F34" s="1677"/>
      <c r="G34" s="1677"/>
      <c r="H34" s="1677"/>
      <c r="I34" s="1690"/>
      <c r="J34" s="1677"/>
      <c r="K34" s="2420"/>
      <c r="L34" s="1677"/>
      <c r="M34" s="1677"/>
      <c r="N34" s="1677"/>
      <c r="O34" s="1677"/>
      <c r="P34" s="1677"/>
      <c r="Q34" s="1677"/>
      <c r="R34" s="1677"/>
      <c r="S34" s="1677"/>
      <c r="T34" s="1677"/>
      <c r="U34" s="1677"/>
    </row>
    <row r="35" spans="1:21">
      <c r="A35" s="3262" t="s">
        <v>847</v>
      </c>
      <c r="B35" s="1705"/>
      <c r="C35" s="1759" t="str">
        <f>IF(B35="场地平整","——","具体情况：")</f>
        <v>具体情况：</v>
      </c>
      <c r="D35" s="3264"/>
      <c r="E35" s="3265"/>
      <c r="F35" s="3265"/>
      <c r="G35" s="3265"/>
      <c r="H35" s="3265"/>
      <c r="I35" s="3266"/>
      <c r="J35" s="1677"/>
      <c r="K35" s="1758"/>
      <c r="L35" s="1706"/>
      <c r="M35" s="1706"/>
      <c r="N35" s="1677"/>
      <c r="O35" s="1678"/>
      <c r="P35" s="1677"/>
      <c r="Q35" s="1677"/>
      <c r="R35" s="1677"/>
      <c r="S35" s="1677"/>
      <c r="T35" s="1677"/>
      <c r="U35" s="1677"/>
    </row>
    <row r="36" spans="1:21">
      <c r="A36" s="3258"/>
      <c r="B36" s="3267" t="s">
        <v>2053</v>
      </c>
      <c r="C36" s="3268"/>
      <c r="D36" s="1775"/>
      <c r="E36" s="3269"/>
      <c r="F36" s="3269"/>
      <c r="G36" s="1670" t="str">
        <f>IF(B35="场地未平整","估价结果处理","")</f>
        <v/>
      </c>
      <c r="H36" s="3270"/>
      <c r="I36" s="3270"/>
      <c r="J36" s="1677"/>
      <c r="K36" s="1758"/>
      <c r="L36" s="1706"/>
      <c r="M36" s="1706"/>
      <c r="N36" s="1677"/>
      <c r="O36" s="1678"/>
      <c r="P36" s="1677"/>
      <c r="Q36" s="1677"/>
      <c r="R36" s="1677"/>
      <c r="S36" s="1677"/>
      <c r="T36" s="1677"/>
      <c r="U36" s="1677"/>
    </row>
    <row r="37" spans="1:21" ht="28.5">
      <c r="A37" s="3258"/>
      <c r="B37" s="3247"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58"/>
      <c r="B38" s="3248"/>
      <c r="C38" s="1652" t="s">
        <v>850</v>
      </c>
      <c r="D38" s="1774">
        <f>ROUNDDOWN(MIN(('数据-取费表'!$B$2-D37)/365,D34),1)</f>
        <v>119.4</v>
      </c>
      <c r="E38" s="1710" t="s">
        <v>851</v>
      </c>
      <c r="F38" s="1677"/>
      <c r="G38" s="1677"/>
      <c r="H38" s="1677"/>
      <c r="I38" s="1690"/>
      <c r="J38" s="1677"/>
      <c r="K38" s="1758"/>
      <c r="L38" s="1677"/>
      <c r="M38" s="1677"/>
      <c r="N38" s="1677"/>
      <c r="O38" s="1677"/>
      <c r="P38" s="1677"/>
      <c r="Q38" s="1677"/>
      <c r="R38" s="1677"/>
      <c r="S38" s="1677"/>
      <c r="T38" s="1677"/>
      <c r="U38" s="1677"/>
    </row>
    <row r="39" spans="1:21">
      <c r="A39" s="3259"/>
      <c r="B39" s="324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30" t="s">
        <v>1985</v>
      </c>
      <c r="T40" s="1714" t="str">
        <f>NUMBERSTRING(7-K40,1)&amp;"通"</f>
        <v>七通</v>
      </c>
      <c r="U40" s="1677"/>
    </row>
    <row r="41" spans="1:21">
      <c r="A41" s="1646"/>
      <c r="B41" s="3263" t="s">
        <v>1721</v>
      </c>
      <c r="C41" s="3263"/>
      <c r="D41" s="3263"/>
      <c r="E41" s="326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30"/>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t="s">
        <v>1407</v>
      </c>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t="s">
        <v>1286</v>
      </c>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2888</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120388.78</v>
      </c>
      <c r="B3" s="22">
        <f>IF(C3="否",G5-AT5,G5)</f>
        <v>132427.66</v>
      </c>
      <c r="C3" s="23" t="s">
        <v>3158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132427.66</v>
      </c>
      <c r="H5" s="27">
        <f t="shared" ref="H5:AT5" si="0">SUM(H13:H641)</f>
        <v>132427.66</v>
      </c>
      <c r="I5" s="27">
        <f t="shared" si="0"/>
        <v>132427.66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132427.66</v>
      </c>
      <c r="BA5" s="29">
        <f t="shared" si="1"/>
        <v>132427.66</v>
      </c>
      <c r="BB5" s="29">
        <f t="shared" si="1"/>
        <v>132427.66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120388.78</v>
      </c>
      <c r="F6" s="27" t="s">
        <v>1</v>
      </c>
      <c r="G6" s="27" t="s">
        <v>2</v>
      </c>
      <c r="H6" s="33">
        <f>SUMIF(I$12:AB$12,"总值",I6:AB6)</f>
        <v>120388.78</v>
      </c>
      <c r="I6" s="27">
        <f t="shared" ref="I6:AB6" si="2">ROUND($A$3*I5/$B$3,2)</f>
        <v>120388.78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120388.78</v>
      </c>
      <c r="AZ6" s="27" t="s">
        <v>3</v>
      </c>
      <c r="BA6" s="27">
        <f>ROUND($AY$6*BA5/$AZ$5,2)</f>
        <v>120388.78</v>
      </c>
      <c r="BB6" s="27">
        <f>ROUND($AY$6*BB5/$AZ$5,2)</f>
        <v>120388.78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2985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923</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t="s">
        <v>2986</v>
      </c>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1678</v>
      </c>
      <c r="E13" s="27">
        <f t="shared" ref="E13:E20" si="6">IF($C$3="是",ROUND($A$3*G13/$B$3,2),ROUND($A$3*(G13-AT13)/$B$3,2))</f>
        <v>120388.78</v>
      </c>
      <c r="F13" s="81"/>
      <c r="G13" s="82">
        <f t="shared" ref="G13:G20" si="7">H13+AC13+AT13</f>
        <v>132427.66</v>
      </c>
      <c r="H13" s="33">
        <f t="shared" ref="H13:H20" si="8">SUMIF(I$12:AB$12,"总值",I13:AB13)</f>
        <v>132427.66</v>
      </c>
      <c r="I13" s="3182">
        <f>ROUND(A3*1.1,2)</f>
        <v>132427.66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120388.78</v>
      </c>
      <c r="AZ13" s="27">
        <f t="shared" ref="AZ13:AZ20" si="12">BA13+BL13</f>
        <v>132427.66</v>
      </c>
      <c r="BA13" s="27">
        <f t="shared" ref="BA13:BA20" si="13">SUM(BB13:BK13)</f>
        <v>132427.66</v>
      </c>
      <c r="BB13" s="27">
        <f t="shared" ref="BB13:BB20" si="14">IF($D13="是",I13-J13,0)</f>
        <v>132427.66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2" t="s">
        <v>203</v>
      </c>
      <c r="B2" s="3282"/>
      <c r="C2" s="3282"/>
      <c r="D2" s="1959" t="s">
        <v>204</v>
      </c>
      <c r="E2" s="106" t="s">
        <v>205</v>
      </c>
      <c r="F2" s="1968"/>
      <c r="G2" s="1193"/>
      <c r="H2" s="1194"/>
      <c r="I2" s="1195" t="s">
        <v>857</v>
      </c>
      <c r="J2" s="1968"/>
      <c r="K2" s="1968"/>
      <c r="L2" s="1968"/>
    </row>
    <row r="3" spans="1:16" ht="15.75" thickBot="1">
      <c r="A3" s="3283" t="s">
        <v>206</v>
      </c>
      <c r="B3" s="3283"/>
      <c r="C3" s="3283"/>
      <c r="D3" s="107">
        <f>'数据-基础表'!AY6</f>
        <v>120388.78</v>
      </c>
      <c r="E3" s="107">
        <f>'数据-基础表'!AZ5</f>
        <v>132427.66</v>
      </c>
      <c r="F3" s="1968"/>
      <c r="G3" s="280" t="s">
        <v>858</v>
      </c>
      <c r="H3" s="275" t="s">
        <v>859</v>
      </c>
      <c r="I3" s="1960">
        <f>ROUND('数据-基础表'!B3/'数据-基础表'!A3,2)</f>
        <v>1.1000000000000001</v>
      </c>
      <c r="J3" s="1968"/>
      <c r="K3" s="1968"/>
      <c r="L3" s="1968"/>
    </row>
    <row r="4" spans="1:16" ht="15">
      <c r="A4" s="3284"/>
      <c r="B4" s="3285"/>
      <c r="C4" s="3286"/>
      <c r="D4" s="108" t="s">
        <v>204</v>
      </c>
      <c r="E4" s="109" t="s">
        <v>205</v>
      </c>
      <c r="F4" s="1968"/>
      <c r="G4" s="1196"/>
      <c r="H4" s="275" t="s">
        <v>860</v>
      </c>
      <c r="I4" s="1960">
        <f>ROUND(SUMIF('数据-基础表'!I9:AS9,"地上",'数据-基础表'!I5:AS5)/'数据-基础表'!A3,2)</f>
        <v>1.1000000000000001</v>
      </c>
      <c r="J4" s="1968"/>
      <c r="K4" s="1968"/>
      <c r="L4" s="1968"/>
    </row>
    <row r="5" spans="1:16">
      <c r="A5" s="110" t="s">
        <v>207</v>
      </c>
      <c r="B5" s="3287" t="s">
        <v>230</v>
      </c>
      <c r="C5" s="3287"/>
      <c r="D5" s="111">
        <f>ROUND($D$3*E5/$E$3,2)</f>
        <v>120388.78</v>
      </c>
      <c r="E5" s="112">
        <f>SUMIF('数据-基础表'!$11:$11,"住宅",'数据-基础表'!$5:$5)</f>
        <v>132427.66</v>
      </c>
      <c r="F5" s="1968"/>
      <c r="G5" s="280" t="s">
        <v>861</v>
      </c>
      <c r="H5" s="275" t="s">
        <v>859</v>
      </c>
      <c r="I5" s="1960">
        <f>ROUND(E31/D31,2)</f>
        <v>1.1000000000000001</v>
      </c>
      <c r="J5" s="1968"/>
      <c r="K5" s="1968"/>
      <c r="L5" s="1968"/>
    </row>
    <row r="6" spans="1:16" ht="15" thickBot="1">
      <c r="A6" s="113"/>
      <c r="B6" s="3287" t="s">
        <v>208</v>
      </c>
      <c r="C6" s="3287"/>
      <c r="D6" s="111">
        <f>ROUND($D$3*E6/$E$3,2)</f>
        <v>0</v>
      </c>
      <c r="E6" s="112">
        <f>E3-E5</f>
        <v>0</v>
      </c>
      <c r="F6" s="1968"/>
      <c r="G6" s="1196"/>
      <c r="H6" s="275" t="s">
        <v>860</v>
      </c>
      <c r="I6" s="1960">
        <f>ROUND(F31/D31,2)</f>
        <v>1.1000000000000001</v>
      </c>
      <c r="J6" s="1968"/>
      <c r="K6" s="1968"/>
      <c r="L6" s="1968"/>
    </row>
    <row r="7" spans="1:16" ht="15">
      <c r="A7" s="3279"/>
      <c r="B7" s="3280"/>
      <c r="C7" s="3281"/>
      <c r="D7" s="108" t="s">
        <v>204</v>
      </c>
      <c r="E7" s="114" t="s">
        <v>231</v>
      </c>
      <c r="F7" s="1968"/>
      <c r="G7" s="1151" t="s">
        <v>1645</v>
      </c>
      <c r="H7" s="1152"/>
      <c r="I7" s="1830"/>
      <c r="J7" s="1968"/>
      <c r="K7" s="1968"/>
      <c r="L7" s="1968"/>
    </row>
    <row r="8" spans="1:16">
      <c r="A8" s="110" t="s">
        <v>209</v>
      </c>
      <c r="B8" s="115" t="s">
        <v>210</v>
      </c>
      <c r="C8" s="111" t="s">
        <v>211</v>
      </c>
      <c r="D8" s="111">
        <f t="shared" ref="D8:D15" si="0">ROUND($D$3*E8/$E$3,2)</f>
        <v>120388.78</v>
      </c>
      <c r="E8" s="116">
        <f>SUMIF('数据-基础表'!BB10:BK10,"地上",'数据-基础表'!BB5:BK5)</f>
        <v>132427.66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120388.78</v>
      </c>
      <c r="E16" s="120">
        <f>SUM(E8:E15)</f>
        <v>132427.66</v>
      </c>
      <c r="F16" s="1968"/>
      <c r="G16" s="1970"/>
      <c r="H16" s="967" t="s">
        <v>219</v>
      </c>
      <c r="I16" s="968"/>
      <c r="J16" s="1968"/>
      <c r="K16" s="3273" t="s">
        <v>2565</v>
      </c>
      <c r="L16" s="3274"/>
      <c r="M16" s="3274"/>
      <c r="N16" s="3274"/>
      <c r="O16" s="3274"/>
      <c r="P16" s="3275"/>
    </row>
    <row r="17" spans="1:19" ht="15">
      <c r="A17" s="121" t="s">
        <v>216</v>
      </c>
      <c r="B17" s="122" t="s">
        <v>217</v>
      </c>
      <c r="C17" s="2282" t="s">
        <v>2312</v>
      </c>
      <c r="D17" s="108" t="s">
        <v>204</v>
      </c>
      <c r="E17" s="124" t="s">
        <v>205</v>
      </c>
      <c r="F17" s="125"/>
      <c r="G17" s="1361"/>
      <c r="H17" s="969" t="s">
        <v>218</v>
      </c>
      <c r="I17" s="970" t="s">
        <v>2311</v>
      </c>
      <c r="J17" s="1968"/>
      <c r="K17" s="3276" t="s">
        <v>2566</v>
      </c>
      <c r="L17" s="3277"/>
      <c r="M17" s="3278"/>
      <c r="N17" s="3276" t="s">
        <v>2567</v>
      </c>
      <c r="O17" s="3277"/>
      <c r="P17" s="3278"/>
      <c r="R17" s="2283" t="s">
        <v>2310</v>
      </c>
      <c r="S17" s="144"/>
    </row>
    <row r="18" spans="1:19" ht="15">
      <c r="A18" s="117"/>
      <c r="B18" s="128"/>
      <c r="C18" s="129"/>
      <c r="D18" s="2604"/>
      <c r="E18" s="130" t="s">
        <v>220</v>
      </c>
      <c r="F18" s="131" t="s">
        <v>221</v>
      </c>
      <c r="G18" s="1362" t="s">
        <v>222</v>
      </c>
      <c r="H18" s="971" t="s">
        <v>223</v>
      </c>
      <c r="I18" s="972" t="s">
        <v>224</v>
      </c>
      <c r="J18" s="1968"/>
      <c r="K18" s="2567" t="s">
        <v>2568</v>
      </c>
      <c r="L18" s="2568" t="s">
        <v>2569</v>
      </c>
      <c r="M18" s="2569" t="s">
        <v>2570</v>
      </c>
      <c r="N18" s="2567" t="s">
        <v>2568</v>
      </c>
      <c r="O18" s="2568" t="s">
        <v>2569</v>
      </c>
      <c r="P18" s="2569" t="s">
        <v>2570</v>
      </c>
      <c r="R18" s="2284" t="s">
        <v>2308</v>
      </c>
      <c r="S18" s="2284" t="s">
        <v>2309</v>
      </c>
    </row>
    <row r="19" spans="1:19">
      <c r="A19" s="133"/>
      <c r="B19" s="115" t="s">
        <v>225</v>
      </c>
      <c r="C19" s="2975" t="s">
        <v>2987</v>
      </c>
      <c r="D19" s="111">
        <f t="shared" ref="D19:D26" si="1">ROUND($D$3*E19/$E$3,2)</f>
        <v>120388.78</v>
      </c>
      <c r="E19" s="134">
        <f t="shared" ref="E19:E26" si="2">SUM(F19:G19)</f>
        <v>132427.66</v>
      </c>
      <c r="F19" s="135">
        <f>'数据-基础表'!I13</f>
        <v>132427.66</v>
      </c>
      <c r="G19" s="1363"/>
      <c r="H19" s="973">
        <f>ROUND($D$3*I19/$E$3,2)</f>
        <v>0</v>
      </c>
      <c r="I19" s="116">
        <f>IF($I$17="自定义",P19,M19)</f>
        <v>0</v>
      </c>
      <c r="J19" s="1968"/>
      <c r="K19" s="2570">
        <f t="shared" ref="K19:K26" si="3">ROUND(E$28*E19/E$27,2)</f>
        <v>0</v>
      </c>
      <c r="L19" s="275">
        <f t="shared" ref="L19:L26" si="4">ROUND(IF(COUNTIF(C19,"*住宅*")&gt;0,E$29*E19/E$32,0),2)</f>
        <v>0</v>
      </c>
      <c r="M19" s="2571">
        <f>K19+L19</f>
        <v>0</v>
      </c>
      <c r="N19" s="2572"/>
      <c r="O19" s="2573"/>
      <c r="P19" s="2574">
        <f>N19+O19</f>
        <v>0</v>
      </c>
      <c r="R19" s="275">
        <f t="shared" ref="R19:S26" si="5">D19+H19</f>
        <v>120388.78</v>
      </c>
      <c r="S19" s="2285">
        <f t="shared" si="5"/>
        <v>132427.66</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0">
        <f t="shared" si="3"/>
        <v>0</v>
      </c>
      <c r="L20" s="275">
        <f t="shared" si="4"/>
        <v>0</v>
      </c>
      <c r="M20" s="2571">
        <f t="shared" ref="M20:M26" si="8">K20+L20</f>
        <v>0</v>
      </c>
      <c r="N20" s="2572"/>
      <c r="O20" s="2573"/>
      <c r="P20" s="2574">
        <f t="shared" ref="P20:P26" si="9">N20+O20</f>
        <v>0</v>
      </c>
      <c r="R20" s="275">
        <f t="shared" si="5"/>
        <v>0</v>
      </c>
      <c r="S20" s="2285">
        <f t="shared" si="5"/>
        <v>0</v>
      </c>
    </row>
    <row r="21" spans="1:19">
      <c r="A21" s="138"/>
      <c r="B21" s="115" t="s">
        <v>226</v>
      </c>
      <c r="C21" s="2975"/>
      <c r="D21" s="111">
        <f t="shared" si="1"/>
        <v>0</v>
      </c>
      <c r="E21" s="134">
        <f t="shared" si="2"/>
        <v>0</v>
      </c>
      <c r="F21" s="135"/>
      <c r="G21" s="1363"/>
      <c r="H21" s="973">
        <f t="shared" si="6"/>
        <v>0</v>
      </c>
      <c r="I21" s="116">
        <f t="shared" si="7"/>
        <v>0</v>
      </c>
      <c r="J21" s="1968"/>
      <c r="K21" s="2570">
        <f t="shared" si="3"/>
        <v>0</v>
      </c>
      <c r="L21" s="275">
        <f t="shared" si="4"/>
        <v>0</v>
      </c>
      <c r="M21" s="2571">
        <f t="shared" si="8"/>
        <v>0</v>
      </c>
      <c r="N21" s="2572"/>
      <c r="O21" s="2573"/>
      <c r="P21" s="2574">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0">
        <f t="shared" si="3"/>
        <v>0</v>
      </c>
      <c r="L22" s="275">
        <f t="shared" si="4"/>
        <v>0</v>
      </c>
      <c r="M22" s="2571">
        <f t="shared" si="8"/>
        <v>0</v>
      </c>
      <c r="N22" s="2572"/>
      <c r="O22" s="2573"/>
      <c r="P22" s="2574">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0">
        <f t="shared" si="3"/>
        <v>0</v>
      </c>
      <c r="L23" s="275">
        <f t="shared" si="4"/>
        <v>0</v>
      </c>
      <c r="M23" s="2571">
        <f t="shared" si="8"/>
        <v>0</v>
      </c>
      <c r="N23" s="2572"/>
      <c r="O23" s="2573"/>
      <c r="P23" s="2574">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0">
        <f t="shared" si="3"/>
        <v>0</v>
      </c>
      <c r="L24" s="275">
        <f t="shared" si="4"/>
        <v>0</v>
      </c>
      <c r="M24" s="2571">
        <f t="shared" si="8"/>
        <v>0</v>
      </c>
      <c r="N24" s="2572"/>
      <c r="O24" s="2573"/>
      <c r="P24" s="2574">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0">
        <f t="shared" si="3"/>
        <v>0</v>
      </c>
      <c r="L25" s="275">
        <f t="shared" si="4"/>
        <v>0</v>
      </c>
      <c r="M25" s="2571">
        <f t="shared" si="8"/>
        <v>0</v>
      </c>
      <c r="N25" s="2572"/>
      <c r="O25" s="2573"/>
      <c r="P25" s="2574">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5">
        <f t="shared" si="3"/>
        <v>0</v>
      </c>
      <c r="L26" s="280">
        <f t="shared" si="4"/>
        <v>0</v>
      </c>
      <c r="M26" s="146">
        <f t="shared" si="8"/>
        <v>0</v>
      </c>
      <c r="N26" s="2576"/>
      <c r="O26" s="2577"/>
      <c r="P26" s="2578">
        <f t="shared" si="9"/>
        <v>0</v>
      </c>
      <c r="R26" s="275">
        <f t="shared" si="5"/>
        <v>0</v>
      </c>
      <c r="S26" s="2285">
        <f t="shared" si="5"/>
        <v>0</v>
      </c>
    </row>
    <row r="27" spans="1:19" ht="15.75" thickBot="1">
      <c r="A27" s="138"/>
      <c r="B27" s="111"/>
      <c r="C27" s="127" t="s">
        <v>215</v>
      </c>
      <c r="D27" s="134">
        <f>SUM(D19:D26)</f>
        <v>120388.78</v>
      </c>
      <c r="E27" s="143">
        <f>IF(SUM(E19:E26)='数据-基础表'!BA5,SUM(E19:E26),IF(F27="地上面积有误","面积有误","地下面积有误"))</f>
        <v>132427.66</v>
      </c>
      <c r="F27" s="134">
        <f>IF(SUM(F19:F26)=E8,SUM(F19:F26),"地上面积有误")</f>
        <v>132427.66</v>
      </c>
      <c r="G27" s="112">
        <f>SUM(G19:G26)</f>
        <v>0</v>
      </c>
      <c r="H27" s="974">
        <f>SUM(H19:H26)</f>
        <v>0</v>
      </c>
      <c r="I27" s="975">
        <f>SUM(I19:I26)</f>
        <v>0</v>
      </c>
      <c r="J27" s="1968"/>
      <c r="K27" s="2579">
        <f>SUM(K19:K26)</f>
        <v>0</v>
      </c>
      <c r="L27" s="2580">
        <f>SUM(L19:L26)</f>
        <v>0</v>
      </c>
      <c r="M27" s="2581">
        <f>SUM(M19:M26)</f>
        <v>0</v>
      </c>
      <c r="N27" s="2579">
        <f t="shared" ref="N27:O27" si="10">SUM(N19:N26)</f>
        <v>0</v>
      </c>
      <c r="O27" s="2580">
        <f t="shared" si="10"/>
        <v>0</v>
      </c>
      <c r="P27" s="2582">
        <f>SUM(P19:P26)</f>
        <v>0</v>
      </c>
      <c r="R27" s="2289">
        <f>IF(SUM(R19:R26)=$D$3,SUM(R19:R26),SUM(R19:R26)&amp;"误差"&amp;ROUND(SUM(R19:R26)-$D$3,2))</f>
        <v>120388.78</v>
      </c>
      <c r="S27" s="275">
        <f>IF(SUM(S19:S26)=$E$3,SUM(S19:S26),SUM(S19:S26)&amp;"误差"&amp;ROUND(SUM(S19:S26)-E3,2))</f>
        <v>132427.66</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120388.78</v>
      </c>
      <c r="E31" s="1367">
        <f>E27+E30</f>
        <v>132427.66</v>
      </c>
      <c r="F31" s="1368">
        <f>F27+F30</f>
        <v>132427.66</v>
      </c>
      <c r="G31" s="1369">
        <f>G27+G30</f>
        <v>0</v>
      </c>
      <c r="H31" s="1968"/>
      <c r="I31" s="1968"/>
      <c r="J31" s="1968"/>
      <c r="K31" s="1968"/>
      <c r="L31" s="1968"/>
    </row>
    <row r="32" spans="1:19">
      <c r="A32" s="1968"/>
      <c r="B32" s="2326" t="s">
        <v>2320</v>
      </c>
      <c r="C32" s="2609"/>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8" sqref="J2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43581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583" t="s">
        <v>2571</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别墅</v>
      </c>
      <c r="B6" s="2321" t="str">
        <f>IF(A6=0,"","经营性")</f>
        <v>经营性</v>
      </c>
      <c r="C6" s="173" t="s">
        <v>923</v>
      </c>
      <c r="D6" s="2292">
        <f>SUMIF(项目基本情况!D$15:I$15,C6,项目基本情况!D$18:I$18)</f>
        <v>70</v>
      </c>
      <c r="E6" s="2293">
        <f>IF(B6="","",SUMIF(项目基本情况!D$15:I$15,C6,项目基本情况!D$17:I$17))</f>
        <v>61289</v>
      </c>
      <c r="F6" s="174">
        <f>SUMIF(项目基本情况!D$15:I$15,C6,项目基本情况!D$19:I$19)</f>
        <v>48.51</v>
      </c>
      <c r="G6" s="175">
        <f>IF(ISERROR(ROUND(POWER(1+H6,D6-F6)*(POWER(1+H6,F6)-1)/(POWER(1+H6,D6)-1),3)),0,ROUND(POWER(1+H6,D6-F6)*(POWER(1+H6,F6)-1)/(POWER(1+H6,D6)-1),3))</f>
        <v>0.93700000000000006</v>
      </c>
      <c r="H6" s="2976">
        <v>0.05</v>
      </c>
      <c r="I6" s="2976">
        <v>5.5E-2</v>
      </c>
      <c r="J6" s="176">
        <v>8.5000000000000006E-2</v>
      </c>
      <c r="K6" s="179">
        <f>SUMIF('数据-汇总表'!C$19:C$33,'数据-取费表'!A6,'数据-汇总表'!E$19:E$33)</f>
        <v>132427.66</v>
      </c>
      <c r="L6" s="2977">
        <v>3500</v>
      </c>
      <c r="M6" s="177">
        <f t="shared" ref="M6:M14" si="0">ROUND(K6*L6/10000,0)</f>
        <v>46350</v>
      </c>
      <c r="N6" s="2978">
        <v>0</v>
      </c>
      <c r="O6" s="177">
        <f>IF($N$5="成新度","——",ROUND(M6*N6,0))</f>
        <v>0</v>
      </c>
      <c r="P6" s="178">
        <f>IF($N$5="成新度","——",M6-O6)</f>
        <v>46350</v>
      </c>
      <c r="Q6" s="2979">
        <v>0.2</v>
      </c>
      <c r="R6" s="179">
        <f>SUMIF('数据-汇总表'!C$19:C$33,A6,'数据-汇总表'!R$19:R$33)</f>
        <v>120388.78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0"/>
      <c r="AN6" s="2355"/>
      <c r="AO6" s="1984"/>
      <c r="AP6" s="1199">
        <f>ROUND(1-1/(1+H6)^F6,3)</f>
        <v>0.90600000000000003</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1679</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1679</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0.93700000000000006</v>
      </c>
      <c r="H16" s="203">
        <f>ROUND(SUMPRODUCT(H6:H13,K6:K13)/SUMPRODUCT((H6:H13&gt;0)*(K6:K13)),3)</f>
        <v>0.05</v>
      </c>
      <c r="I16" s="204"/>
      <c r="J16" s="204"/>
      <c r="K16" s="205">
        <f>SUM(K6:K15)</f>
        <v>132427.66</v>
      </c>
      <c r="L16" s="206">
        <f>ROUND(M16*10000/SUM(K6:K14),0)</f>
        <v>3500</v>
      </c>
      <c r="M16" s="206">
        <f>SUM(M6:M14)</f>
        <v>46350</v>
      </c>
      <c r="N16" s="207">
        <f>ROUND(SUMPRODUCT(M6:M14,N6:N14)/M16,3)</f>
        <v>0</v>
      </c>
      <c r="O16" s="206">
        <f>SUM(O6:O14)</f>
        <v>0</v>
      </c>
      <c r="P16" s="206">
        <f>SUM(P6:P14)</f>
        <v>46350</v>
      </c>
      <c r="Q16" s="208">
        <f>ROUND(SUMPRODUCT(Q6:Q13,K6:K13)/SUMPRODUCT((Q6:Q13&gt;0)*(K6:K13)),2)</f>
        <v>0.2</v>
      </c>
      <c r="R16" s="2295">
        <f>SUM(R6:R13)</f>
        <v>120388.78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0.90600000000000003</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190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2889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2890</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2892</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1"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2456</v>
      </c>
      <c r="B40" s="2443">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2897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2898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6" t="s">
        <v>2900</v>
      </c>
      <c r="D53" s="3027" t="s">
        <v>2901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2902</v>
      </c>
      <c r="B54" s="186"/>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2903</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2904</v>
      </c>
      <c r="B56" s="186">
        <v>18</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2905</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2906</v>
      </c>
      <c r="B58" s="186">
        <v>3</v>
      </c>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2907</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2908</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2909</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2910</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2911</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5" priority="12" stopIfTrue="1" operator="containsText" text="自行计算">
      <formula>NOT(ISERROR(SEARCH("自行计算",T6)))</formula>
    </cfRule>
    <cfRule type="containsText" dxfId="154" priority="13" stopIfTrue="1" operator="containsText" text="自行计算">
      <formula>NOT(ISERROR(SEARCH("自行计算",T6)))</formula>
    </cfRule>
  </conditionalFormatting>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4" stopIfTrue="1" operator="containsText" text="自行计算">
      <formula>NOT(ISERROR(SEARCH("自行计算",T12)))</formula>
    </cfRule>
    <cfRule type="containsText" dxfId="150" priority="5" stopIfTrue="1" operator="containsText" text="自行计算">
      <formula>NOT(ISERROR(SEARCH("自行计算",T12)))</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onditionalFormatting>
  <conditionalFormatting sqref="T6:T15">
    <cfRule type="expression" dxfId="14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8" t="s">
        <v>1663</v>
      </c>
      <c r="B1" s="3289"/>
      <c r="C1" s="3289"/>
      <c r="D1" s="3289"/>
      <c r="E1" s="3289"/>
      <c r="F1" s="3289"/>
      <c r="G1" s="3289"/>
      <c r="H1" s="1986"/>
      <c r="I1" s="1987"/>
      <c r="J1" s="1988"/>
      <c r="K1" s="1986"/>
      <c r="L1" s="1987"/>
      <c r="M1" s="1988"/>
      <c r="N1" s="1986"/>
      <c r="O1" s="1987"/>
      <c r="P1" s="1988"/>
      <c r="Q1" s="1989"/>
      <c r="R1" s="1990"/>
    </row>
    <row r="2" spans="1:18" ht="14.25" thickBot="1">
      <c r="A2" s="1216"/>
      <c r="B2" s="1217"/>
      <c r="C2" s="1218" t="s">
        <v>1664</v>
      </c>
      <c r="D2" s="1219"/>
      <c r="E2" s="1220"/>
      <c r="F2" s="1221"/>
      <c r="G2" s="1218" t="s">
        <v>1665</v>
      </c>
      <c r="H2" s="1992"/>
      <c r="I2" s="1992"/>
      <c r="J2" s="1992"/>
      <c r="K2" s="1992"/>
      <c r="L2" s="1992"/>
      <c r="M2" s="1992"/>
      <c r="N2" s="1992"/>
      <c r="O2" s="1992"/>
      <c r="P2" s="1992"/>
      <c r="Q2" s="1992"/>
      <c r="R2" s="1992"/>
    </row>
    <row r="3" spans="1:18" ht="67.5">
      <c r="A3" s="1222" t="s">
        <v>1666</v>
      </c>
      <c r="B3" s="1223" t="s">
        <v>1653</v>
      </c>
      <c r="C3" s="3191" t="s">
        <v>3123</v>
      </c>
      <c r="D3" s="1993"/>
      <c r="E3" s="1224" t="s">
        <v>1666</v>
      </c>
      <c r="F3" s="1225" t="s">
        <v>1654</v>
      </c>
      <c r="G3" s="3034"/>
      <c r="H3" s="1992"/>
      <c r="I3" s="1992"/>
      <c r="J3" s="1992"/>
      <c r="K3" s="1992"/>
      <c r="L3" s="1992"/>
      <c r="M3" s="1992"/>
      <c r="N3" s="1992"/>
      <c r="O3" s="1992"/>
      <c r="P3" s="1992"/>
      <c r="Q3" s="1992"/>
      <c r="R3" s="1992"/>
    </row>
    <row r="4" spans="1:18" ht="41.25" hidden="1">
      <c r="A4" s="1224"/>
      <c r="B4" s="1226" t="s">
        <v>1667</v>
      </c>
      <c r="C4" s="3031" t="s">
        <v>2913</v>
      </c>
      <c r="D4" s="1993"/>
      <c r="E4" s="1227"/>
      <c r="F4" s="1228" t="s">
        <v>1668</v>
      </c>
      <c r="G4" s="3032"/>
      <c r="H4" s="1992"/>
      <c r="I4" s="1992"/>
      <c r="J4" s="1992"/>
      <c r="K4" s="1992"/>
      <c r="L4" s="1992"/>
      <c r="M4" s="1992"/>
      <c r="N4" s="1992"/>
      <c r="O4" s="1992"/>
      <c r="P4" s="1992"/>
      <c r="Q4" s="1992"/>
      <c r="R4" s="1992"/>
    </row>
    <row r="5" spans="1:18" ht="41.25" hidden="1">
      <c r="A5" s="1224"/>
      <c r="B5" s="1226" t="s">
        <v>1669</v>
      </c>
      <c r="C5" s="3031" t="s">
        <v>2914</v>
      </c>
      <c r="D5" s="1993"/>
      <c r="E5" s="1227"/>
      <c r="F5" s="1226" t="s">
        <v>2545</v>
      </c>
      <c r="G5" s="3032"/>
      <c r="H5" s="1992"/>
      <c r="I5" s="1992"/>
      <c r="J5" s="1992"/>
      <c r="K5" s="1992"/>
      <c r="L5" s="1992"/>
      <c r="M5" s="1992"/>
      <c r="N5" s="1992"/>
      <c r="O5" s="1992"/>
      <c r="P5" s="1992"/>
      <c r="Q5" s="1992"/>
      <c r="R5" s="1992"/>
    </row>
    <row r="6" spans="1:18" ht="54">
      <c r="A6" s="1224"/>
      <c r="B6" s="1226" t="s">
        <v>1655</v>
      </c>
      <c r="C6" s="3032" t="s">
        <v>2912</v>
      </c>
      <c r="D6" s="1993"/>
      <c r="E6" s="1227"/>
      <c r="F6" s="1226" t="s">
        <v>2546</v>
      </c>
      <c r="G6" s="3032"/>
      <c r="H6" s="1992"/>
      <c r="I6" s="1992"/>
      <c r="J6" s="1992"/>
      <c r="K6" s="1992"/>
      <c r="L6" s="1992"/>
      <c r="M6" s="1992"/>
      <c r="N6" s="1992"/>
      <c r="O6" s="1992"/>
      <c r="P6" s="1992"/>
      <c r="Q6" s="1992"/>
      <c r="R6" s="1992"/>
    </row>
    <row r="7" spans="1:18" ht="27.75" thickBot="1">
      <c r="A7" s="1224"/>
      <c r="B7" s="1226" t="s">
        <v>2545</v>
      </c>
      <c r="C7" s="3192" t="s">
        <v>3119</v>
      </c>
      <c r="D7" s="1994"/>
      <c r="E7" s="1229"/>
      <c r="F7" s="1230" t="s">
        <v>1670</v>
      </c>
      <c r="G7" s="3035"/>
      <c r="H7" s="1992"/>
      <c r="I7" s="1992"/>
      <c r="J7" s="1992"/>
      <c r="K7" s="1992"/>
      <c r="L7" s="1992"/>
      <c r="M7" s="1992"/>
      <c r="N7" s="1992"/>
      <c r="O7" s="1992"/>
      <c r="P7" s="1992"/>
      <c r="Q7" s="1992"/>
      <c r="R7" s="1992"/>
    </row>
    <row r="8" spans="1:18" ht="27">
      <c r="A8" s="1224"/>
      <c r="B8" s="1226" t="s">
        <v>2546</v>
      </c>
      <c r="C8" s="3192" t="s">
        <v>3121</v>
      </c>
      <c r="D8" s="1994"/>
      <c r="E8" s="1994"/>
      <c r="F8" s="1539"/>
      <c r="G8" s="1539"/>
      <c r="H8" s="1992"/>
      <c r="I8" s="1992"/>
      <c r="J8" s="1992"/>
      <c r="K8" s="1992"/>
      <c r="L8" s="1992"/>
      <c r="M8" s="1992"/>
      <c r="N8" s="1992"/>
      <c r="O8" s="1992"/>
      <c r="P8" s="1992"/>
      <c r="Q8" s="1992"/>
      <c r="R8" s="1992"/>
    </row>
    <row r="9" spans="1:18" ht="40.5">
      <c r="A9" s="1224"/>
      <c r="B9" s="1226" t="s">
        <v>1656</v>
      </c>
      <c r="C9" s="3193" t="s">
        <v>3168</v>
      </c>
      <c r="D9" s="1993"/>
      <c r="E9" s="1994"/>
      <c r="F9" s="1539"/>
      <c r="G9" s="1539"/>
      <c r="H9" s="1992"/>
      <c r="I9" s="1992"/>
      <c r="J9" s="1992"/>
      <c r="K9" s="1992"/>
      <c r="L9" s="1992"/>
      <c r="M9" s="1992"/>
      <c r="N9" s="1992"/>
      <c r="O9" s="1992"/>
      <c r="P9" s="1992"/>
      <c r="Q9" s="1992"/>
      <c r="R9" s="1992"/>
    </row>
    <row r="10" spans="1:18" s="2000" customFormat="1" ht="15" thickBot="1">
      <c r="A10" s="1231"/>
      <c r="B10" s="1232" t="s">
        <v>1671</v>
      </c>
      <c r="C10" s="3033" t="s">
        <v>3165</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0"/>
      <c r="E12" s="1993"/>
      <c r="F12" s="1994"/>
      <c r="G12" s="1996"/>
      <c r="H12" s="2001"/>
      <c r="I12" s="2002"/>
      <c r="J12" s="2001"/>
      <c r="K12" s="2001"/>
      <c r="L12" s="2003"/>
      <c r="M12" s="2001"/>
      <c r="N12" s="2004"/>
      <c r="O12" s="2005"/>
      <c r="P12" s="2006"/>
      <c r="Q12" s="2004"/>
      <c r="R12" s="1990"/>
    </row>
    <row r="13" spans="1:18" ht="19.5" thickBot="1">
      <c r="A13" s="2539" t="s">
        <v>1672</v>
      </c>
      <c r="B13" s="2540"/>
      <c r="C13" s="2540"/>
      <c r="D13" s="1219"/>
      <c r="E13" s="2540"/>
      <c r="F13" s="2540"/>
      <c r="G13" s="2540"/>
    </row>
    <row r="14" spans="1:18" ht="14.25" thickBot="1">
      <c r="A14" s="1233"/>
      <c r="B14" s="1234"/>
      <c r="C14" s="1235" t="s">
        <v>1664</v>
      </c>
      <c r="D14" s="1993"/>
      <c r="E14" s="1236"/>
      <c r="F14" s="1236"/>
      <c r="G14" s="1218" t="s">
        <v>1665</v>
      </c>
    </row>
    <row r="15" spans="1:18" ht="67.5">
      <c r="A15" s="2550" t="s">
        <v>1657</v>
      </c>
      <c r="B15" s="1237" t="s">
        <v>1653</v>
      </c>
      <c r="C15" s="1238" t="str">
        <f>C3</f>
        <v>估价对象周边居住用地比例较大、居住小区规模和社区发展完善程度较好，综合评价居住社区成熟度较好</v>
      </c>
      <c r="D15" s="1993"/>
      <c r="E15" s="2547" t="s">
        <v>1658</v>
      </c>
      <c r="F15" s="1237" t="s">
        <v>1673</v>
      </c>
      <c r="G15" s="1239">
        <f>G3</f>
        <v>0</v>
      </c>
    </row>
    <row r="16" spans="1:18" ht="40.5">
      <c r="A16" s="2551"/>
      <c r="B16" s="1240" t="s">
        <v>1667</v>
      </c>
      <c r="C16" s="1241" t="str">
        <f>C4</f>
        <v>估价对象位于XX商圈，周边商业氛围成熟，人流量大，商业繁华度好</v>
      </c>
      <c r="D16" s="1993"/>
      <c r="E16" s="2548"/>
      <c r="F16" s="1242" t="s">
        <v>1668</v>
      </c>
      <c r="G16" s="1004">
        <f>G4</f>
        <v>0</v>
      </c>
    </row>
    <row r="17" spans="1:7" ht="40.5">
      <c r="A17" s="2551"/>
      <c r="B17" s="1240" t="s">
        <v>1669</v>
      </c>
      <c r="C17" s="1241" t="str">
        <f>C5</f>
        <v>估价对象位于XX商圈，周边办公楼项目较多，入驻率高，办公集聚程度较好</v>
      </c>
      <c r="D17" s="1994"/>
      <c r="E17" s="2548"/>
      <c r="F17" s="1242" t="s">
        <v>1674</v>
      </c>
      <c r="G17" s="2748"/>
    </row>
    <row r="18" spans="1:7" ht="54">
      <c r="A18" s="2551"/>
      <c r="B18" s="1242" t="s">
        <v>1655</v>
      </c>
      <c r="C18" s="1004" t="str">
        <f>C6</f>
        <v>估价对象周边道路状况、公共交通通达情况、停车便捷程度，综合评价交通便捷度较好</v>
      </c>
      <c r="D18" s="1994"/>
      <c r="E18" s="2548"/>
      <c r="F18" s="1242" t="s">
        <v>1670</v>
      </c>
      <c r="G18" s="1004">
        <f>G7</f>
        <v>0</v>
      </c>
    </row>
    <row r="19" spans="1:7">
      <c r="A19" s="2551"/>
      <c r="B19" s="1242" t="s">
        <v>1659</v>
      </c>
      <c r="C19" s="3196" t="s">
        <v>3167</v>
      </c>
      <c r="D19" s="1993"/>
      <c r="E19" s="2548"/>
      <c r="F19" s="1226" t="s">
        <v>2545</v>
      </c>
      <c r="G19" s="1004">
        <f>G5</f>
        <v>0</v>
      </c>
    </row>
    <row r="20" spans="1:7" ht="40.5">
      <c r="A20" s="2551"/>
      <c r="B20" s="1242" t="s">
        <v>1660</v>
      </c>
      <c r="C20" s="1241" t="str">
        <f>C9</f>
        <v>区域自然环境较好；人文环境一般；综合评价环境状况较好</v>
      </c>
      <c r="D20" s="1994"/>
      <c r="E20" s="2548"/>
      <c r="F20" s="1226" t="s">
        <v>2546</v>
      </c>
      <c r="G20" s="1004">
        <f>G6</f>
        <v>0</v>
      </c>
    </row>
    <row r="21" spans="1:7" ht="27">
      <c r="A21" s="2551"/>
      <c r="B21" s="1226" t="s">
        <v>2545</v>
      </c>
      <c r="C21" s="1004" t="str">
        <f>C7</f>
        <v>估价对象所在区域公共配套设施较齐备</v>
      </c>
      <c r="D21" s="1993"/>
      <c r="E21" s="2548"/>
      <c r="F21" s="1242" t="s">
        <v>1661</v>
      </c>
      <c r="G21" s="3036"/>
    </row>
    <row r="22" spans="1:7" ht="27">
      <c r="A22" s="2551"/>
      <c r="B22" s="1226" t="s">
        <v>2546</v>
      </c>
      <c r="C22" s="1004" t="str">
        <f>C8</f>
        <v>估价对象所在区域基础设施水平较高</v>
      </c>
      <c r="D22" s="1993"/>
      <c r="E22" s="2548"/>
      <c r="F22" s="1242" t="s">
        <v>1671</v>
      </c>
      <c r="G22" s="2748"/>
    </row>
    <row r="23" spans="1:7" ht="15" thickBot="1">
      <c r="A23" s="2551"/>
      <c r="B23" s="1242" t="s">
        <v>1661</v>
      </c>
      <c r="C23" s="3036" t="s">
        <v>3166</v>
      </c>
      <c r="E23" s="2549"/>
      <c r="F23" s="1243" t="s">
        <v>1675</v>
      </c>
      <c r="G23" s="3037"/>
    </row>
    <row r="24" spans="1:7" ht="14.25" thickBot="1">
      <c r="A24" s="2552"/>
      <c r="B24" s="1243" t="s">
        <v>1662</v>
      </c>
      <c r="C24" s="1244" t="str">
        <f>C10</f>
        <v>城市次干道-来广营东路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0" sqref="H10"/>
    </sheetView>
  </sheetViews>
  <sheetFormatPr defaultColWidth="14.625" defaultRowHeight="13.5"/>
  <cols>
    <col min="1" max="1" width="24.375" customWidth="1"/>
  </cols>
  <sheetData>
    <row r="1" spans="1:9" ht="16.5">
      <c r="A1" s="2995" t="s">
        <v>2842</v>
      </c>
      <c r="B1" s="2995">
        <f>SUM(B14:B23)</f>
        <v>242307.02000000002</v>
      </c>
      <c r="C1" s="2996"/>
      <c r="D1" s="2996"/>
      <c r="E1" s="2996"/>
      <c r="F1" s="2996"/>
    </row>
    <row r="2" spans="1:9" ht="16.5">
      <c r="A2" s="2995" t="s">
        <v>2843</v>
      </c>
      <c r="B2" s="2995">
        <f>SUM(C14:C23)</f>
        <v>220279.11</v>
      </c>
      <c r="C2" s="2996"/>
      <c r="D2" s="2996"/>
      <c r="E2" s="2996"/>
      <c r="F2" s="2996"/>
    </row>
    <row r="3" spans="1:9" ht="16.5">
      <c r="A3" s="2995" t="s">
        <v>2844</v>
      </c>
      <c r="B3" s="2997">
        <f>项目基本情况!D3</f>
        <v>43581</v>
      </c>
      <c r="C3" s="2996"/>
      <c r="D3" s="2996"/>
      <c r="E3" s="2996"/>
      <c r="F3" s="2996"/>
    </row>
    <row r="4" spans="1:9" ht="33">
      <c r="A4" s="2995" t="s">
        <v>2845</v>
      </c>
      <c r="B4" s="2995" t="s">
        <v>2846</v>
      </c>
      <c r="C4" s="2995" t="s">
        <v>2847</v>
      </c>
      <c r="D4" s="2995" t="s">
        <v>2848</v>
      </c>
      <c r="E4" s="2996"/>
      <c r="F4" s="2996"/>
    </row>
    <row r="5" spans="1:9" ht="16.5">
      <c r="A5" s="2995" t="s">
        <v>2849</v>
      </c>
      <c r="B5" s="2995">
        <f ca="1">SUM(D14:D23)</f>
        <v>1538705</v>
      </c>
      <c r="C5" s="2995">
        <f ca="1">ROUND(B5*10000/$B$1,0)</f>
        <v>63502</v>
      </c>
      <c r="D5" s="2995">
        <f ca="1">ROUND(B5*10000/$B$2,0)</f>
        <v>69853</v>
      </c>
      <c r="E5" s="2996"/>
      <c r="F5" s="2996"/>
    </row>
    <row r="6" spans="1:9" ht="16.5">
      <c r="A6" s="2995" t="s">
        <v>2850</v>
      </c>
      <c r="B6" s="2995">
        <f ca="1">SUM(G14:G23)</f>
        <v>1538705</v>
      </c>
      <c r="C6" s="2995">
        <f t="shared" ref="C6:C8" ca="1" si="0">ROUND(B6*10000/$B$1,0)</f>
        <v>63502</v>
      </c>
      <c r="D6" s="2995">
        <f t="shared" ref="D6:D8" ca="1" si="1">ROUND(B6*10000/$B$2,0)</f>
        <v>69853</v>
      </c>
      <c r="E6" s="2996"/>
      <c r="F6" s="2996"/>
    </row>
    <row r="7" spans="1:9" ht="16.5">
      <c r="A7" s="2995" t="s">
        <v>2851</v>
      </c>
      <c r="B7" s="2995">
        <f>SUM(H14:H23)</f>
        <v>0</v>
      </c>
      <c r="C7" s="2995">
        <f t="shared" si="0"/>
        <v>0</v>
      </c>
      <c r="D7" s="2995">
        <f t="shared" si="1"/>
        <v>0</v>
      </c>
      <c r="E7" s="2996"/>
      <c r="F7" s="2996"/>
    </row>
    <row r="8" spans="1:9" ht="16.5">
      <c r="A8" s="2995" t="s">
        <v>2852</v>
      </c>
      <c r="B8" s="2995">
        <f>SUM(I14:I23)</f>
        <v>0</v>
      </c>
      <c r="C8" s="2995">
        <f t="shared" si="0"/>
        <v>0</v>
      </c>
      <c r="D8" s="2995">
        <f t="shared" si="1"/>
        <v>0</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132427.66</v>
      </c>
      <c r="C14" s="2999">
        <f>结果表!K38</f>
        <v>120388.78</v>
      </c>
      <c r="D14" s="2999">
        <f ca="1">结果表!C42</f>
        <v>844897</v>
      </c>
      <c r="E14" s="2999">
        <f ca="1">ROUND(D14*10000/B14,0)</f>
        <v>63801</v>
      </c>
      <c r="F14" s="2999">
        <f ca="1">ROUND(D14*10000/C14,0)</f>
        <v>70181</v>
      </c>
      <c r="G14" s="2999">
        <f ca="1">结果表!C44</f>
        <v>844897</v>
      </c>
      <c r="H14" s="2999" t="str">
        <f>结果表!C45</f>
        <v>——</v>
      </c>
      <c r="I14" s="2999" t="str">
        <f>结果表!C46</f>
        <v>——</v>
      </c>
    </row>
    <row r="15" spans="1:9" ht="16.5">
      <c r="A15" s="3002" t="s">
        <v>2859</v>
      </c>
      <c r="B15" s="3003">
        <f>'[1]数据-汇总表'!$E$3</f>
        <v>109879.36</v>
      </c>
      <c r="C15" s="3003">
        <f>'[1]数据-汇总表'!$D$3</f>
        <v>99890.33</v>
      </c>
      <c r="D15" s="3003">
        <f ca="1">[1]结果表!$G$19</f>
        <v>693808</v>
      </c>
      <c r="E15" s="2999">
        <f t="shared" ref="E15:E23" ca="1" si="2">ROUND(D15*10000/B15,0)</f>
        <v>63143</v>
      </c>
      <c r="F15" s="2999">
        <f t="shared" ref="F15:F23" ca="1" si="3">ROUND(D15*10000/C15,0)</f>
        <v>69457</v>
      </c>
      <c r="G15" s="3000">
        <f ca="1">D15</f>
        <v>693808</v>
      </c>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4" zoomScaleNormal="100" zoomScaleSheetLayoutView="100" zoomScalePageLayoutView="80" workbookViewId="0">
      <selection activeCell="C115" sqref="C11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35" t="str">
        <f>项目基本情况!K2</f>
        <v>北京市出让国有建设用地使用权</v>
      </c>
      <c r="B2" s="3336"/>
      <c r="C2" s="3337"/>
      <c r="D2" s="3337"/>
      <c r="E2" s="3337"/>
      <c r="F2" s="3337"/>
      <c r="G2" s="3336"/>
      <c r="H2" s="3336"/>
      <c r="I2" s="3338"/>
      <c r="J2" s="2014"/>
      <c r="K2" s="2013"/>
      <c r="L2" s="2013"/>
      <c r="M2" s="2013"/>
      <c r="N2" s="2013"/>
      <c r="O2" s="2013"/>
      <c r="P2" s="2013"/>
      <c r="Q2" s="2013"/>
      <c r="R2" s="2013"/>
      <c r="S2" s="2013"/>
      <c r="T2" s="2013"/>
      <c r="U2" s="2013"/>
      <c r="V2" s="2013"/>
    </row>
    <row r="3" spans="1:22" ht="14.25">
      <c r="A3" s="3346" t="s">
        <v>298</v>
      </c>
      <c r="B3" s="3347"/>
      <c r="C3" s="3347"/>
      <c r="D3" s="3347"/>
      <c r="E3" s="3347"/>
      <c r="F3" s="3347"/>
      <c r="G3" s="3347"/>
      <c r="H3" s="3347"/>
      <c r="I3" s="3347"/>
      <c r="J3" s="2014"/>
      <c r="K3" s="2013"/>
      <c r="L3" s="2013"/>
      <c r="M3" s="2013"/>
      <c r="N3" s="2013"/>
      <c r="O3" s="2013"/>
      <c r="P3" s="2013"/>
      <c r="Q3" s="2013"/>
      <c r="R3" s="2013"/>
      <c r="S3" s="2013"/>
      <c r="T3" s="2013"/>
      <c r="U3" s="2013"/>
      <c r="V3" s="2013"/>
    </row>
    <row r="4" spans="1:22" ht="14.25">
      <c r="A4" s="258" t="s">
        <v>299</v>
      </c>
      <c r="B4" s="259" t="s">
        <v>300</v>
      </c>
      <c r="C4" s="260" t="s">
        <v>2989</v>
      </c>
      <c r="D4" s="260" t="s">
        <v>2990</v>
      </c>
      <c r="E4" s="3310" t="s">
        <v>301</v>
      </c>
      <c r="F4" s="3352"/>
      <c r="G4" s="3352"/>
      <c r="H4" s="3352"/>
      <c r="I4" s="3311"/>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39" t="s">
        <v>302</v>
      </c>
      <c r="B5" s="3340">
        <v>25</v>
      </c>
      <c r="C5" s="3348"/>
      <c r="D5" s="3351"/>
      <c r="E5" s="261" t="s">
        <v>303</v>
      </c>
      <c r="F5" s="262"/>
      <c r="G5" s="262"/>
      <c r="H5" s="262"/>
      <c r="I5" s="263"/>
      <c r="J5" s="2014"/>
      <c r="K5" s="2013"/>
      <c r="L5" s="2013"/>
      <c r="M5" s="2013"/>
      <c r="N5" s="2013"/>
      <c r="O5" s="2013"/>
      <c r="P5" s="2013"/>
      <c r="Q5" s="2013"/>
      <c r="R5" s="2013"/>
      <c r="S5" s="2013"/>
      <c r="T5" s="2013"/>
      <c r="U5" s="2013"/>
      <c r="V5" s="2013"/>
    </row>
    <row r="6" spans="1:22" ht="14.25">
      <c r="A6" s="3339"/>
      <c r="B6" s="3340"/>
      <c r="C6" s="3349"/>
      <c r="D6" s="3351"/>
      <c r="E6" s="261" t="s">
        <v>304</v>
      </c>
      <c r="F6" s="262"/>
      <c r="G6" s="262"/>
      <c r="H6" s="262"/>
      <c r="I6" s="263"/>
      <c r="J6" s="2014"/>
      <c r="K6" s="2013"/>
      <c r="L6" s="2013"/>
      <c r="M6" s="2013"/>
      <c r="N6" s="2013"/>
      <c r="O6" s="2013"/>
      <c r="P6" s="2013"/>
      <c r="Q6" s="2013"/>
      <c r="R6" s="2013"/>
      <c r="S6" s="2013"/>
      <c r="T6" s="2013"/>
      <c r="U6" s="2013"/>
      <c r="V6" s="2013"/>
    </row>
    <row r="7" spans="1:22" ht="14.25">
      <c r="A7" s="3339"/>
      <c r="B7" s="3340"/>
      <c r="C7" s="3350"/>
      <c r="D7" s="3351"/>
      <c r="E7" s="261" t="s">
        <v>305</v>
      </c>
      <c r="F7" s="262"/>
      <c r="G7" s="262"/>
      <c r="H7" s="262"/>
      <c r="I7" s="263"/>
      <c r="J7" s="2014"/>
      <c r="K7" s="2013"/>
      <c r="L7" s="2013"/>
      <c r="M7" s="2013"/>
      <c r="N7" s="2013"/>
      <c r="O7" s="2013"/>
      <c r="P7" s="2013"/>
      <c r="Q7" s="2013"/>
      <c r="R7" s="2013"/>
      <c r="S7" s="2013"/>
      <c r="T7" s="2013"/>
      <c r="U7" s="2013"/>
      <c r="V7" s="2013"/>
    </row>
    <row r="8" spans="1:22" ht="14.25">
      <c r="A8" s="3339" t="s">
        <v>306</v>
      </c>
      <c r="B8" s="3340">
        <v>15</v>
      </c>
      <c r="C8" s="3348"/>
      <c r="D8" s="3351"/>
      <c r="E8" s="261" t="s">
        <v>307</v>
      </c>
      <c r="F8" s="262"/>
      <c r="G8" s="262"/>
      <c r="H8" s="262"/>
      <c r="I8" s="263"/>
      <c r="J8" s="2014"/>
      <c r="K8" s="2013"/>
      <c r="L8" s="2013"/>
      <c r="M8" s="2013"/>
      <c r="N8" s="2013"/>
      <c r="O8" s="2013"/>
      <c r="P8" s="2013"/>
      <c r="Q8" s="2013"/>
      <c r="R8" s="2013"/>
      <c r="S8" s="2013"/>
      <c r="T8" s="2013"/>
      <c r="U8" s="2013"/>
      <c r="V8" s="2013"/>
    </row>
    <row r="9" spans="1:22" ht="14.25">
      <c r="A9" s="3339"/>
      <c r="B9" s="3340"/>
      <c r="C9" s="3350"/>
      <c r="D9" s="3351"/>
      <c r="E9" s="261" t="s">
        <v>308</v>
      </c>
      <c r="F9" s="262"/>
      <c r="G9" s="262"/>
      <c r="H9" s="262"/>
      <c r="I9" s="263"/>
      <c r="J9" s="2014"/>
      <c r="K9" s="2013"/>
      <c r="L9" s="2013"/>
      <c r="M9" s="2013"/>
      <c r="N9" s="2013"/>
      <c r="O9" s="2013"/>
      <c r="P9" s="2013"/>
      <c r="Q9" s="2013"/>
      <c r="R9" s="2013"/>
      <c r="S9" s="2013"/>
      <c r="T9" s="2013"/>
      <c r="U9" s="2013"/>
      <c r="V9" s="2013"/>
    </row>
    <row r="10" spans="1:22" ht="14.25">
      <c r="A10" s="3339" t="s">
        <v>309</v>
      </c>
      <c r="B10" s="3340">
        <v>15</v>
      </c>
      <c r="C10" s="3348"/>
      <c r="D10" s="3351"/>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9"/>
      <c r="B11" s="3340"/>
      <c r="C11" s="3350"/>
      <c r="D11" s="3351"/>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9" t="s">
        <v>312</v>
      </c>
      <c r="B12" s="3340">
        <v>15</v>
      </c>
      <c r="C12" s="3348"/>
      <c r="D12" s="3351"/>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9"/>
      <c r="B13" s="3340"/>
      <c r="C13" s="3350"/>
      <c r="D13" s="3351"/>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9" t="s">
        <v>315</v>
      </c>
      <c r="B14" s="3340">
        <v>30</v>
      </c>
      <c r="C14" s="3348">
        <v>5</v>
      </c>
      <c r="D14" s="3351">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9"/>
      <c r="B15" s="3340"/>
      <c r="C15" s="3349"/>
      <c r="D15" s="3351"/>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9"/>
      <c r="B16" s="3340"/>
      <c r="C16" s="3350"/>
      <c r="D16" s="3351"/>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742972</v>
      </c>
      <c r="D19" s="271">
        <f ca="1">SUMIF(INDIRECT("'"&amp;D4&amp;"'"&amp;"!A:A"),结果表!B19,INDIRECT("'"&amp;D4&amp;"'"&amp;"!B:B"))</f>
        <v>946822</v>
      </c>
      <c r="E19" s="268" t="s">
        <v>323</v>
      </c>
      <c r="F19" s="269" t="s">
        <v>322</v>
      </c>
      <c r="G19" s="272">
        <f ca="1">ROUND(C19*$C$18+D19*$D$18,0)</f>
        <v>844897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56104</v>
      </c>
      <c r="D20" s="277">
        <f ca="1">SUMIF(INDIRECT("'"&amp;D4&amp;"'"&amp;"!A:A"),结果表!B20,INDIRECT("'"&amp;D4&amp;"'"&amp;"!B:B"))</f>
        <v>71497</v>
      </c>
      <c r="E20" s="274"/>
      <c r="F20" s="275" t="s">
        <v>325</v>
      </c>
      <c r="G20" s="278">
        <f ca="1">ROUND(C20*$C$18+D20*$D$18,0)</f>
        <v>63801</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61714</v>
      </c>
      <c r="D21" s="151">
        <f ca="1">SUMIF(INDIRECT("'"&amp;D4&amp;"'"&amp;"!A:A"),结果表!B21,INDIRECT("'"&amp;D4&amp;"'"&amp;"!B:B"))</f>
        <v>78647</v>
      </c>
      <c r="E21" s="274"/>
      <c r="F21" s="280" t="s">
        <v>327</v>
      </c>
      <c r="G21" s="282">
        <f ca="1">ROUND(C21*$C$18+D21*$D$18,0)</f>
        <v>70181</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0.27437103955465347</v>
      </c>
      <c r="E22" s="284"/>
      <c r="F22" s="285"/>
      <c r="G22" s="286">
        <f ca="1">ROUND(G19/('数据-汇总表'!D3/666.67),0)</f>
        <v>4679</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4"/>
      <c r="B25" s="1316" t="s">
        <v>331</v>
      </c>
      <c r="C25" s="290">
        <f>IF(B30=0,0,C30)</f>
        <v>0</v>
      </c>
      <c r="D25" s="291"/>
      <c r="E25" s="311"/>
      <c r="F25" s="311"/>
      <c r="G25" s="311"/>
      <c r="H25" s="311"/>
      <c r="I25" s="311"/>
      <c r="J25" s="2013"/>
      <c r="K25" s="1250" t="str">
        <f ca="1">项目基本情况!B16&amp;"国有建设用地使用权价格："&amp;O38&amp;"万元"</f>
        <v>出让国有建设用地使用权价格：844897万元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大写金额：人民币捌拾肆亿肆仟捌佰玖拾柒万元整</v>
      </c>
      <c r="L26" s="1247"/>
      <c r="M26" s="1247"/>
      <c r="N26" s="1247"/>
      <c r="O26" s="1246"/>
      <c r="P26" s="2013"/>
      <c r="Q26" s="2013"/>
      <c r="R26" s="2013"/>
      <c r="S26" s="2013"/>
      <c r="T26" s="2013"/>
      <c r="U26" s="2013"/>
      <c r="V26" s="2013"/>
      <c r="W26" s="292"/>
      <c r="X26" s="292"/>
      <c r="Y26" s="292"/>
      <c r="Z26" s="292"/>
    </row>
    <row r="27" spans="1:26" ht="18">
      <c r="A27" s="293"/>
      <c r="B27" s="294"/>
      <c r="C27" s="294">
        <f ca="1">('数据-汇总表'!E3-57274.72)*基准地价!C29/10000*1.0305</f>
        <v>177891.40542698998</v>
      </c>
      <c r="D27" s="295"/>
      <c r="E27" s="311"/>
      <c r="F27" s="311"/>
      <c r="G27" s="311"/>
      <c r="H27" s="311"/>
      <c r="I27" s="311"/>
      <c r="J27" s="2013"/>
      <c r="K27" s="1253" t="str">
        <f ca="1">"单位面积地价："&amp;M38&amp;"元/平方米"</f>
        <v>单位面积地价：70181元/平方米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楼面地价：63801元/平方米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抵押价格：844897万元</v>
      </c>
      <c r="L29" s="1247"/>
      <c r="M29" s="1247"/>
      <c r="N29" s="1247"/>
      <c r="O29" s="1246"/>
      <c r="P29" s="2013"/>
      <c r="V29" s="2013"/>
    </row>
    <row r="30" spans="1:26" ht="18.75" thickBot="1">
      <c r="A30" s="3079" t="s">
        <v>336</v>
      </c>
      <c r="B30" s="309"/>
      <c r="C30" s="309"/>
      <c r="D30" s="310"/>
      <c r="E30" s="3080" t="s">
        <v>2959</v>
      </c>
      <c r="F30" s="311"/>
      <c r="G30" s="311"/>
      <c r="H30" s="311"/>
      <c r="I30" s="311"/>
      <c r="J30" s="2013"/>
      <c r="K30" s="1253" t="str">
        <f ca="1">IF(K29="——","——","大写金额：人民币"&amp;NUMBERSTRING(INT(O39*10000),2)&amp;"元整")</f>
        <v>大写金额：人民币捌拾肆亿肆仟捌佰玖拾柒万元整</v>
      </c>
      <c r="L30" s="1247"/>
      <c r="M30" s="1247"/>
      <c r="N30" s="1247"/>
      <c r="O30" s="1246"/>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v>
      </c>
      <c r="L31" s="2427"/>
      <c r="M31" s="2427"/>
      <c r="N31" s="2427"/>
      <c r="O31" s="2428"/>
      <c r="P31" s="2013"/>
      <c r="V31" s="2013"/>
    </row>
    <row r="32" spans="1:26" ht="18.75" thickBot="1">
      <c r="A32" s="268" t="s">
        <v>337</v>
      </c>
      <c r="B32" s="1377" t="s">
        <v>1688</v>
      </c>
      <c r="C32" s="1378">
        <f ca="1">G19-C24</f>
        <v>844897</v>
      </c>
      <c r="D32" s="1379" t="s">
        <v>1689</v>
      </c>
      <c r="E32" s="311"/>
      <c r="F32" s="311"/>
      <c r="G32" s="311"/>
      <c r="H32" s="311"/>
      <c r="I32" s="311"/>
      <c r="J32" s="2013"/>
      <c r="K32" s="2426" t="str">
        <f>IF(K31="——","——","大写金额：人民币"&amp;NUMBERSTRING(INT(O40*10000),2)&amp;"元整")</f>
        <v>——</v>
      </c>
      <c r="L32" s="2429"/>
      <c r="M32" s="2429"/>
      <c r="N32" s="2429"/>
      <c r="O32" s="2430"/>
      <c r="P32" s="2013"/>
      <c r="V32" s="2013"/>
    </row>
    <row r="33" spans="1:26" ht="18.75" thickBot="1">
      <c r="A33" s="298" t="s">
        <v>340</v>
      </c>
      <c r="B33" s="1380" t="s">
        <v>1690</v>
      </c>
      <c r="C33" s="264">
        <f ca="1">ROUND(C32*10000/'数据-汇总表'!E3,0)</f>
        <v>63801</v>
      </c>
      <c r="D33" s="1381" t="s">
        <v>1691</v>
      </c>
      <c r="E33" s="3312" t="s">
        <v>338</v>
      </c>
      <c r="F33" s="296" t="s">
        <v>339</v>
      </c>
      <c r="G33" s="297"/>
      <c r="H33" s="979"/>
      <c r="I33" s="1254"/>
      <c r="J33" s="2013"/>
      <c r="K33" s="1253" t="str">
        <f>IF(项目基本情况!E9="——","——","抵押净值："&amp;C46&amp;"万元")</f>
        <v>——</v>
      </c>
      <c r="L33" s="1247"/>
      <c r="M33" s="1247"/>
      <c r="N33" s="1247"/>
      <c r="O33" s="1246"/>
      <c r="P33" s="2013"/>
      <c r="V33" s="2013"/>
    </row>
    <row r="34" spans="1:26" s="1249" customFormat="1" ht="18.75" thickBot="1">
      <c r="A34" s="300"/>
      <c r="B34" s="1382" t="s">
        <v>1692</v>
      </c>
      <c r="C34" s="264">
        <f ca="1">ROUND(C32*10000/'数据-汇总表'!D3,0)</f>
        <v>70181</v>
      </c>
      <c r="D34" s="1383" t="s">
        <v>1691</v>
      </c>
      <c r="E34" s="3313"/>
      <c r="F34" s="127" t="s">
        <v>341</v>
      </c>
      <c r="G34" s="299"/>
      <c r="H34" s="105"/>
      <c r="I34" s="311"/>
      <c r="J34" s="2013"/>
      <c r="K34" s="1256" t="str">
        <f>IF(K33="——","——","大写金额：人民币"&amp;NUMBERSTRING(INT(O41*10000),2)&amp;"元整")</f>
        <v>——</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4679</v>
      </c>
      <c r="D35" s="1386" t="s">
        <v>1693</v>
      </c>
      <c r="E35" s="3314"/>
      <c r="F35" s="301" t="s">
        <v>342</v>
      </c>
      <c r="G35" s="981"/>
      <c r="H35" s="980" t="s">
        <v>343</v>
      </c>
      <c r="I35" s="311"/>
      <c r="J35" s="2013"/>
      <c r="K35" s="3318" t="s">
        <v>350</v>
      </c>
      <c r="L35" s="3318" t="s">
        <v>351</v>
      </c>
      <c r="M35" s="1259" t="s">
        <v>352</v>
      </c>
      <c r="N35" s="3318" t="s">
        <v>353</v>
      </c>
      <c r="O35" s="3318" t="s">
        <v>354</v>
      </c>
      <c r="P35" s="2013"/>
      <c r="V35" s="2013"/>
    </row>
    <row r="36" spans="1:26" ht="16.5" customHeight="1">
      <c r="A36" s="303" t="s">
        <v>344</v>
      </c>
      <c r="B36" s="304" t="s">
        <v>333</v>
      </c>
      <c r="C36" s="305" t="s">
        <v>345</v>
      </c>
      <c r="D36" s="305" t="s">
        <v>346</v>
      </c>
      <c r="E36" s="306" t="s">
        <v>347</v>
      </c>
      <c r="F36" s="311"/>
      <c r="G36" s="311"/>
      <c r="H36" s="311"/>
      <c r="I36" s="311"/>
      <c r="J36" s="2015"/>
      <c r="K36" s="3319"/>
      <c r="L36" s="3319"/>
      <c r="M36" s="1261" t="s">
        <v>355</v>
      </c>
      <c r="N36" s="3319"/>
      <c r="O36" s="3319"/>
      <c r="P36" s="2013"/>
      <c r="V36" s="2013"/>
    </row>
    <row r="37" spans="1:26" ht="16.5" customHeight="1" thickBot="1">
      <c r="A37" s="1255" t="s">
        <v>348</v>
      </c>
      <c r="B37" s="307"/>
      <c r="C37" s="294"/>
      <c r="D37" s="294"/>
      <c r="E37" s="295"/>
      <c r="F37" s="311"/>
      <c r="G37" s="311"/>
      <c r="H37" s="311"/>
      <c r="I37" s="311"/>
      <c r="J37" s="2015"/>
      <c r="K37" s="3320"/>
      <c r="L37" s="3320"/>
      <c r="M37" s="1262"/>
      <c r="N37" s="3320"/>
      <c r="O37" s="3320"/>
      <c r="P37" s="2013"/>
      <c r="V37" s="2013"/>
    </row>
    <row r="38" spans="1:26" ht="16.5" customHeight="1" thickBot="1">
      <c r="A38" s="1255" t="s">
        <v>349</v>
      </c>
      <c r="B38" s="307"/>
      <c r="C38" s="294"/>
      <c r="D38" s="294"/>
      <c r="E38" s="295"/>
      <c r="F38" s="311"/>
      <c r="G38" s="311"/>
      <c r="H38" s="311"/>
      <c r="I38" s="311"/>
      <c r="J38" s="2015"/>
      <c r="K38" s="1263">
        <f>'数据-汇总表'!D3</f>
        <v>120388.78</v>
      </c>
      <c r="L38" s="1264">
        <f>'数据-汇总表'!E3</f>
        <v>132427.66</v>
      </c>
      <c r="M38" s="1264">
        <f ca="1">C34</f>
        <v>70181</v>
      </c>
      <c r="N38" s="1264">
        <f ca="1">C33</f>
        <v>63801</v>
      </c>
      <c r="O38" s="1265">
        <f ca="1">C32</f>
        <v>844897</v>
      </c>
      <c r="P38" s="2013"/>
      <c r="V38" s="2013"/>
    </row>
    <row r="39" spans="1:26" ht="16.5" customHeight="1" thickBot="1">
      <c r="A39" s="1260"/>
      <c r="B39" s="308"/>
      <c r="C39" s="309"/>
      <c r="D39" s="309"/>
      <c r="E39" s="310"/>
      <c r="F39" s="311"/>
      <c r="G39" s="311"/>
      <c r="H39" s="311"/>
      <c r="I39" s="311"/>
      <c r="J39" s="2015"/>
      <c r="K39" s="3295" t="str">
        <f>MID(A44,3,LEN(A44)-2)</f>
        <v>抵押价格</v>
      </c>
      <c r="L39" s="3296"/>
      <c r="M39" s="3296"/>
      <c r="N39" s="3297"/>
      <c r="O39" s="1388">
        <f ca="1">C44</f>
        <v>844897</v>
      </c>
      <c r="P39" s="2013"/>
      <c r="V39" s="2013"/>
    </row>
    <row r="40" spans="1:26" ht="19.5" thickBot="1">
      <c r="A40" s="104" t="s">
        <v>873</v>
      </c>
      <c r="B40" s="311"/>
      <c r="C40" s="311"/>
      <c r="D40" s="311"/>
      <c r="E40" s="311"/>
      <c r="F40" s="311"/>
      <c r="G40" s="311"/>
      <c r="H40" s="311"/>
      <c r="I40" s="311"/>
      <c r="J40" s="2015"/>
      <c r="K40" s="3295" t="str">
        <f t="shared" ref="K40:K41" si="0">MID(A45,3,LEN(A45)-2)</f>
        <v/>
      </c>
      <c r="L40" s="3296"/>
      <c r="M40" s="3296"/>
      <c r="N40" s="3297"/>
      <c r="O40" s="1388" t="str">
        <f>C45</f>
        <v>——</v>
      </c>
      <c r="P40" s="2013"/>
      <c r="V40" s="2013"/>
    </row>
    <row r="41" spans="1:26" ht="16.5" thickBot="1">
      <c r="A41" s="312" t="s">
        <v>356</v>
      </c>
      <c r="B41" s="313"/>
      <c r="C41" s="314" t="s">
        <v>357</v>
      </c>
      <c r="D41" s="315" t="s">
        <v>358</v>
      </c>
      <c r="E41" s="315" t="s">
        <v>359</v>
      </c>
      <c r="F41" s="316" t="s">
        <v>360</v>
      </c>
      <c r="G41" s="311"/>
      <c r="H41" s="311"/>
      <c r="I41" s="311"/>
      <c r="J41" s="2015"/>
      <c r="K41" s="3295" t="str">
        <f t="shared" si="0"/>
        <v/>
      </c>
      <c r="L41" s="3296"/>
      <c r="M41" s="3296"/>
      <c r="N41" s="3297"/>
      <c r="O41" s="1388" t="str">
        <f>C46</f>
        <v>——</v>
      </c>
      <c r="P41" s="2013"/>
      <c r="V41" s="2013"/>
    </row>
    <row r="42" spans="1:26" ht="29.25">
      <c r="A42" s="3355" t="s">
        <v>2066</v>
      </c>
      <c r="B42" s="3356"/>
      <c r="C42" s="264">
        <f ca="1">C32</f>
        <v>844897</v>
      </c>
      <c r="D42" s="317">
        <f ca="1">C33</f>
        <v>63801</v>
      </c>
      <c r="E42" s="317">
        <f ca="1">C34</f>
        <v>70181</v>
      </c>
      <c r="F42" s="318">
        <f ca="1">C35</f>
        <v>4679</v>
      </c>
      <c r="G42" s="311"/>
      <c r="H42" s="311"/>
      <c r="I42" s="319"/>
      <c r="J42" s="2015"/>
      <c r="K42" s="1266" t="s">
        <v>361</v>
      </c>
      <c r="L42" s="2032" t="s">
        <v>362</v>
      </c>
      <c r="M42" s="1267" t="s">
        <v>363</v>
      </c>
      <c r="N42" s="2033" t="s">
        <v>364</v>
      </c>
      <c r="O42" s="2034" t="s">
        <v>365</v>
      </c>
      <c r="P42" s="2013"/>
      <c r="V42" s="2013"/>
    </row>
    <row r="43" spans="1:26" ht="30">
      <c r="A43" s="3365" t="s">
        <v>2729</v>
      </c>
      <c r="B43" s="3366"/>
      <c r="C43" s="264">
        <f>IF(H33="正常操作",G33+G34+G35,G34+G35)</f>
        <v>0</v>
      </c>
      <c r="D43" s="317" t="s">
        <v>43</v>
      </c>
      <c r="E43" s="317" t="s">
        <v>44</v>
      </c>
      <c r="F43" s="318" t="s">
        <v>44</v>
      </c>
      <c r="G43" s="2820" t="s">
        <v>952</v>
      </c>
      <c r="H43" s="311"/>
      <c r="I43" s="319"/>
      <c r="J43" s="2015"/>
      <c r="K43" s="1268" t="str">
        <f>C4</f>
        <v>比较法-住宅、综合</v>
      </c>
      <c r="L43" s="1269">
        <f ca="1">IF(L42="估价结果/万元",C19,C20)</f>
        <v>742972</v>
      </c>
      <c r="M43" s="1270">
        <f>C18</f>
        <v>0.5</v>
      </c>
      <c r="N43" s="1271">
        <f ca="1">IF(N42="测算结果/万元",G19,G20)</f>
        <v>844897</v>
      </c>
      <c r="O43" s="1272">
        <f ca="1">IF(O42="最终结果/万元",C32,C33)</f>
        <v>844897</v>
      </c>
      <c r="P43" s="2013"/>
      <c r="V43" s="2013"/>
    </row>
    <row r="44" spans="1:26" ht="30.75" thickBot="1">
      <c r="A44" s="3355" t="str">
        <f>IF(OR(项目基本情况!E8="抵押价格",项目基本情况!E8="已注销及未注销"),"3.抵押价格","——")</f>
        <v>3.抵押价格</v>
      </c>
      <c r="B44" s="3356"/>
      <c r="C44" s="264">
        <f ca="1">IF(A44="——","——",C42-C43)</f>
        <v>844897</v>
      </c>
      <c r="D44" s="317">
        <f ca="1">ROUND(C44*10000/'数据-汇总表'!E3,0)</f>
        <v>63801</v>
      </c>
      <c r="E44" s="317">
        <f ca="1">ROUND(C44*10000/'数据-汇总表'!D3,0)</f>
        <v>70181</v>
      </c>
      <c r="F44" s="318">
        <f ca="1">ROUND(C44/('数据-汇总表'!D3/666.67),0)</f>
        <v>4679</v>
      </c>
      <c r="G44" s="311"/>
      <c r="H44" s="311"/>
      <c r="I44" s="319"/>
      <c r="J44" s="2015"/>
      <c r="K44" s="1273" t="str">
        <f>D4</f>
        <v>剩余法-待开发</v>
      </c>
      <c r="L44" s="1274">
        <f ca="1">IF(L42="估价结果/万元",D19,D20)</f>
        <v>946822</v>
      </c>
      <c r="M44" s="1275">
        <f>D18</f>
        <v>0.5</v>
      </c>
      <c r="N44" s="1276"/>
      <c r="O44" s="1277"/>
      <c r="P44" s="2013"/>
      <c r="V44" s="2013"/>
    </row>
    <row r="45" spans="1:26" ht="15">
      <c r="A45" s="3360" t="str">
        <f>IF(项目基本情况!E8="已注销及未注销","4.抵押担保权已注销时的抵押价格",IF(项目基本情况!E8="已注销","3.抵押担保权已注销时的抵押价格","——"))</f>
        <v>——</v>
      </c>
      <c r="B45" s="336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7" t="str">
        <f>IF(项目基本情况!E9="抵押净值",IF(A45="——","4.抵押净值","5.抵押净值"),"——")</f>
        <v>——</v>
      </c>
      <c r="B46" s="3358"/>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3" t="s">
        <v>374</v>
      </c>
      <c r="B63" s="3324"/>
      <c r="C63" s="3325"/>
      <c r="D63" s="341">
        <f ca="1">ROUND(C42*F63,0)</f>
        <v>844897</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62" t="s">
        <v>378</v>
      </c>
      <c r="B64" s="3363"/>
      <c r="C64" s="3363"/>
      <c r="D64" s="3363"/>
      <c r="E64" s="3363"/>
      <c r="F64" s="3363"/>
      <c r="G64" s="3364"/>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59" t="s">
        <v>386</v>
      </c>
      <c r="B66" s="3330"/>
      <c r="C66" s="3330"/>
      <c r="D66" s="261">
        <f ca="1">IF(H66="情况1",0,IF(H66="情况2",D70,IF(H66="情况3",D71,IF(H66="情况4",D72))))</f>
        <v>45061</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299" t="s">
        <v>385</v>
      </c>
      <c r="M66" s="3300"/>
      <c r="N66" s="2421"/>
      <c r="O66" s="2422"/>
      <c r="P66" s="2423"/>
      <c r="Q66" s="2013"/>
      <c r="R66" s="2013"/>
      <c r="S66" s="2013"/>
      <c r="T66" s="2013"/>
      <c r="U66" s="2013"/>
      <c r="V66" s="2013"/>
    </row>
    <row r="67" spans="1:22" ht="25.5" customHeight="1">
      <c r="A67" s="352" t="s">
        <v>390</v>
      </c>
      <c r="B67" s="3342" t="s">
        <v>391</v>
      </c>
      <c r="C67" s="3342"/>
      <c r="D67" s="353">
        <v>0</v>
      </c>
      <c r="E67" s="41" t="s">
        <v>392</v>
      </c>
      <c r="F67" s="62" t="s">
        <v>21</v>
      </c>
      <c r="G67" s="3326"/>
      <c r="H67" s="311"/>
      <c r="I67" s="1287"/>
      <c r="J67" s="2020"/>
      <c r="K67" s="1961">
        <v>2</v>
      </c>
      <c r="L67" s="3298" t="s">
        <v>389</v>
      </c>
      <c r="M67" s="3298"/>
      <c r="N67" s="1320">
        <f>'数据-取费表'!B2</f>
        <v>43581</v>
      </c>
      <c r="O67" s="1320"/>
      <c r="P67" s="1320"/>
      <c r="Q67" s="2013"/>
      <c r="R67" s="2013"/>
      <c r="S67" s="2013"/>
      <c r="T67" s="2013"/>
      <c r="U67" s="2013"/>
      <c r="V67" s="2013"/>
    </row>
    <row r="68" spans="1:22" ht="25.5" customHeight="1">
      <c r="A68" s="354"/>
      <c r="B68" s="3342" t="s">
        <v>394</v>
      </c>
      <c r="C68" s="3342"/>
      <c r="D68" s="355"/>
      <c r="E68" s="77"/>
      <c r="F68" s="356"/>
      <c r="G68" s="3327"/>
      <c r="H68" s="311"/>
      <c r="I68" s="1287"/>
      <c r="J68" s="2020"/>
      <c r="K68" s="1961">
        <v>3</v>
      </c>
      <c r="L68" s="3298" t="s">
        <v>393</v>
      </c>
      <c r="M68" s="3298"/>
      <c r="N68" s="1288">
        <f ca="1">C42</f>
        <v>844897</v>
      </c>
      <c r="O68" s="1288"/>
      <c r="P68" s="1288"/>
      <c r="Q68" s="2013"/>
      <c r="R68" s="2013"/>
      <c r="S68" s="2013"/>
      <c r="T68" s="2013"/>
      <c r="U68" s="2013"/>
      <c r="V68" s="2013"/>
    </row>
    <row r="69" spans="1:22" ht="12" customHeight="1">
      <c r="A69" s="357"/>
      <c r="B69" s="3342" t="s">
        <v>395</v>
      </c>
      <c r="C69" s="3342"/>
      <c r="D69" s="358"/>
      <c r="E69" s="73"/>
      <c r="F69" s="356"/>
      <c r="G69" s="3328"/>
      <c r="H69" s="311"/>
      <c r="I69" s="1287"/>
      <c r="J69" s="2020"/>
      <c r="K69" s="1289">
        <v>4</v>
      </c>
      <c r="L69" s="3304" t="s">
        <v>2881</v>
      </c>
      <c r="M69" s="3305"/>
      <c r="N69" s="1290">
        <f ca="1">C44</f>
        <v>844897</v>
      </c>
      <c r="O69" s="1290"/>
      <c r="P69" s="1290"/>
      <c r="Q69" s="2013"/>
      <c r="R69" s="2013"/>
      <c r="S69" s="2013"/>
      <c r="T69" s="2013"/>
      <c r="U69" s="2013"/>
      <c r="V69" s="2013"/>
    </row>
    <row r="70" spans="1:22" ht="24" customHeight="1">
      <c r="A70" s="359" t="s">
        <v>396</v>
      </c>
      <c r="B70" s="3342" t="s">
        <v>397</v>
      </c>
      <c r="C70" s="3342"/>
      <c r="D70" s="358">
        <f ca="1">ROUND(D63*'数据-取费表'!B41/(1+'数据-取费表'!C42),0)</f>
        <v>45061</v>
      </c>
      <c r="E70" s="17" t="s">
        <v>398</v>
      </c>
      <c r="F70" s="360">
        <f>'数据-取费表'!B41</f>
        <v>5.6000000000000001E-2</v>
      </c>
      <c r="G70" s="361"/>
      <c r="H70" s="311"/>
      <c r="I70" s="1287"/>
      <c r="J70" s="2020"/>
      <c r="K70" s="3012"/>
      <c r="L70" s="3013"/>
      <c r="M70" s="3013"/>
      <c r="N70" s="3014" t="s">
        <v>2886</v>
      </c>
      <c r="O70" s="3013"/>
      <c r="P70" s="3015"/>
      <c r="Q70" s="2013"/>
      <c r="R70" s="2013"/>
      <c r="S70" s="2013"/>
      <c r="T70" s="2013"/>
      <c r="U70" s="2013"/>
      <c r="V70" s="2013"/>
    </row>
    <row r="71" spans="1:22" ht="12" customHeight="1">
      <c r="A71" s="359" t="s">
        <v>404</v>
      </c>
      <c r="B71" s="3341" t="s">
        <v>405</v>
      </c>
      <c r="C71" s="3353"/>
      <c r="D71" s="358">
        <f ca="1">ROUND(D63*'数据-取费表'!B41/(1+'数据-取费表'!C42),0)</f>
        <v>45061</v>
      </c>
      <c r="E71" s="17" t="s">
        <v>398</v>
      </c>
      <c r="F71" s="360">
        <f>'数据-取费表'!B41</f>
        <v>5.6000000000000001E-2</v>
      </c>
      <c r="G71" s="361"/>
      <c r="H71" s="311"/>
      <c r="I71" s="1287"/>
      <c r="J71" s="2020"/>
      <c r="K71" s="3011" t="s">
        <v>399</v>
      </c>
      <c r="L71" s="3306" t="s">
        <v>400</v>
      </c>
      <c r="M71" s="3306"/>
      <c r="N71" s="3011" t="s">
        <v>401</v>
      </c>
      <c r="O71" s="3011" t="s">
        <v>402</v>
      </c>
      <c r="P71" s="3011" t="s">
        <v>403</v>
      </c>
      <c r="Q71" s="2013"/>
      <c r="R71" s="2013"/>
      <c r="S71" s="2013"/>
      <c r="T71" s="2013"/>
      <c r="U71" s="2013"/>
      <c r="V71" s="2013"/>
    </row>
    <row r="72" spans="1:22" ht="12" customHeight="1">
      <c r="A72" s="359" t="s">
        <v>407</v>
      </c>
      <c r="B72" s="3341" t="s">
        <v>408</v>
      </c>
      <c r="C72" s="3353"/>
      <c r="D72" s="358">
        <f ca="1">C86</f>
        <v>44949</v>
      </c>
      <c r="E72" s="73" t="s">
        <v>409</v>
      </c>
      <c r="F72" s="360">
        <f>'数据-取费表'!B41</f>
        <v>5.6000000000000001E-2</v>
      </c>
      <c r="G72" s="361"/>
      <c r="H72" s="1293"/>
      <c r="I72" s="1287"/>
      <c r="J72" s="2020"/>
      <c r="K72" s="1961">
        <v>1</v>
      </c>
      <c r="L72" s="3303" t="s">
        <v>406</v>
      </c>
      <c r="M72" s="3303"/>
      <c r="N72" s="1291">
        <f ca="1">D66</f>
        <v>45061</v>
      </c>
      <c r="O72" s="1844" t="str">
        <f>E66</f>
        <v>销售额×税（费）率</v>
      </c>
      <c r="P72" s="1292">
        <f>F66</f>
        <v>5.6000000000000001E-2</v>
      </c>
      <c r="Q72" s="2013"/>
      <c r="R72" s="2013"/>
      <c r="S72" s="2013"/>
      <c r="T72" s="2013"/>
      <c r="U72" s="2013"/>
      <c r="V72" s="2013"/>
    </row>
    <row r="73" spans="1:22" ht="24" customHeight="1">
      <c r="A73" s="3329" t="s">
        <v>411</v>
      </c>
      <c r="B73" s="3330"/>
      <c r="C73" s="3330"/>
      <c r="D73" s="362">
        <f>IF(H73="个人住宅",0,ROUND(D63*I73,0))</f>
        <v>0</v>
      </c>
      <c r="E73" s="17" t="s">
        <v>412</v>
      </c>
      <c r="F73" s="360" t="str">
        <f>IF(H73="正常",I73,"免征")</f>
        <v>免征</v>
      </c>
      <c r="G73" s="361"/>
      <c r="H73" s="191" t="s">
        <v>2454</v>
      </c>
      <c r="I73" s="360">
        <f>'数据-取费表'!B49</f>
        <v>5.0000000000000001E-4</v>
      </c>
      <c r="J73" s="2020"/>
      <c r="K73" s="1961">
        <v>2</v>
      </c>
      <c r="L73" s="3303" t="s">
        <v>410</v>
      </c>
      <c r="M73" s="3303"/>
      <c r="N73" s="1291">
        <f t="shared" ref="N73:P74" si="1">D73</f>
        <v>0</v>
      </c>
      <c r="O73" s="1844" t="str">
        <f t="shared" si="1"/>
        <v>销售额×税（费）率</v>
      </c>
      <c r="P73" s="1292" t="str">
        <f t="shared" si="1"/>
        <v>免征</v>
      </c>
      <c r="Q73" s="2013"/>
      <c r="R73" s="2013"/>
      <c r="S73" s="2013"/>
      <c r="T73" s="2013"/>
      <c r="U73" s="2013"/>
      <c r="V73" s="2013"/>
    </row>
    <row r="74" spans="1:22" ht="24.75">
      <c r="A74" s="3329" t="s">
        <v>415</v>
      </c>
      <c r="B74" s="3330"/>
      <c r="C74" s="3330"/>
      <c r="D74" s="362">
        <f ca="1">IF(H74="个人住宅",D75,D76)</f>
        <v>469526</v>
      </c>
      <c r="E74" s="17" t="s">
        <v>416</v>
      </c>
      <c r="F74" s="360" t="str">
        <f>IF(H74="正常",F76,"免征")</f>
        <v>——</v>
      </c>
      <c r="G74" s="982" t="s">
        <v>417</v>
      </c>
      <c r="H74" s="363" t="s">
        <v>413</v>
      </c>
      <c r="I74" s="42"/>
      <c r="J74" s="2020"/>
      <c r="K74" s="1961">
        <v>3</v>
      </c>
      <c r="L74" s="3303" t="s">
        <v>414</v>
      </c>
      <c r="M74" s="3303"/>
      <c r="N74" s="1291">
        <f t="shared" ca="1" si="1"/>
        <v>469526</v>
      </c>
      <c r="O74" s="1844" t="str">
        <f t="shared" si="1"/>
        <v>增值额×税（费）率</v>
      </c>
      <c r="P74" s="1294" t="str">
        <f t="shared" si="1"/>
        <v>——</v>
      </c>
      <c r="Q74" s="2013"/>
      <c r="R74" s="2013"/>
      <c r="S74" s="2013"/>
      <c r="T74" s="2013"/>
      <c r="U74" s="2013"/>
      <c r="V74" s="2013"/>
    </row>
    <row r="75" spans="1:22" ht="24">
      <c r="A75" s="359" t="s">
        <v>418</v>
      </c>
      <c r="B75" s="3310" t="s">
        <v>419</v>
      </c>
      <c r="C75" s="3311"/>
      <c r="D75" s="364">
        <v>0</v>
      </c>
      <c r="E75" s="41" t="s">
        <v>420</v>
      </c>
      <c r="F75" s="365"/>
      <c r="G75" s="361"/>
      <c r="H75" s="42"/>
      <c r="I75" s="42"/>
      <c r="J75" s="2020"/>
      <c r="K75" s="3004">
        <f>IF(H77="非个人房产","",4)</f>
        <v>4</v>
      </c>
      <c r="L75" s="3303" t="str">
        <f>IF(H77="非个人房产","——","个人所得税")</f>
        <v>个人所得税</v>
      </c>
      <c r="M75" s="3303"/>
      <c r="N75" s="1295">
        <f ca="1">D77</f>
        <v>8449</v>
      </c>
      <c r="O75" s="1857" t="str">
        <f>E77</f>
        <v>销售额×税（费）率</v>
      </c>
      <c r="P75" s="1296">
        <f>F77</f>
        <v>0.01</v>
      </c>
      <c r="Q75" s="2013"/>
      <c r="R75" s="2013"/>
      <c r="S75" s="2013"/>
      <c r="T75" s="2013"/>
      <c r="U75" s="2013"/>
      <c r="V75" s="2013"/>
    </row>
    <row r="76" spans="1:22" ht="24.75">
      <c r="A76" s="359" t="s">
        <v>396</v>
      </c>
      <c r="B76" s="3310" t="s">
        <v>422</v>
      </c>
      <c r="C76" s="3352"/>
      <c r="D76" s="362">
        <f ca="1">IF(H76="转让取得",C99,C115)</f>
        <v>469526</v>
      </c>
      <c r="E76" s="17" t="s">
        <v>423</v>
      </c>
      <c r="F76" s="53" t="s">
        <v>21</v>
      </c>
      <c r="G76" s="361"/>
      <c r="H76" s="363" t="s">
        <v>424</v>
      </c>
      <c r="I76" s="42"/>
      <c r="J76" s="2020"/>
      <c r="K76" s="3004" t="str">
        <f>IF(项目基本情况!K6="上海银行",IF(K75="",4,K75+1),"")</f>
        <v/>
      </c>
      <c r="L76" s="3291" t="str">
        <f>IF(项目基本情况!K6="上海银行","其他处置费用","")</f>
        <v/>
      </c>
      <c r="M76" s="3292"/>
      <c r="N76" s="1291" t="str">
        <f>IF(项目基本情况!K6="上海银行",N89,"")</f>
        <v/>
      </c>
      <c r="O76" s="3293" t="str">
        <f>IF(项目基本情况!K6="上海银行","包含处置中涉及的律师、诉讼、拍卖、评估等费用","")</f>
        <v/>
      </c>
      <c r="P76" s="3294"/>
      <c r="Q76" s="2013"/>
      <c r="R76" s="2013"/>
      <c r="S76" s="2013"/>
      <c r="T76" s="2013"/>
      <c r="U76" s="2013"/>
      <c r="V76" s="2013"/>
    </row>
    <row r="77" spans="1:22" ht="26.25" thickBot="1">
      <c r="A77" s="3321" t="s">
        <v>426</v>
      </c>
      <c r="B77" s="3322"/>
      <c r="C77" s="3322"/>
      <c r="D77" s="366">
        <f ca="1">IF(H77="非个人房产","——",IF(H77="个人住宅",0,ROUND(D63*I77,0)))</f>
        <v>8449</v>
      </c>
      <c r="E77" s="367" t="str">
        <f>IF(H77="非个人房产","——","销售额×税（费）率")</f>
        <v>销售额×税（费）率</v>
      </c>
      <c r="F77" s="368">
        <f>IF(H77="非个人房产","——",IF(H77="个人住宅","免征",I77))</f>
        <v>0.01</v>
      </c>
      <c r="G77" s="983" t="s">
        <v>417</v>
      </c>
      <c r="H77" s="363" t="s">
        <v>2882</v>
      </c>
      <c r="I77" s="369">
        <v>0.01</v>
      </c>
      <c r="J77" s="2020"/>
      <c r="K77" s="3317">
        <f>IF(AND(K75="",K76=""),4,IF(项目基本情况!K6="上海银行",K76+1,K75+1))</f>
        <v>5</v>
      </c>
      <c r="L77" s="3303" t="s">
        <v>2883</v>
      </c>
      <c r="M77" s="3010" t="s">
        <v>421</v>
      </c>
      <c r="N77" s="1297"/>
      <c r="O77" s="1298">
        <f ca="1">SUMIF(N72:N76,"&lt;9e307")</f>
        <v>523036</v>
      </c>
      <c r="P77" s="1299"/>
      <c r="Q77" s="3008">
        <f ca="1">O77/N69</f>
        <v>0.61905297332100839</v>
      </c>
      <c r="R77" s="2013"/>
      <c r="S77" s="2013"/>
      <c r="T77" s="2013"/>
      <c r="U77" s="2013"/>
      <c r="V77" s="2013"/>
    </row>
    <row r="78" spans="1:22" ht="12" customHeight="1">
      <c r="A78" s="1300"/>
      <c r="B78" s="311"/>
      <c r="C78" s="311"/>
      <c r="D78" s="311"/>
      <c r="E78" s="42"/>
      <c r="F78" s="42"/>
      <c r="G78" s="42"/>
      <c r="H78" s="1002"/>
      <c r="I78" s="311"/>
      <c r="J78" s="2020"/>
      <c r="K78" s="3317"/>
      <c r="L78" s="3303"/>
      <c r="M78" s="3010" t="s">
        <v>425</v>
      </c>
      <c r="N78" s="1297"/>
      <c r="O78" s="1298" t="str">
        <f ca="1">NUMBERSTRING(INT(O77*10000),2)&amp;"元整"</f>
        <v>伍拾贰亿叁仟零叁拾陆万元整</v>
      </c>
      <c r="P78" s="1299"/>
      <c r="Q78" s="2013"/>
      <c r="R78" s="2013"/>
      <c r="S78" s="2013"/>
      <c r="T78" s="2013"/>
      <c r="U78" s="2013"/>
      <c r="V78" s="2013"/>
    </row>
    <row r="79" spans="1:22" ht="13.5" thickBot="1">
      <c r="A79" s="3307" t="s">
        <v>427</v>
      </c>
      <c r="B79" s="3307"/>
      <c r="C79" s="3307"/>
      <c r="D79" s="3307"/>
      <c r="E79" s="3307"/>
      <c r="F79" s="42"/>
      <c r="G79" s="42"/>
      <c r="H79" s="1002"/>
      <c r="I79" s="311"/>
      <c r="J79" s="2020"/>
      <c r="K79" s="3301">
        <f>K77+1</f>
        <v>6</v>
      </c>
      <c r="L79" s="3303" t="s">
        <v>2884</v>
      </c>
      <c r="M79" s="3010" t="s">
        <v>421</v>
      </c>
      <c r="N79" s="1297"/>
      <c r="O79" s="1298">
        <f ca="1">N69-O77</f>
        <v>321861</v>
      </c>
      <c r="P79" s="1299"/>
      <c r="Q79" s="2013"/>
      <c r="R79" s="2013"/>
      <c r="S79" s="2013"/>
      <c r="T79" s="2013"/>
      <c r="U79" s="2013"/>
      <c r="V79" s="2013"/>
    </row>
    <row r="80" spans="1:22" ht="25.5">
      <c r="A80" s="3308" t="s">
        <v>428</v>
      </c>
      <c r="B80" s="3309"/>
      <c r="C80" s="993"/>
      <c r="D80" s="993" t="s">
        <v>429</v>
      </c>
      <c r="E80" s="370" t="s">
        <v>430</v>
      </c>
      <c r="F80" s="42"/>
      <c r="G80" s="42"/>
      <c r="H80" s="1002"/>
      <c r="I80" s="311"/>
      <c r="J80" s="2013"/>
      <c r="K80" s="3302"/>
      <c r="L80" s="3303"/>
      <c r="M80" s="3010" t="s">
        <v>425</v>
      </c>
      <c r="N80" s="1297"/>
      <c r="O80" s="1298" t="str">
        <f ca="1">NUMBERSTRING(INT(O79*10000),2)&amp;"元整"</f>
        <v>叁拾贰亿壹仟捌佰陆拾壹万元整</v>
      </c>
      <c r="P80" s="1299"/>
      <c r="Q80" s="2013"/>
      <c r="R80" s="2013"/>
      <c r="S80" s="2013"/>
      <c r="T80" s="2013"/>
      <c r="U80" s="2013"/>
      <c r="V80" s="2013"/>
    </row>
    <row r="81" spans="1:26" ht="13.5" thickBot="1">
      <c r="A81" s="381" t="s">
        <v>1823</v>
      </c>
      <c r="B81" s="371" t="s">
        <v>431</v>
      </c>
      <c r="C81" s="372">
        <f ca="1">ROUND((C82+C83)/(1+'数据-取费表'!C42),0)</f>
        <v>804664</v>
      </c>
      <c r="D81" s="373"/>
      <c r="E81" s="374"/>
      <c r="F81" s="42"/>
      <c r="G81" s="42"/>
      <c r="H81" s="1002"/>
      <c r="I81" s="311"/>
      <c r="J81" s="2013"/>
      <c r="K81" s="3004">
        <f>K79+1</f>
        <v>7</v>
      </c>
      <c r="L81" s="3315" t="s">
        <v>2885</v>
      </c>
      <c r="M81" s="3316"/>
      <c r="N81" s="1301"/>
      <c r="O81" s="1302">
        <f ca="1">ROUND(O79*10000/'数据-汇总表'!E3,0)</f>
        <v>24305</v>
      </c>
      <c r="P81" s="1303"/>
      <c r="Q81" s="2013"/>
      <c r="R81" s="2013"/>
      <c r="S81" s="2013"/>
      <c r="T81" s="2013"/>
      <c r="U81" s="2013"/>
      <c r="V81" s="2013"/>
    </row>
    <row r="82" spans="1:26" ht="13.5" thickTop="1">
      <c r="A82" s="375" t="s">
        <v>1824</v>
      </c>
      <c r="B82" s="376" t="s">
        <v>432</v>
      </c>
      <c r="C82" s="377">
        <f ca="1">D63</f>
        <v>844897</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2"/>
      <c r="I83" s="311"/>
      <c r="J83" s="2013"/>
      <c r="K83" s="3290" t="s">
        <v>2872</v>
      </c>
      <c r="L83" s="3016" t="s">
        <v>2873</v>
      </c>
      <c r="M83" s="3006">
        <f ca="1">IF(N69&gt;10000,N69*0.5%,IF(AND(N69&gt;1000,N69&lt;=10000),N69*1%,IF(AND(N69&gt;100,N69&lt;=1000),N69*3%,IF(AND(N69&gt;10,N69&lt;=100),N69*5%,N69*8%))))</f>
        <v>4224.4849999999997</v>
      </c>
      <c r="N83" s="53">
        <f ca="1">ROUND(M83,1)</f>
        <v>4224.5</v>
      </c>
      <c r="O83" s="3009"/>
      <c r="P83" s="2013"/>
      <c r="Q83" s="2013"/>
      <c r="R83" s="2013"/>
      <c r="S83" s="2013"/>
      <c r="T83" s="2013"/>
      <c r="U83" s="2013"/>
      <c r="V83" s="2013"/>
    </row>
    <row r="84" spans="1:26" ht="12.75">
      <c r="A84" s="381" t="s">
        <v>1826</v>
      </c>
      <c r="B84" s="382" t="s">
        <v>434</v>
      </c>
      <c r="C84" s="383">
        <v>2000</v>
      </c>
      <c r="D84" s="384" t="s">
        <v>19</v>
      </c>
      <c r="E84" s="3050" t="s">
        <v>2931</v>
      </c>
      <c r="F84" s="42"/>
      <c r="G84" s="42"/>
      <c r="H84" s="1002"/>
      <c r="I84" s="311"/>
      <c r="J84" s="2013"/>
      <c r="K84" s="3290"/>
      <c r="L84" s="3016" t="s">
        <v>2874</v>
      </c>
      <c r="M84" s="3006">
        <f ca="1">IF(N69&gt;2000,N69*0.5%,IF(AND(N69&gt;1000,N69&lt;=2000),N69*0.6%,IF(AND(N69&gt;500,N69&lt;=1000),N69*0.7%,IF(AND(N69&gt;200,N69&lt;=500),N69*0.8%,IF(AND(N69&gt;100,N69&lt;=200),N69*0.9%,IF(AND(N69&gt;50,N69&lt;=100),N69*1%,IF(AND(N69&gt;20,N69&lt;=50),N69*1.5%,IF(AND(N69&gt;10,N69&lt;=20),N69*2%,IF(AND(N69&gt;1,N69&lt;=10),N69*2.5%)))))))))</f>
        <v>4224.4849999999997</v>
      </c>
      <c r="N84" s="53">
        <f t="shared" ref="N84:N85" ca="1" si="2">ROUND(M84,1)</f>
        <v>4224.5</v>
      </c>
      <c r="O84" s="2013" t="s">
        <v>2875</v>
      </c>
      <c r="P84" s="2013"/>
      <c r="Q84" s="2013"/>
      <c r="R84" s="2013"/>
      <c r="S84" s="2013"/>
      <c r="T84" s="2013"/>
      <c r="U84" s="2013"/>
      <c r="V84" s="2013"/>
    </row>
    <row r="85" spans="1:26" ht="12.75">
      <c r="A85" s="381" t="s">
        <v>1827</v>
      </c>
      <c r="B85" s="382" t="s">
        <v>435</v>
      </c>
      <c r="C85" s="385">
        <f ca="1">C81-C84</f>
        <v>802664</v>
      </c>
      <c r="D85" s="378" t="s">
        <v>19</v>
      </c>
      <c r="E85" s="379"/>
      <c r="F85" s="42"/>
      <c r="G85" s="42"/>
      <c r="H85" s="1002"/>
      <c r="I85" s="311"/>
      <c r="J85" s="2013"/>
      <c r="K85" s="3290"/>
      <c r="L85" s="3016" t="s">
        <v>2876</v>
      </c>
      <c r="M85" s="3006">
        <f ca="1">IF(N69&gt;1000,N69*0.1%,IF(AND(N69&gt;500,N69&lt;=1000),N69*0.5%,IF(AND(N69&gt;50,N69&lt;=500),N69*1%,IF(AND(N69&gt;1,N69&lt;=50),N69*1.5%))))</f>
        <v>844.89700000000005</v>
      </c>
      <c r="N85" s="53">
        <f t="shared" ca="1" si="2"/>
        <v>844.9</v>
      </c>
      <c r="O85" s="2013" t="s">
        <v>2875</v>
      </c>
      <c r="P85" s="2013"/>
      <c r="Q85" s="2013"/>
      <c r="R85" s="2013"/>
      <c r="S85" s="2013"/>
      <c r="T85" s="2013"/>
      <c r="U85" s="2013"/>
      <c r="V85" s="2013"/>
    </row>
    <row r="86" spans="1:26" ht="13.5" thickBot="1">
      <c r="A86" s="386" t="s">
        <v>1828</v>
      </c>
      <c r="B86" s="387" t="s">
        <v>436</v>
      </c>
      <c r="C86" s="388">
        <f ca="1">IF(C85&lt;=0,0,ROUND(C85*D86,0))</f>
        <v>44949</v>
      </c>
      <c r="D86" s="389">
        <f>'数据-取费表'!B41</f>
        <v>5.6000000000000001E-2</v>
      </c>
      <c r="E86" s="390"/>
      <c r="F86" s="42"/>
      <c r="G86" s="42"/>
      <c r="H86" s="1002"/>
      <c r="I86" s="311"/>
      <c r="J86" s="2013"/>
      <c r="K86" s="3290"/>
      <c r="L86" s="3016" t="s">
        <v>2877</v>
      </c>
      <c r="M86" s="3006">
        <f ca="1">N69*0.5%</f>
        <v>4224.4849999999997</v>
      </c>
      <c r="N86" s="53">
        <f ca="1">IF(M86&gt;0.5,0.5,ROUND(M86,0))</f>
        <v>0.5</v>
      </c>
      <c r="O86" s="2013" t="s">
        <v>2878</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290"/>
      <c r="L87" s="3016" t="s">
        <v>2879</v>
      </c>
      <c r="M87" s="3006">
        <f ca="1">IF(N69&gt;=10000,(8.25+(N69-10000)*0.01%),IF(AND(N69&gt;=8000,N69&lt;10000),(7.85+(N69-8000)*0.02%),IF(AND(N69&gt;=5000,N69&lt;8000),(6.65+(N69-5000)*0.04%),IF(AND(N69&gt;=2000,N69&lt;5000),(4.25+(PN69-2000)*0.08%),IF(AND(N69&gt;=1000,N69&lt;2000),(2.75+(N69-1000)*0.15%),IF(AND(N69&gt;=100,N69&lt;1000),(0.5+(N69-100)*0.25%),IF(AND(N69&gt;0,N69&lt;100),N69*0.5%)))))))</f>
        <v>91.739699999999999</v>
      </c>
      <c r="N87" s="53">
        <f ca="1">ROUND(M87*0.9,1)</f>
        <v>82.6</v>
      </c>
      <c r="O87" s="3009"/>
      <c r="P87" s="311"/>
      <c r="Q87" s="2013"/>
      <c r="R87" s="2013"/>
      <c r="S87" s="2013"/>
      <c r="T87" s="2013"/>
      <c r="U87" s="2013"/>
      <c r="V87" s="2013"/>
      <c r="W87" s="292"/>
      <c r="X87" s="292"/>
      <c r="Y87" s="292"/>
      <c r="Z87" s="292"/>
    </row>
    <row r="88" spans="1:26" s="1309" customFormat="1" ht="15" thickBot="1">
      <c r="A88" s="3344" t="s">
        <v>437</v>
      </c>
      <c r="B88" s="3345"/>
      <c r="C88" s="3345"/>
      <c r="D88" s="3345"/>
      <c r="E88" s="3345"/>
      <c r="F88" s="3345"/>
      <c r="G88" s="3345"/>
      <c r="H88" s="3345"/>
      <c r="I88" s="1310"/>
      <c r="J88" s="2021"/>
      <c r="K88" s="3290"/>
      <c r="L88" s="3016" t="s">
        <v>2880</v>
      </c>
      <c r="M88" s="3006">
        <f ca="1">IF(N69&gt;10000,N69*0.5%,IF(AND(N69&gt;5000,N69&lt;=10000),N69*1%,IF(AND(N69&gt;1000,N69&lt;=5000),N69*2%,IF(AND(N69&gt;200,N69&lt;=1000),N69*3%,N69*5%))))</f>
        <v>4224.4849999999997</v>
      </c>
      <c r="N88" s="53">
        <f ca="1">ROUND(M88,1)</f>
        <v>4224.5</v>
      </c>
      <c r="O88" s="3009"/>
      <c r="P88" s="11"/>
      <c r="Q88" s="2018"/>
      <c r="R88" s="2018"/>
      <c r="S88" s="2018"/>
      <c r="T88" s="2018"/>
      <c r="U88" s="2018"/>
      <c r="V88" s="2018"/>
      <c r="W88" s="2022"/>
      <c r="X88" s="2022"/>
      <c r="Y88" s="2022"/>
      <c r="Z88" s="2022"/>
    </row>
    <row r="89" spans="1:26" s="1309" customFormat="1" ht="14.25">
      <c r="A89" s="3308" t="s">
        <v>428</v>
      </c>
      <c r="B89" s="3309"/>
      <c r="C89" s="993"/>
      <c r="D89" s="993" t="s">
        <v>429</v>
      </c>
      <c r="E89" s="391" t="s">
        <v>438</v>
      </c>
      <c r="F89" s="392"/>
      <c r="G89" s="392"/>
      <c r="H89" s="393"/>
      <c r="I89" s="1311"/>
      <c r="J89" s="2023"/>
      <c r="K89" s="3290"/>
      <c r="L89" s="3016" t="s">
        <v>27</v>
      </c>
      <c r="M89" s="3007"/>
      <c r="N89" s="53">
        <f ca="1">ROUND(SUM(N83:N88),0)</f>
        <v>13602</v>
      </c>
      <c r="O89" s="3017">
        <f ca="1">N89/N69</f>
        <v>1.6099003783893184E-2</v>
      </c>
      <c r="P89" s="2018"/>
      <c r="Q89" s="2018"/>
      <c r="R89" s="2018"/>
      <c r="S89" s="2018"/>
      <c r="T89" s="2018"/>
      <c r="U89" s="2018"/>
      <c r="V89" s="2018"/>
      <c r="W89" s="2022"/>
      <c r="X89" s="2022"/>
      <c r="Y89" s="2022"/>
      <c r="Z89" s="2022"/>
    </row>
    <row r="90" spans="1:26" s="1309" customFormat="1" ht="14.25">
      <c r="A90" s="381" t="s">
        <v>1823</v>
      </c>
      <c r="B90" s="382" t="s">
        <v>439</v>
      </c>
      <c r="C90" s="385">
        <f ca="1">ROUND(D63/(1+'数据-取费表'!C42),0)</f>
        <v>804664</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1829</v>
      </c>
      <c r="B91" s="348" t="s">
        <v>440</v>
      </c>
      <c r="C91" s="385">
        <f ca="1">C92+C96</f>
        <v>7389</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1832</v>
      </c>
      <c r="B94" s="400" t="s">
        <v>446</v>
      </c>
      <c r="C94" s="378">
        <f>IF(F93="购房发票",ROUND(C93*H93*5%,0),0)</f>
        <v>500</v>
      </c>
      <c r="D94" s="401">
        <v>0.05</v>
      </c>
      <c r="E94" s="3341" t="s">
        <v>447</v>
      </c>
      <c r="F94" s="3342"/>
      <c r="G94" s="3342"/>
      <c r="H94" s="3343"/>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1834</v>
      </c>
      <c r="B96" s="376" t="s">
        <v>450</v>
      </c>
      <c r="C96" s="405">
        <f ca="1">ROUND(D63*D96/(1+'数据-取费表'!C42),0)</f>
        <v>4828</v>
      </c>
      <c r="D96" s="406">
        <f>'数据-取费表'!B43</f>
        <v>6.000000000000001E-3</v>
      </c>
      <c r="E96" s="3331" t="s">
        <v>2427</v>
      </c>
      <c r="F96" s="3332"/>
      <c r="G96" s="3332"/>
      <c r="H96" s="3333"/>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1835</v>
      </c>
      <c r="B97" s="382" t="s">
        <v>451</v>
      </c>
      <c r="C97" s="385">
        <f ca="1">C90-C91</f>
        <v>797275</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1836</v>
      </c>
      <c r="B98" s="382" t="s">
        <v>452</v>
      </c>
      <c r="C98" s="407">
        <f ca="1">IF(C97&lt;=0,0,C97/C91)</f>
        <v>107.9002571389904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1837</v>
      </c>
      <c r="B99" s="387" t="s">
        <v>453</v>
      </c>
      <c r="C99" s="408">
        <f ca="1">ROUND(IF(C97&lt;=0,0,IF(C98&gt;=200%,C97*60%-C91*35%,IF(C98&gt;=100%,C97*50%-C91*15%,IF(C98&gt;=50%,C97*40%-C91*5%,IF(C98&lt;50%,C97*30%,0))))),0)</f>
        <v>475779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4" t="s">
        <v>454</v>
      </c>
      <c r="B101" s="3345"/>
      <c r="C101" s="3345"/>
      <c r="D101" s="3345"/>
      <c r="E101" s="3345"/>
      <c r="F101" s="3345"/>
      <c r="G101" s="3345"/>
      <c r="H101" s="3345"/>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08" t="s">
        <v>428</v>
      </c>
      <c r="B102" s="3309"/>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1823</v>
      </c>
      <c r="B103" s="382" t="s">
        <v>439</v>
      </c>
      <c r="C103" s="385">
        <f ca="1">ROUND(D63/(1+'数据-取费表'!C42),0)</f>
        <v>804664</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1829</v>
      </c>
      <c r="B104" s="348" t="s">
        <v>440</v>
      </c>
      <c r="C104" s="385">
        <f ca="1">IF(H106="仅含出让金",C105+C108+C109+C110+C111+C112,C105+C109+C110+C111+C112)</f>
        <v>13971</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1830</v>
      </c>
      <c r="B105" s="376" t="s">
        <v>455</v>
      </c>
      <c r="C105" s="405">
        <f>C106+C107</f>
        <v>8312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1831</v>
      </c>
      <c r="B106" s="376" t="s">
        <v>456</v>
      </c>
      <c r="C106" s="416">
        <v>8066</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1832</v>
      </c>
      <c r="B107" s="376" t="s">
        <v>448</v>
      </c>
      <c r="C107" s="405">
        <f>ROUND(C106*D107,0)</f>
        <v>246</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1838</v>
      </c>
      <c r="B109" s="376" t="s">
        <v>461</v>
      </c>
      <c r="C109" s="405">
        <f>IF(H109="——",IF(F1="现房",'剩余法-现房'!C18,'剩余法-待开发'!C18),I109)</f>
        <v>0</v>
      </c>
      <c r="D109" s="406"/>
      <c r="E109" s="3334" t="s">
        <v>462</v>
      </c>
      <c r="F109" s="3332"/>
      <c r="G109" s="3332"/>
      <c r="H109" s="1926" t="s">
        <v>2278</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1839</v>
      </c>
      <c r="B110" s="376" t="s">
        <v>463</v>
      </c>
      <c r="C110" s="405">
        <f>ROUND((C105+C108+C109)*D110,0)</f>
        <v>831</v>
      </c>
      <c r="D110" s="406">
        <v>0.1</v>
      </c>
      <c r="E110" s="3334" t="s">
        <v>464</v>
      </c>
      <c r="F110" s="3332"/>
      <c r="G110" s="3332"/>
      <c r="H110" s="3333"/>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1840</v>
      </c>
      <c r="B111" s="376" t="s">
        <v>450</v>
      </c>
      <c r="C111" s="405">
        <f ca="1">ROUND(D63*D111/(1+'数据-取费表'!C42),0)</f>
        <v>4828</v>
      </c>
      <c r="D111" s="406">
        <f>'数据-取费表'!B43</f>
        <v>6.000000000000001E-3</v>
      </c>
      <c r="E111" s="3331" t="s">
        <v>2427</v>
      </c>
      <c r="F111" s="3332"/>
      <c r="G111" s="3332"/>
      <c r="H111" s="3333"/>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1841</v>
      </c>
      <c r="B112" s="376" t="s">
        <v>465</v>
      </c>
      <c r="C112" s="405">
        <f>ROUND(C108*D112,0)</f>
        <v>0</v>
      </c>
      <c r="D112" s="406">
        <v>0.2</v>
      </c>
      <c r="E112" s="3334" t="s">
        <v>2452</v>
      </c>
      <c r="F112" s="3332"/>
      <c r="G112" s="3332"/>
      <c r="H112" s="3333"/>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1835</v>
      </c>
      <c r="B113" s="382" t="s">
        <v>451</v>
      </c>
      <c r="C113" s="385">
        <f ca="1">ROUND(C103-C104,0)</f>
        <v>790693</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1836</v>
      </c>
      <c r="B114" s="382" t="s">
        <v>452</v>
      </c>
      <c r="C114" s="407">
        <f ca="1">IF(C113&lt;=0,0,C113/C104)</f>
        <v>56.595304559444564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1837</v>
      </c>
      <c r="B115" s="387" t="s">
        <v>453</v>
      </c>
      <c r="C115" s="408">
        <f ca="1">ROUND(IF(C113&lt;=0,0,IF(C114&gt;=200%,C113*60%-C104*35%,IF(C114&gt;=100%,C113*50%-C104*15%,IF(C114&gt;=50%,C113*40%-C104*5%,IF(C114&lt;50%,C113*30%,0))))),0)</f>
        <v>469526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I33">
    <cfRule type="expression" dxfId="13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Normal="95" zoomScaleSheetLayoutView="100" workbookViewId="0">
      <selection activeCell="E46" sqref="E46"/>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742972</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1684</v>
      </c>
      <c r="B3" s="510">
        <f>ROUND(B2*10000/'数据-汇总表'!E3,0)</f>
        <v>56104</v>
      </c>
      <c r="C3" s="2046"/>
      <c r="D3" s="2533"/>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61714</v>
      </c>
      <c r="C4" s="2046"/>
      <c r="D4" s="2533"/>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4114</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89" t="s">
        <v>522</v>
      </c>
      <c r="D6" s="3390"/>
      <c r="E6" s="3389" t="s">
        <v>523</v>
      </c>
      <c r="F6" s="3390"/>
      <c r="G6" s="3389" t="s">
        <v>524</v>
      </c>
      <c r="H6" s="3390"/>
      <c r="I6" s="3389" t="s">
        <v>525</v>
      </c>
      <c r="J6" s="3390"/>
      <c r="K6" s="514" t="s">
        <v>526</v>
      </c>
      <c r="L6" s="2118"/>
      <c r="M6" s="2117"/>
      <c r="N6" s="2117"/>
      <c r="O6" s="2119"/>
      <c r="P6" s="3391" t="s">
        <v>527</v>
      </c>
      <c r="Q6" s="3392"/>
      <c r="R6" s="3377" t="s">
        <v>523</v>
      </c>
      <c r="S6" s="3378"/>
      <c r="T6" s="3377" t="s">
        <v>524</v>
      </c>
      <c r="U6" s="3378"/>
      <c r="V6" s="3397" t="s">
        <v>525</v>
      </c>
      <c r="W6" s="3397"/>
      <c r="X6" s="1553"/>
      <c r="Y6" s="3377" t="s">
        <v>527</v>
      </c>
      <c r="Z6" s="3378"/>
      <c r="AA6" s="3372" t="s">
        <v>523</v>
      </c>
      <c r="AB6" s="3373" t="s">
        <v>524</v>
      </c>
      <c r="AC6" s="3372" t="s">
        <v>525</v>
      </c>
    </row>
    <row r="7" spans="1:30" ht="30.75" customHeight="1">
      <c r="A7" s="515"/>
      <c r="B7" s="516"/>
      <c r="C7" s="3400" t="s">
        <v>2920</v>
      </c>
      <c r="D7" s="3401"/>
      <c r="E7" s="3400" t="str">
        <f>案例!$A$8</f>
        <v>北京市朝阳孙河乡北甸西村2902-14地块R2二类居住用地</v>
      </c>
      <c r="F7" s="3401"/>
      <c r="G7" s="3400" t="str">
        <f>案例!$A$9</f>
        <v>北京市朝阳区孙河乡北甸西村、北甸东村、西甸村2902-46地块R2二类居住用地</v>
      </c>
      <c r="H7" s="3401"/>
      <c r="I7" s="3400" t="str">
        <f>案例!$A$12</f>
        <v>北京市朝阳区孙河乡北甸西村、西甸村2902-29地块R2二类居住用地、2902-17地块A8社区综合服务设施用地、2902-15地块A334托幼用地</v>
      </c>
      <c r="J7" s="3401"/>
      <c r="K7" s="514"/>
      <c r="L7" s="2118"/>
      <c r="M7" s="2117"/>
      <c r="N7" s="2117"/>
      <c r="O7" s="2119"/>
      <c r="P7" s="3393"/>
      <c r="Q7" s="3394"/>
      <c r="R7" s="3379"/>
      <c r="S7" s="3380"/>
      <c r="T7" s="3379"/>
      <c r="U7" s="3380"/>
      <c r="V7" s="3397"/>
      <c r="W7" s="3397"/>
      <c r="X7" s="1553"/>
      <c r="Y7" s="3379"/>
      <c r="Z7" s="3380"/>
      <c r="AA7" s="3373"/>
      <c r="AB7" s="3373"/>
      <c r="AC7" s="3373"/>
    </row>
    <row r="8" spans="1:30" ht="21" thickBot="1">
      <c r="A8" s="515"/>
      <c r="B8" s="516"/>
      <c r="C8" s="3402" t="s">
        <v>2924</v>
      </c>
      <c r="D8" s="3403"/>
      <c r="E8" s="3402" t="s">
        <v>2924</v>
      </c>
      <c r="F8" s="3403"/>
      <c r="G8" s="3398" t="s">
        <v>2924</v>
      </c>
      <c r="H8" s="3399"/>
      <c r="I8" s="3398" t="s">
        <v>2924</v>
      </c>
      <c r="J8" s="3399"/>
      <c r="K8" s="514" t="s">
        <v>528</v>
      </c>
      <c r="L8" s="2118"/>
      <c r="M8" s="2117"/>
      <c r="N8" s="2117"/>
      <c r="O8" s="2119"/>
      <c r="P8" s="3395"/>
      <c r="Q8" s="3396"/>
      <c r="R8" s="3379"/>
      <c r="S8" s="3380"/>
      <c r="T8" s="3381"/>
      <c r="U8" s="3382"/>
      <c r="V8" s="3397"/>
      <c r="W8" s="3397"/>
      <c r="X8" s="1553"/>
      <c r="Y8" s="3381"/>
      <c r="Z8" s="3382"/>
      <c r="AA8" s="3374"/>
      <c r="AB8" s="3374"/>
      <c r="AC8" s="3374"/>
    </row>
    <row r="9" spans="1:30" s="1215" customFormat="1" ht="21" thickBot="1">
      <c r="A9" s="2866"/>
      <c r="B9" s="2873" t="s">
        <v>529</v>
      </c>
      <c r="C9" s="2865">
        <f>'数据-取费表'!B2</f>
        <v>43581</v>
      </c>
      <c r="D9" s="520">
        <v>100</v>
      </c>
      <c r="E9" s="521" t="str">
        <f>案例!H8</f>
        <v>2018-01-17</v>
      </c>
      <c r="F9" s="522">
        <f>SUMIF(72:72,YEAR(E9)&amp;"-"&amp;INT((MONTH(E9)+2)/3),73:73)</f>
        <v>97.5</v>
      </c>
      <c r="G9" s="523" t="str">
        <f>案例!H9</f>
        <v>2018-01-04</v>
      </c>
      <c r="H9" s="520">
        <f>SUMIF(72:72,YEAR(G9)&amp;"-"&amp;INT((MONTH(G9)+2)/3),73:73)</f>
        <v>97.5</v>
      </c>
      <c r="I9" s="523" t="str">
        <f>案例!H12</f>
        <v>2017-09-07</v>
      </c>
      <c r="J9" s="520">
        <f>SUMIF(72:72,YEAR(I9)&amp;"-"&amp;INT((MONTH(I9)+2)/3),73:73)</f>
        <v>96.5</v>
      </c>
      <c r="K9" s="524"/>
      <c r="L9" s="2120"/>
      <c r="M9" s="2117"/>
      <c r="N9" s="2117"/>
      <c r="O9" s="2121"/>
      <c r="P9" s="3375" t="s">
        <v>530</v>
      </c>
      <c r="Q9" s="3384"/>
      <c r="R9" s="1554" t="s">
        <v>8</v>
      </c>
      <c r="S9" s="1555">
        <f t="shared" ref="S9:S17" si="0">F9</f>
        <v>97.5</v>
      </c>
      <c r="T9" s="1554" t="s">
        <v>8</v>
      </c>
      <c r="U9" s="1555">
        <f t="shared" ref="U9:U17" si="1">H9</f>
        <v>97.5</v>
      </c>
      <c r="V9" s="1554" t="s">
        <v>8</v>
      </c>
      <c r="W9" s="1555">
        <f t="shared" ref="W9:W17" si="2">J9</f>
        <v>96.5</v>
      </c>
      <c r="X9" s="1556"/>
      <c r="Y9" s="3375" t="s">
        <v>530</v>
      </c>
      <c r="Z9" s="3376"/>
      <c r="AA9" s="1557">
        <f>D9/F9</f>
        <v>1.0256410256410255</v>
      </c>
      <c r="AB9" s="1557">
        <f>D9/H9</f>
        <v>1.0256410256410255</v>
      </c>
      <c r="AC9" s="1557">
        <f>D9/J9</f>
        <v>1.0362694300518134</v>
      </c>
    </row>
    <row r="10" spans="1:30" s="1215" customFormat="1" ht="21" thickBot="1">
      <c r="A10" s="2867"/>
      <c r="B10" s="2874" t="s">
        <v>531</v>
      </c>
      <c r="C10" s="856" t="s">
        <v>532</v>
      </c>
      <c r="D10" s="520">
        <v>100</v>
      </c>
      <c r="E10" s="525" t="s">
        <v>3091</v>
      </c>
      <c r="F10" s="522">
        <f>SUMIF(75:75,E10,76:76)-SUMIF(75:75,C10,76:76)+100</f>
        <v>100</v>
      </c>
      <c r="G10" s="525" t="s">
        <v>3091</v>
      </c>
      <c r="H10" s="520">
        <f>SUMIF(75:75,G10,76:76)-SUMIF(75:75,C10,76:76)+100</f>
        <v>100</v>
      </c>
      <c r="I10" s="525" t="s">
        <v>3091</v>
      </c>
      <c r="J10" s="520">
        <f>SUMIF(75:75,I10,76:76)-SUMIF(75:75,C10,76:76)+100</f>
        <v>100</v>
      </c>
      <c r="K10" s="524"/>
      <c r="L10" s="2120"/>
      <c r="M10" s="2117"/>
      <c r="N10" s="2117"/>
      <c r="O10" s="2121"/>
      <c r="P10" s="3375" t="s">
        <v>533</v>
      </c>
      <c r="Q10" s="3376"/>
      <c r="R10" s="1554" t="s">
        <v>8</v>
      </c>
      <c r="S10" s="1555">
        <f t="shared" si="0"/>
        <v>100</v>
      </c>
      <c r="T10" s="1554" t="s">
        <v>8</v>
      </c>
      <c r="U10" s="1555">
        <f t="shared" si="1"/>
        <v>100</v>
      </c>
      <c r="V10" s="1554" t="s">
        <v>8</v>
      </c>
      <c r="W10" s="1555">
        <f t="shared" si="2"/>
        <v>100</v>
      </c>
      <c r="X10" s="1556"/>
      <c r="Y10" s="3375" t="s">
        <v>533</v>
      </c>
      <c r="Z10" s="3376"/>
      <c r="AA10" s="1557">
        <f t="shared" ref="AA10:AA47" si="3">D10/F10</f>
        <v>1</v>
      </c>
      <c r="AB10" s="1557">
        <f t="shared" ref="AB10:AB47" si="4">D10/H10</f>
        <v>1</v>
      </c>
      <c r="AC10" s="1557">
        <f t="shared" ref="AC10:AC47" si="5">D10/J10</f>
        <v>1</v>
      </c>
    </row>
    <row r="11" spans="1:30" s="1215" customFormat="1" ht="20.25">
      <c r="A11" s="2868"/>
      <c r="B11" s="2875" t="s">
        <v>2755</v>
      </c>
      <c r="C11" s="2862" t="s">
        <v>923</v>
      </c>
      <c r="D11" s="254">
        <v>100</v>
      </c>
      <c r="E11" s="3190" t="s">
        <v>923</v>
      </c>
      <c r="F11" s="254">
        <f>SUMIF(77:77,E11,78:78)-SUMIF(77:77,C11,78:78)+100</f>
        <v>100</v>
      </c>
      <c r="G11" s="3190" t="s">
        <v>923</v>
      </c>
      <c r="H11" s="254">
        <f>SUMIF(77:77,G11,78:78)-SUMIF(77:77,C11,78:78)+100</f>
        <v>100</v>
      </c>
      <c r="I11" s="3190" t="s">
        <v>923</v>
      </c>
      <c r="J11" s="254">
        <f>SUMIF(77:77,I11,78:78)-SUMIF(77:77,C11,78:78)+100</f>
        <v>100</v>
      </c>
      <c r="K11" s="524"/>
      <c r="L11" s="2120"/>
      <c r="M11" s="2117"/>
      <c r="N11" s="2117"/>
      <c r="O11" s="2122"/>
      <c r="P11" s="3383" t="s">
        <v>535</v>
      </c>
      <c r="Q11" s="1146" t="str">
        <f t="shared" ref="Q11:Q17" si="6">B11</f>
        <v>用途</v>
      </c>
      <c r="R11" s="1554" t="s">
        <v>8</v>
      </c>
      <c r="S11" s="1555">
        <f t="shared" si="0"/>
        <v>100</v>
      </c>
      <c r="T11" s="1554" t="s">
        <v>8</v>
      </c>
      <c r="U11" s="1555">
        <f t="shared" si="1"/>
        <v>100</v>
      </c>
      <c r="V11" s="1554" t="s">
        <v>8</v>
      </c>
      <c r="W11" s="1555">
        <f t="shared" si="2"/>
        <v>100</v>
      </c>
      <c r="X11" s="1556"/>
      <c r="Y11" s="3340" t="s">
        <v>536</v>
      </c>
      <c r="Z11" s="1145" t="str">
        <f t="shared" ref="Z11:Z17" si="7">Q11</f>
        <v>用途</v>
      </c>
      <c r="AA11" s="1557">
        <f t="shared" si="3"/>
        <v>1</v>
      </c>
      <c r="AB11" s="1557">
        <f t="shared" si="4"/>
        <v>1</v>
      </c>
      <c r="AC11" s="1557">
        <f t="shared" si="5"/>
        <v>1</v>
      </c>
    </row>
    <row r="12" spans="1:30" s="1333" customFormat="1" ht="27">
      <c r="A12" s="2869"/>
      <c r="B12" s="2874" t="s">
        <v>2756</v>
      </c>
      <c r="C12" s="909"/>
      <c r="D12" s="255">
        <v>100</v>
      </c>
      <c r="E12" s="529"/>
      <c r="F12" s="255">
        <f>ROUND(100/'数据-取费表'!G16,0)</f>
        <v>107</v>
      </c>
      <c r="G12" s="530"/>
      <c r="H12" s="255">
        <f>ROUND(100/'数据-取费表'!G16,0)</f>
        <v>107</v>
      </c>
      <c r="I12" s="530"/>
      <c r="J12" s="255">
        <f>ROUND(100/'数据-取费表'!G16,0)</f>
        <v>107</v>
      </c>
      <c r="K12" s="531"/>
      <c r="L12" s="2123"/>
      <c r="M12" s="2117"/>
      <c r="N12" s="2117"/>
      <c r="O12" s="2124"/>
      <c r="P12" s="3383"/>
      <c r="Q12" s="1146" t="str">
        <f t="shared" si="6"/>
        <v>土地使用年限（年）</v>
      </c>
      <c r="R12" s="1554" t="s">
        <v>8</v>
      </c>
      <c r="S12" s="1555">
        <f t="shared" si="0"/>
        <v>107</v>
      </c>
      <c r="T12" s="1554" t="s">
        <v>8</v>
      </c>
      <c r="U12" s="1555">
        <f t="shared" si="1"/>
        <v>107</v>
      </c>
      <c r="V12" s="1554" t="s">
        <v>8</v>
      </c>
      <c r="W12" s="1555">
        <f t="shared" si="2"/>
        <v>107</v>
      </c>
      <c r="X12" s="1556"/>
      <c r="Y12" s="3340"/>
      <c r="Z12" s="1145" t="str">
        <f t="shared" si="7"/>
        <v>土地使用年限（年）</v>
      </c>
      <c r="AA12" s="1557">
        <f t="shared" si="3"/>
        <v>0.93457943925233644</v>
      </c>
      <c r="AB12" s="1557">
        <f t="shared" si="4"/>
        <v>0.93457943925233644</v>
      </c>
      <c r="AC12" s="1557">
        <f t="shared" si="5"/>
        <v>0.93457943925233644</v>
      </c>
    </row>
    <row r="13" spans="1:30" ht="20.25">
      <c r="A13" s="2870"/>
      <c r="B13" s="2874" t="s">
        <v>2757</v>
      </c>
      <c r="C13" s="534">
        <f>'数据-汇总表'!I4</f>
        <v>1.1000000000000001</v>
      </c>
      <c r="D13" s="255">
        <v>100</v>
      </c>
      <c r="E13" s="533">
        <v>1.1000000000000001</v>
      </c>
      <c r="F13" s="255">
        <f>LOOKUP(E13,82:82,83:83)-LOOKUP(C13,82:82,83:83)+100</f>
        <v>100</v>
      </c>
      <c r="G13" s="534">
        <v>1.1000000000000001</v>
      </c>
      <c r="H13" s="255">
        <f>LOOKUP(G13,82:82,83:83)-LOOKUP(C13,82:82,83:83)+100</f>
        <v>100</v>
      </c>
      <c r="I13" s="533">
        <v>1.1000000000000001</v>
      </c>
      <c r="J13" s="255">
        <f>LOOKUP(I13,82:82,83:83)-LOOKUP(C13,82:82,83:83)+100</f>
        <v>100</v>
      </c>
      <c r="K13" s="535">
        <v>1</v>
      </c>
      <c r="L13" s="2125"/>
      <c r="M13" s="2117"/>
      <c r="N13" s="2117"/>
      <c r="O13" s="2126"/>
      <c r="P13" s="3383"/>
      <c r="Q13" s="1146" t="str">
        <f t="shared" si="6"/>
        <v>容积率</v>
      </c>
      <c r="R13" s="1554" t="s">
        <v>8</v>
      </c>
      <c r="S13" s="1555">
        <f t="shared" si="0"/>
        <v>100</v>
      </c>
      <c r="T13" s="1554" t="s">
        <v>8</v>
      </c>
      <c r="U13" s="1555">
        <f t="shared" si="1"/>
        <v>100</v>
      </c>
      <c r="V13" s="1554" t="s">
        <v>8</v>
      </c>
      <c r="W13" s="1555">
        <f t="shared" si="2"/>
        <v>100</v>
      </c>
      <c r="X13" s="1556"/>
      <c r="Y13" s="3340"/>
      <c r="Z13" s="1145" t="str">
        <f t="shared" si="7"/>
        <v>容积率</v>
      </c>
      <c r="AA13" s="1557">
        <f t="shared" si="3"/>
        <v>1</v>
      </c>
      <c r="AB13" s="1557">
        <f t="shared" si="4"/>
        <v>1</v>
      </c>
      <c r="AC13" s="1557">
        <f t="shared" si="5"/>
        <v>1</v>
      </c>
    </row>
    <row r="14" spans="1:30" s="1215"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83"/>
      <c r="Q14" s="1146" t="str">
        <f t="shared" si="6"/>
        <v>配建</v>
      </c>
      <c r="R14" s="1554" t="s">
        <v>8</v>
      </c>
      <c r="S14" s="1555">
        <f t="shared" si="0"/>
        <v>100</v>
      </c>
      <c r="T14" s="1554" t="s">
        <v>8</v>
      </c>
      <c r="U14" s="1555">
        <f t="shared" si="1"/>
        <v>100</v>
      </c>
      <c r="V14" s="1554" t="s">
        <v>8</v>
      </c>
      <c r="W14" s="1555">
        <f t="shared" si="2"/>
        <v>100</v>
      </c>
      <c r="X14" s="1556"/>
      <c r="Y14" s="3340"/>
      <c r="Z14" s="1145" t="str">
        <f t="shared" si="7"/>
        <v>配建</v>
      </c>
      <c r="AA14" s="1557">
        <f>D14/F14</f>
        <v>1</v>
      </c>
      <c r="AB14" s="1557">
        <f>D14/H14</f>
        <v>1</v>
      </c>
      <c r="AC14" s="1557">
        <f>D14/J14</f>
        <v>1</v>
      </c>
    </row>
    <row r="15" spans="1:30" ht="20.25">
      <c r="A15" s="2871"/>
      <c r="B15" s="2877"/>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3"/>
      <c r="Q15" s="1146">
        <f t="shared" si="6"/>
        <v>0</v>
      </c>
      <c r="R15" s="1554" t="s">
        <v>8</v>
      </c>
      <c r="S15" s="1555">
        <f t="shared" si="0"/>
        <v>100</v>
      </c>
      <c r="T15" s="1554" t="s">
        <v>8</v>
      </c>
      <c r="U15" s="1555">
        <f t="shared" si="1"/>
        <v>100</v>
      </c>
      <c r="V15" s="1554" t="s">
        <v>8</v>
      </c>
      <c r="W15" s="1555">
        <f t="shared" si="2"/>
        <v>100</v>
      </c>
      <c r="X15" s="1556"/>
      <c r="Y15" s="3340"/>
      <c r="Z15" s="1145">
        <f t="shared" si="7"/>
        <v>0</v>
      </c>
      <c r="AA15" s="1557">
        <f>D15/F15</f>
        <v>1</v>
      </c>
      <c r="AB15" s="1557">
        <f>D15/H15</f>
        <v>1</v>
      </c>
      <c r="AC15" s="1557">
        <f>D15/J15</f>
        <v>1</v>
      </c>
    </row>
    <row r="16" spans="1:30" ht="21" thickBot="1">
      <c r="A16" s="2872"/>
      <c r="B16" s="2878"/>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3"/>
      <c r="Q16" s="1146">
        <f t="shared" si="6"/>
        <v>0</v>
      </c>
      <c r="R16" s="1554" t="s">
        <v>8</v>
      </c>
      <c r="S16" s="1555">
        <f t="shared" si="0"/>
        <v>100</v>
      </c>
      <c r="T16" s="1554" t="s">
        <v>8</v>
      </c>
      <c r="U16" s="1555">
        <f t="shared" si="1"/>
        <v>100</v>
      </c>
      <c r="V16" s="1554" t="s">
        <v>8</v>
      </c>
      <c r="W16" s="1555">
        <f t="shared" si="2"/>
        <v>100</v>
      </c>
      <c r="X16" s="1556"/>
      <c r="Y16" s="3340"/>
      <c r="Z16" s="1145">
        <f t="shared" si="7"/>
        <v>0</v>
      </c>
      <c r="AA16" s="1557">
        <f>D16/F16</f>
        <v>1</v>
      </c>
      <c r="AB16" s="1557">
        <f>D16/H16</f>
        <v>1</v>
      </c>
      <c r="AC16" s="1557">
        <f>D16/J16</f>
        <v>1</v>
      </c>
    </row>
    <row r="17" spans="1:29" ht="99.75">
      <c r="A17" s="2864" t="s">
        <v>2753</v>
      </c>
      <c r="B17" s="578" t="s">
        <v>295</v>
      </c>
      <c r="C17" s="548" t="str">
        <f>估价对象房地状况!C15</f>
        <v>估价对象周边居住用地比例较大、居住小区规模和社区发展完善程度较好，综合评价居住社区成熟度较好</v>
      </c>
      <c r="D17" s="551">
        <v>100</v>
      </c>
      <c r="E17" s="552" t="s">
        <v>3122</v>
      </c>
      <c r="F17" s="549">
        <f>SUMIF(90:90,E18,91:91)-SUMIF(90:90,C18,91:91)+100</f>
        <v>100</v>
      </c>
      <c r="G17" s="550" t="s">
        <v>3122</v>
      </c>
      <c r="H17" s="549">
        <f>SUMIF(90:90,G18,91:91)-SUMIF(90:90,C18,91:91)+100</f>
        <v>100</v>
      </c>
      <c r="I17" s="552" t="s">
        <v>3122</v>
      </c>
      <c r="J17" s="549">
        <f>SUMIF(90:90,I18,91:91)-SUMIF(90:90,C18,91:91)+100</f>
        <v>100</v>
      </c>
      <c r="K17" s="535">
        <v>2</v>
      </c>
      <c r="L17" s="2127"/>
      <c r="M17" s="2117"/>
      <c r="N17" s="2117"/>
      <c r="O17" s="2126"/>
      <c r="P17" s="3385" t="s">
        <v>540</v>
      </c>
      <c r="Q17" s="1558" t="str">
        <f t="shared" si="6"/>
        <v>居住社区成熟度</v>
      </c>
      <c r="R17" s="1559" t="s">
        <v>8</v>
      </c>
      <c r="S17" s="1560">
        <f t="shared" si="0"/>
        <v>100</v>
      </c>
      <c r="T17" s="1559" t="s">
        <v>8</v>
      </c>
      <c r="U17" s="1560">
        <f t="shared" si="1"/>
        <v>100</v>
      </c>
      <c r="V17" s="1559" t="s">
        <v>8</v>
      </c>
      <c r="W17" s="1560">
        <f t="shared" si="2"/>
        <v>100</v>
      </c>
      <c r="X17" s="1553"/>
      <c r="Y17" s="3385" t="s">
        <v>540</v>
      </c>
      <c r="Z17" s="1561" t="str">
        <f t="shared" si="7"/>
        <v>居住社区成熟度</v>
      </c>
      <c r="AA17" s="1562">
        <f t="shared" si="3"/>
        <v>1</v>
      </c>
      <c r="AB17" s="1562">
        <f t="shared" si="4"/>
        <v>1</v>
      </c>
      <c r="AC17" s="1562">
        <f t="shared" si="5"/>
        <v>1</v>
      </c>
    </row>
    <row r="18" spans="1:29" ht="20.25">
      <c r="A18" s="532"/>
      <c r="B18" s="553"/>
      <c r="C18" s="554" t="s">
        <v>3112</v>
      </c>
      <c r="D18" s="557"/>
      <c r="E18" s="554" t="s">
        <v>3112</v>
      </c>
      <c r="F18" s="555"/>
      <c r="G18" s="554" t="s">
        <v>3112</v>
      </c>
      <c r="H18" s="559"/>
      <c r="I18" s="554" t="s">
        <v>3112</v>
      </c>
      <c r="J18" s="555"/>
      <c r="K18" s="531"/>
      <c r="L18" s="2127"/>
      <c r="M18" s="2117"/>
      <c r="N18" s="2117"/>
      <c r="O18" s="2126"/>
      <c r="P18" s="3386"/>
      <c r="Q18" s="1558"/>
      <c r="R18" s="1559"/>
      <c r="S18" s="1560"/>
      <c r="T18" s="1559"/>
      <c r="U18" s="1560"/>
      <c r="V18" s="1559"/>
      <c r="W18" s="1560"/>
      <c r="X18" s="1553"/>
      <c r="Y18" s="3386"/>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386"/>
      <c r="Q19" s="1558" t="str">
        <f>B19</f>
        <v>商业繁华度</v>
      </c>
      <c r="R19" s="1559" t="s">
        <v>8</v>
      </c>
      <c r="S19" s="1560">
        <f>F19</f>
        <v>100</v>
      </c>
      <c r="T19" s="1559" t="s">
        <v>8</v>
      </c>
      <c r="U19" s="1560">
        <f>H19</f>
        <v>100</v>
      </c>
      <c r="V19" s="1559" t="s">
        <v>8</v>
      </c>
      <c r="W19" s="1560">
        <f>J19</f>
        <v>100</v>
      </c>
      <c r="X19" s="1553"/>
      <c r="Y19" s="3386"/>
      <c r="Z19" s="1561" t="str">
        <f>Q19</f>
        <v>商业繁华度</v>
      </c>
      <c r="AA19" s="1562">
        <f t="shared" si="3"/>
        <v>1</v>
      </c>
      <c r="AB19" s="1562">
        <f t="shared" si="4"/>
        <v>1</v>
      </c>
      <c r="AC19" s="1562">
        <f t="shared" si="5"/>
        <v>1</v>
      </c>
    </row>
    <row r="20" spans="1:29" ht="20.25" hidden="1">
      <c r="A20" s="532"/>
      <c r="B20" s="566"/>
      <c r="C20" s="554" t="s">
        <v>3112</v>
      </c>
      <c r="D20" s="563"/>
      <c r="E20" s="554" t="s">
        <v>3112</v>
      </c>
      <c r="F20" s="559"/>
      <c r="G20" s="554" t="s">
        <v>3112</v>
      </c>
      <c r="H20" s="555"/>
      <c r="I20" s="554" t="s">
        <v>3112</v>
      </c>
      <c r="J20" s="555"/>
      <c r="K20" s="531"/>
      <c r="L20" s="2127"/>
      <c r="M20" s="2117"/>
      <c r="N20" s="2117"/>
      <c r="O20" s="2126"/>
      <c r="P20" s="3386"/>
      <c r="Q20" s="1558"/>
      <c r="R20" s="1559"/>
      <c r="S20" s="1560"/>
      <c r="T20" s="1559"/>
      <c r="U20" s="1560"/>
      <c r="V20" s="1559"/>
      <c r="W20" s="1560"/>
      <c r="X20" s="1553"/>
      <c r="Y20" s="3386"/>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1</v>
      </c>
      <c r="L21" s="2127"/>
      <c r="M21" s="2117"/>
      <c r="N21" s="2117"/>
      <c r="O21" s="2126"/>
      <c r="P21" s="3386"/>
      <c r="Q21" s="1558" t="str">
        <f>B21</f>
        <v>办公集聚程度</v>
      </c>
      <c r="R21" s="1559" t="s">
        <v>8</v>
      </c>
      <c r="S21" s="1560">
        <f>F21</f>
        <v>100</v>
      </c>
      <c r="T21" s="1559" t="s">
        <v>8</v>
      </c>
      <c r="U21" s="1560">
        <f>H21</f>
        <v>100</v>
      </c>
      <c r="V21" s="1559" t="s">
        <v>8</v>
      </c>
      <c r="W21" s="1560">
        <f>J21</f>
        <v>100</v>
      </c>
      <c r="X21" s="1553"/>
      <c r="Y21" s="3386"/>
      <c r="Z21" s="1561" t="str">
        <f>Q21</f>
        <v>办公集聚程度</v>
      </c>
      <c r="AA21" s="1562">
        <f t="shared" si="3"/>
        <v>1</v>
      </c>
      <c r="AB21" s="1562">
        <f t="shared" si="4"/>
        <v>1</v>
      </c>
      <c r="AC21" s="1562">
        <f t="shared" si="5"/>
        <v>1</v>
      </c>
    </row>
    <row r="22" spans="1:29" ht="20.25" hidden="1">
      <c r="A22" s="532"/>
      <c r="B22" s="566"/>
      <c r="C22" s="554" t="s">
        <v>3112</v>
      </c>
      <c r="D22" s="557"/>
      <c r="E22" s="554" t="s">
        <v>3112</v>
      </c>
      <c r="F22" s="555"/>
      <c r="G22" s="554" t="s">
        <v>3112</v>
      </c>
      <c r="H22" s="555"/>
      <c r="I22" s="554" t="s">
        <v>3112</v>
      </c>
      <c r="J22" s="555"/>
      <c r="K22" s="531"/>
      <c r="L22" s="2127"/>
      <c r="M22" s="2117"/>
      <c r="N22" s="2117"/>
      <c r="O22" s="2126"/>
      <c r="P22" s="3386"/>
      <c r="Q22" s="1558"/>
      <c r="R22" s="1559"/>
      <c r="S22" s="1560"/>
      <c r="T22" s="1559"/>
      <c r="U22" s="1560"/>
      <c r="V22" s="1559"/>
      <c r="W22" s="1560"/>
      <c r="X22" s="1553"/>
      <c r="Y22" s="3386"/>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3199" t="s">
        <v>3175</v>
      </c>
      <c r="F23" s="565">
        <f>SUMIF(96:96,E24,97:97)-SUMIF(96:96,C24,97:97)+100</f>
        <v>99</v>
      </c>
      <c r="G23" s="3199" t="s">
        <v>3175</v>
      </c>
      <c r="H23" s="559">
        <f>SUMIF(96:96,G24,97:97)-SUMIF(96:96,C24,97:97)+100</f>
        <v>99</v>
      </c>
      <c r="I23" s="3199" t="s">
        <v>3175</v>
      </c>
      <c r="J23" s="559">
        <f>SUMIF(96:96,I24,97:97)-SUMIF(96:96,C24,97:97)+100</f>
        <v>99</v>
      </c>
      <c r="K23" s="535">
        <v>1</v>
      </c>
      <c r="L23" s="2127"/>
      <c r="M23" s="2117"/>
      <c r="N23" s="2117"/>
      <c r="O23" s="2126"/>
      <c r="P23" s="3386"/>
      <c r="Q23" s="1558" t="str">
        <f>B23</f>
        <v>交通便捷度</v>
      </c>
      <c r="R23" s="1559" t="s">
        <v>8</v>
      </c>
      <c r="S23" s="1560">
        <f>F23</f>
        <v>99</v>
      </c>
      <c r="T23" s="1559" t="s">
        <v>8</v>
      </c>
      <c r="U23" s="1560">
        <f>H23</f>
        <v>99</v>
      </c>
      <c r="V23" s="1559" t="s">
        <v>8</v>
      </c>
      <c r="W23" s="1560">
        <f>J23</f>
        <v>99</v>
      </c>
      <c r="X23" s="1553"/>
      <c r="Y23" s="3386"/>
      <c r="Z23" s="1561" t="str">
        <f>Q23</f>
        <v>交通便捷度</v>
      </c>
      <c r="AA23" s="1562">
        <f t="shared" si="3"/>
        <v>1.0101010101010102</v>
      </c>
      <c r="AB23" s="1562">
        <f t="shared" si="4"/>
        <v>1.0101010101010102</v>
      </c>
      <c r="AC23" s="1562">
        <f t="shared" si="5"/>
        <v>1.0101010101010102</v>
      </c>
    </row>
    <row r="24" spans="1:29" ht="20.25">
      <c r="A24" s="532"/>
      <c r="B24" s="578"/>
      <c r="C24" s="554" t="s">
        <v>3112</v>
      </c>
      <c r="D24" s="557"/>
      <c r="E24" s="554" t="s">
        <v>3124</v>
      </c>
      <c r="F24" s="555"/>
      <c r="G24" s="554" t="s">
        <v>3124</v>
      </c>
      <c r="H24" s="555"/>
      <c r="I24" s="554" t="s">
        <v>3124</v>
      </c>
      <c r="J24" s="555"/>
      <c r="K24" s="531"/>
      <c r="L24" s="2127"/>
      <c r="M24" s="2117"/>
      <c r="N24" s="2117"/>
      <c r="O24" s="2126"/>
      <c r="P24" s="3386"/>
      <c r="Q24" s="1558"/>
      <c r="R24" s="1559"/>
      <c r="S24" s="1560"/>
      <c r="T24" s="1559"/>
      <c r="U24" s="1560"/>
      <c r="V24" s="1559"/>
      <c r="W24" s="1560"/>
      <c r="X24" s="1553"/>
      <c r="Y24" s="3386"/>
      <c r="Z24" s="1561"/>
      <c r="AA24" s="1562">
        <v>1</v>
      </c>
      <c r="AB24" s="1562">
        <v>1</v>
      </c>
      <c r="AC24" s="1562">
        <v>1</v>
      </c>
    </row>
    <row r="25" spans="1:29" ht="27">
      <c r="A25" s="515"/>
      <c r="B25" s="259" t="s">
        <v>544</v>
      </c>
      <c r="C25" s="573" t="str">
        <f>估价对象房地状况!C19</f>
        <v>较一致</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386"/>
      <c r="Q25" s="1558" t="str">
        <f t="shared" ref="Q25:Q39" si="8">B25</f>
        <v>区域土地利用方向</v>
      </c>
      <c r="R25" s="1559" t="s">
        <v>8</v>
      </c>
      <c r="S25" s="1560">
        <f>F25</f>
        <v>100</v>
      </c>
      <c r="T25" s="1559" t="s">
        <v>8</v>
      </c>
      <c r="U25" s="1560">
        <f>H25</f>
        <v>100</v>
      </c>
      <c r="V25" s="1559" t="s">
        <v>8</v>
      </c>
      <c r="W25" s="1560">
        <f>J25</f>
        <v>100</v>
      </c>
      <c r="X25" s="1553"/>
      <c r="Y25" s="3386"/>
      <c r="Z25" s="1561" t="str">
        <f>Q25</f>
        <v>区域土地利用方向</v>
      </c>
      <c r="AA25" s="1562">
        <f t="shared" si="3"/>
        <v>1</v>
      </c>
      <c r="AB25" s="1562">
        <f t="shared" si="4"/>
        <v>1</v>
      </c>
      <c r="AC25" s="1562">
        <f t="shared" si="5"/>
        <v>1</v>
      </c>
    </row>
    <row r="26" spans="1:29" ht="20.25">
      <c r="A26" s="515"/>
      <c r="B26" s="1006"/>
      <c r="C26" s="554" t="s">
        <v>3112</v>
      </c>
      <c r="D26" s="557"/>
      <c r="E26" s="554" t="s">
        <v>3112</v>
      </c>
      <c r="F26" s="555"/>
      <c r="G26" s="554" t="s">
        <v>3112</v>
      </c>
      <c r="H26" s="555"/>
      <c r="I26" s="554" t="s">
        <v>3112</v>
      </c>
      <c r="J26" s="555"/>
      <c r="K26" s="531"/>
      <c r="L26" s="2127"/>
      <c r="M26" s="2117"/>
      <c r="N26" s="2117"/>
      <c r="O26" s="2126"/>
      <c r="P26" s="3386"/>
      <c r="Q26" s="1558"/>
      <c r="R26" s="1559"/>
      <c r="S26" s="1560"/>
      <c r="T26" s="1559"/>
      <c r="U26" s="1560"/>
      <c r="V26" s="1559"/>
      <c r="W26" s="1560"/>
      <c r="X26" s="1553"/>
      <c r="Y26" s="3386"/>
      <c r="Z26" s="1561"/>
      <c r="AA26" s="1562"/>
      <c r="AB26" s="1562"/>
      <c r="AC26" s="1562"/>
    </row>
    <row r="27" spans="1:29" ht="57">
      <c r="A27" s="515"/>
      <c r="B27" s="578" t="s">
        <v>545</v>
      </c>
      <c r="C27" s="561" t="str">
        <f>估价对象房地状况!C20</f>
        <v>区域自然环境较好；人文环境一般；综合评价环境状况较好</v>
      </c>
      <c r="D27" s="563">
        <v>100</v>
      </c>
      <c r="E27" s="564" t="s">
        <v>3169</v>
      </c>
      <c r="F27" s="559">
        <f>SUMIF(100:100,E28,101:101)-SUMIF(100:100,C28,101:101)+100</f>
        <v>100</v>
      </c>
      <c r="G27" s="564" t="s">
        <v>3169</v>
      </c>
      <c r="H27" s="559">
        <f>SUMIF(100:100,G28,101:101)-SUMIF(100:100,C28,101:101)+100</f>
        <v>100</v>
      </c>
      <c r="I27" s="564" t="s">
        <v>3169</v>
      </c>
      <c r="J27" s="559">
        <f>SUMIF(100:100,I28,101:101)-SUMIF(100:100,C28,101:101)+100</f>
        <v>100</v>
      </c>
      <c r="K27" s="535">
        <v>1</v>
      </c>
      <c r="L27" s="2127"/>
      <c r="M27" s="2117"/>
      <c r="N27" s="2117"/>
      <c r="O27" s="2126"/>
      <c r="P27" s="3386"/>
      <c r="Q27" s="1558" t="str">
        <f t="shared" si="8"/>
        <v>自然及人文环境状况</v>
      </c>
      <c r="R27" s="1559" t="s">
        <v>8</v>
      </c>
      <c r="S27" s="1560">
        <f>F27</f>
        <v>100</v>
      </c>
      <c r="T27" s="1559" t="s">
        <v>8</v>
      </c>
      <c r="U27" s="1560">
        <f>H27</f>
        <v>100</v>
      </c>
      <c r="V27" s="1559" t="s">
        <v>8</v>
      </c>
      <c r="W27" s="1560">
        <f>J27</f>
        <v>100</v>
      </c>
      <c r="X27" s="1553"/>
      <c r="Y27" s="3386"/>
      <c r="Z27" s="1561" t="str">
        <f>Q27</f>
        <v>自然及人文环境状况</v>
      </c>
      <c r="AA27" s="1562">
        <f t="shared" si="3"/>
        <v>1</v>
      </c>
      <c r="AB27" s="1562">
        <f t="shared" si="4"/>
        <v>1</v>
      </c>
      <c r="AC27" s="1562">
        <f t="shared" si="5"/>
        <v>1</v>
      </c>
    </row>
    <row r="28" spans="1:29" ht="20.25">
      <c r="A28" s="515"/>
      <c r="B28" s="566"/>
      <c r="C28" s="554" t="s">
        <v>3112</v>
      </c>
      <c r="D28" s="557"/>
      <c r="E28" s="554" t="s">
        <v>3112</v>
      </c>
      <c r="F28" s="555"/>
      <c r="G28" s="554" t="s">
        <v>3112</v>
      </c>
      <c r="H28" s="555"/>
      <c r="I28" s="554" t="s">
        <v>3112</v>
      </c>
      <c r="J28" s="555"/>
      <c r="K28" s="531"/>
      <c r="L28" s="2127"/>
      <c r="M28" s="2117"/>
      <c r="N28" s="2117"/>
      <c r="O28" s="2126"/>
      <c r="P28" s="3386"/>
      <c r="Q28" s="1558"/>
      <c r="R28" s="1559"/>
      <c r="S28" s="1560"/>
      <c r="T28" s="1559"/>
      <c r="U28" s="1560"/>
      <c r="V28" s="1559"/>
      <c r="W28" s="1560"/>
      <c r="X28" s="1553"/>
      <c r="Y28" s="3386"/>
      <c r="Z28" s="1561"/>
      <c r="AA28" s="1562">
        <v>1</v>
      </c>
      <c r="AB28" s="1562">
        <v>1</v>
      </c>
      <c r="AC28" s="1562">
        <v>1</v>
      </c>
    </row>
    <row r="29" spans="1:29" s="1215" customFormat="1" ht="42.75">
      <c r="A29" s="577"/>
      <c r="B29" s="2554" t="s">
        <v>2547</v>
      </c>
      <c r="C29" s="573" t="str">
        <f>估价对象房地状况!C21</f>
        <v>估价对象所在区域公共配套设施较齐备</v>
      </c>
      <c r="D29" s="563">
        <v>100</v>
      </c>
      <c r="E29" s="564" t="s">
        <v>3118</v>
      </c>
      <c r="F29" s="559">
        <f>SUMIF(102:102,E30,103:103)-SUMIF(102:102,C30,103:103)+100</f>
        <v>100</v>
      </c>
      <c r="G29" s="562" t="s">
        <v>3118</v>
      </c>
      <c r="H29" s="559">
        <f>SUMIF(102:102,G30,103:103)-SUMIF(102:102,C30,103:103)+100</f>
        <v>100</v>
      </c>
      <c r="I29" s="564" t="s">
        <v>3118</v>
      </c>
      <c r="J29" s="559">
        <f>SUMIF(102:102,I30,103:103)-SUMIF(102:102,C30,103:103)+100</f>
        <v>100</v>
      </c>
      <c r="K29" s="535"/>
      <c r="L29" s="2120"/>
      <c r="M29" s="2117"/>
      <c r="N29" s="2117"/>
      <c r="O29" s="2122"/>
      <c r="P29" s="3386"/>
      <c r="Q29" s="1146" t="str">
        <f t="shared" si="8"/>
        <v>公共配套设施</v>
      </c>
      <c r="R29" s="1554" t="s">
        <v>8</v>
      </c>
      <c r="S29" s="1555">
        <f>F29</f>
        <v>100</v>
      </c>
      <c r="T29" s="1554" t="s">
        <v>8</v>
      </c>
      <c r="U29" s="1555">
        <f>H29</f>
        <v>100</v>
      </c>
      <c r="V29" s="1554" t="s">
        <v>8</v>
      </c>
      <c r="W29" s="1555">
        <f>J29</f>
        <v>100</v>
      </c>
      <c r="X29" s="1556"/>
      <c r="Y29" s="3386"/>
      <c r="Z29" s="1145" t="str">
        <f>Q29</f>
        <v>公共配套设施</v>
      </c>
      <c r="AA29" s="1562">
        <f>D29/F29</f>
        <v>1</v>
      </c>
      <c r="AB29" s="1562">
        <f>D29/H29</f>
        <v>1</v>
      </c>
      <c r="AC29" s="1562">
        <f>D29/J29</f>
        <v>1</v>
      </c>
    </row>
    <row r="30" spans="1:29" s="1215" customFormat="1" ht="20.25">
      <c r="A30" s="577"/>
      <c r="B30" s="566"/>
      <c r="C30" s="579" t="s">
        <v>3112</v>
      </c>
      <c r="D30" s="557"/>
      <c r="E30" s="579" t="s">
        <v>3112</v>
      </c>
      <c r="F30" s="555"/>
      <c r="G30" s="579" t="s">
        <v>3112</v>
      </c>
      <c r="H30" s="555"/>
      <c r="I30" s="579" t="s">
        <v>3112</v>
      </c>
      <c r="J30" s="555"/>
      <c r="K30" s="531"/>
      <c r="L30" s="2120"/>
      <c r="M30" s="2117"/>
      <c r="N30" s="2117"/>
      <c r="O30" s="2122"/>
      <c r="P30" s="3386"/>
      <c r="Q30" s="1146"/>
      <c r="R30" s="1554"/>
      <c r="S30" s="1555"/>
      <c r="T30" s="1554"/>
      <c r="U30" s="1555"/>
      <c r="V30" s="1554"/>
      <c r="W30" s="1555"/>
      <c r="X30" s="1556"/>
      <c r="Y30" s="3386"/>
      <c r="Z30" s="1145"/>
      <c r="AA30" s="1562">
        <v>1</v>
      </c>
      <c r="AB30" s="1562">
        <v>1</v>
      </c>
      <c r="AC30" s="1562">
        <v>1</v>
      </c>
    </row>
    <row r="31" spans="1:29" s="1215" customFormat="1" ht="42.75">
      <c r="A31" s="577"/>
      <c r="B31" s="2554" t="s">
        <v>2548</v>
      </c>
      <c r="C31" s="573" t="str">
        <f>估价对象房地状况!C22</f>
        <v>估价对象所在区域基础设施水平较高</v>
      </c>
      <c r="D31" s="563">
        <v>100</v>
      </c>
      <c r="E31" s="564" t="s">
        <v>3120</v>
      </c>
      <c r="F31" s="559">
        <f>SUMIF(104:104,E32,105:105)-SUMIF(104:104,C32,105:105)+100</f>
        <v>100</v>
      </c>
      <c r="G31" s="564" t="s">
        <v>3120</v>
      </c>
      <c r="H31" s="559">
        <f>SUMIF(104:104,G32,105:105)-SUMIF(104:104,C32,105:105)+100</f>
        <v>100</v>
      </c>
      <c r="I31" s="564" t="s">
        <v>3120</v>
      </c>
      <c r="J31" s="559">
        <f>SUMIF(104:104,I32,105:105)-SUMIF(104:104,C32,105:105)+100</f>
        <v>100</v>
      </c>
      <c r="K31" s="535">
        <v>1</v>
      </c>
      <c r="L31" s="2120"/>
      <c r="M31" s="2117"/>
      <c r="N31" s="2117"/>
      <c r="O31" s="2122"/>
      <c r="P31" s="3386"/>
      <c r="Q31" s="2541" t="str">
        <f t="shared" ref="Q31" si="9">B31</f>
        <v>基础设施水平</v>
      </c>
      <c r="R31" s="1554" t="s">
        <v>8</v>
      </c>
      <c r="S31" s="1555">
        <f>F31</f>
        <v>100</v>
      </c>
      <c r="T31" s="1554" t="s">
        <v>8</v>
      </c>
      <c r="U31" s="1555">
        <f>H31</f>
        <v>100</v>
      </c>
      <c r="V31" s="1554" t="s">
        <v>8</v>
      </c>
      <c r="W31" s="1555">
        <f>J31</f>
        <v>100</v>
      </c>
      <c r="X31" s="1556"/>
      <c r="Y31" s="3386"/>
      <c r="Z31" s="2538" t="str">
        <f>Q31</f>
        <v>基础设施水平</v>
      </c>
      <c r="AA31" s="1562">
        <f>D31/F31</f>
        <v>1</v>
      </c>
      <c r="AB31" s="1562">
        <f>D31/H31</f>
        <v>1</v>
      </c>
      <c r="AC31" s="1562">
        <f>D31/J31</f>
        <v>1</v>
      </c>
    </row>
    <row r="32" spans="1:29" s="1215" customFormat="1" ht="20.25">
      <c r="A32" s="577"/>
      <c r="B32" s="566"/>
      <c r="C32" s="579" t="s">
        <v>3137</v>
      </c>
      <c r="D32" s="557"/>
      <c r="E32" s="579" t="s">
        <v>3137</v>
      </c>
      <c r="F32" s="555"/>
      <c r="G32" s="579" t="s">
        <v>3137</v>
      </c>
      <c r="H32" s="555"/>
      <c r="I32" s="579" t="s">
        <v>3137</v>
      </c>
      <c r="J32" s="555"/>
      <c r="K32" s="531"/>
      <c r="L32" s="2120"/>
      <c r="M32" s="2117"/>
      <c r="N32" s="2117"/>
      <c r="O32" s="2122"/>
      <c r="P32" s="3386"/>
      <c r="Q32" s="2541"/>
      <c r="R32" s="1554"/>
      <c r="S32" s="1555"/>
      <c r="T32" s="1554"/>
      <c r="U32" s="1555"/>
      <c r="V32" s="1554"/>
      <c r="W32" s="1555"/>
      <c r="X32" s="1556"/>
      <c r="Y32" s="3386"/>
      <c r="Z32" s="2538"/>
      <c r="AA32" s="1562">
        <v>1</v>
      </c>
      <c r="AB32" s="1562">
        <v>1</v>
      </c>
      <c r="AC32" s="1562">
        <v>1</v>
      </c>
    </row>
    <row r="33" spans="1:29" ht="20.25">
      <c r="A33" s="532"/>
      <c r="B33" s="3197" t="s">
        <v>3142</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38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6"/>
      <c r="Z33" s="1561" t="str">
        <f t="shared" ref="Z33:Z47" si="13">Q33</f>
        <v>临街状况</v>
      </c>
      <c r="AA33" s="1562">
        <f t="shared" si="3"/>
        <v>1</v>
      </c>
      <c r="AB33" s="1562">
        <f t="shared" si="4"/>
        <v>1</v>
      </c>
      <c r="AC33" s="1562">
        <f t="shared" si="5"/>
        <v>1</v>
      </c>
    </row>
    <row r="34" spans="1:29" ht="27">
      <c r="A34" s="532"/>
      <c r="B34" s="3198" t="s">
        <v>3143</v>
      </c>
      <c r="C34" s="562"/>
      <c r="D34" s="563">
        <v>100</v>
      </c>
      <c r="E34" s="564"/>
      <c r="F34" s="559">
        <f>SUMIF(108:108,E35,109:109)-SUMIF(108:108,C35,109:109)+100</f>
        <v>99</v>
      </c>
      <c r="G34" s="562"/>
      <c r="H34" s="559">
        <f>SUMIF(108:108,G35,109:109)-SUMIF(108:108,C35,109:109)+100</f>
        <v>99</v>
      </c>
      <c r="I34" s="564"/>
      <c r="J34" s="559">
        <f>SUMIF(108:108,I35,109:109)-SUMIF(108:108,C35,109:109)+100</f>
        <v>99</v>
      </c>
      <c r="K34" s="535">
        <v>1</v>
      </c>
      <c r="L34" s="2127"/>
      <c r="M34" s="2117"/>
      <c r="N34" s="2117"/>
      <c r="O34" s="2126"/>
      <c r="P34" s="3386"/>
      <c r="Q34" s="1558" t="str">
        <f t="shared" si="8"/>
        <v>毗邻道路的类型与等级</v>
      </c>
      <c r="R34" s="1559" t="s">
        <v>8</v>
      </c>
      <c r="S34" s="1560">
        <f t="shared" si="10"/>
        <v>99</v>
      </c>
      <c r="T34" s="1559" t="s">
        <v>8</v>
      </c>
      <c r="U34" s="1560">
        <f t="shared" si="11"/>
        <v>99</v>
      </c>
      <c r="V34" s="1559" t="s">
        <v>8</v>
      </c>
      <c r="W34" s="1560">
        <f t="shared" si="12"/>
        <v>99</v>
      </c>
      <c r="X34" s="1553"/>
      <c r="Y34" s="3386"/>
      <c r="Z34" s="1561" t="str">
        <f t="shared" si="13"/>
        <v>毗邻道路的类型与等级</v>
      </c>
      <c r="AA34" s="1562">
        <f t="shared" si="3"/>
        <v>1.0101010101010102</v>
      </c>
      <c r="AB34" s="1562">
        <f t="shared" si="4"/>
        <v>1.0101010101010102</v>
      </c>
      <c r="AC34" s="1562">
        <f t="shared" si="5"/>
        <v>1.0101010101010102</v>
      </c>
    </row>
    <row r="35" spans="1:29" ht="20.25">
      <c r="A35" s="532"/>
      <c r="B35" s="566"/>
      <c r="C35" s="554" t="s">
        <v>3173</v>
      </c>
      <c r="D35" s="557"/>
      <c r="E35" s="576" t="s">
        <v>3174</v>
      </c>
      <c r="F35" s="555"/>
      <c r="G35" s="576" t="s">
        <v>3174</v>
      </c>
      <c r="H35" s="555"/>
      <c r="I35" s="576" t="s">
        <v>3174</v>
      </c>
      <c r="J35" s="555"/>
      <c r="K35" s="581"/>
      <c r="L35" s="2127"/>
      <c r="M35" s="2117"/>
      <c r="N35" s="2117"/>
      <c r="O35" s="2126"/>
      <c r="P35" s="3386"/>
      <c r="Q35" s="1558"/>
      <c r="R35" s="1559"/>
      <c r="S35" s="1560"/>
      <c r="T35" s="1559"/>
      <c r="U35" s="1560"/>
      <c r="V35" s="1559"/>
      <c r="W35" s="1560"/>
      <c r="X35" s="1553"/>
      <c r="Y35" s="3386"/>
      <c r="Z35" s="1561"/>
      <c r="AA35" s="1562">
        <v>1</v>
      </c>
      <c r="AB35" s="1562">
        <v>1</v>
      </c>
      <c r="AC35" s="1562">
        <v>1</v>
      </c>
    </row>
    <row r="36" spans="1:29" ht="20.25">
      <c r="A36" s="532"/>
      <c r="B36" s="582" t="s">
        <v>549</v>
      </c>
      <c r="C36" s="580" t="s">
        <v>952</v>
      </c>
      <c r="D36" s="575">
        <v>100</v>
      </c>
      <c r="E36" s="580" t="s">
        <v>952</v>
      </c>
      <c r="F36" s="540">
        <f>SUMIF(110:110,E36,111:111)-SUMIF(110:110,C36,111:111)+100</f>
        <v>100</v>
      </c>
      <c r="G36" s="580" t="s">
        <v>952</v>
      </c>
      <c r="H36" s="540">
        <f>SUMIF(110:110,G36,111:111)-SUMIF(110:110,C36,111:111)+100</f>
        <v>100</v>
      </c>
      <c r="I36" s="580" t="s">
        <v>952</v>
      </c>
      <c r="J36" s="540">
        <f>SUMIF(110:110,I36,111:111)-SUMIF(110:110,C36,111:111)+100</f>
        <v>100</v>
      </c>
      <c r="K36" s="584">
        <v>1</v>
      </c>
      <c r="L36" s="2127"/>
      <c r="M36" s="2117"/>
      <c r="N36" s="2117"/>
      <c r="O36" s="2126"/>
      <c r="P36" s="3386"/>
      <c r="Q36" s="1558" t="str">
        <f t="shared" si="8"/>
        <v>土地级别</v>
      </c>
      <c r="R36" s="1559" t="s">
        <v>8</v>
      </c>
      <c r="S36" s="1560">
        <f t="shared" si="10"/>
        <v>100</v>
      </c>
      <c r="T36" s="1559" t="s">
        <v>8</v>
      </c>
      <c r="U36" s="1560">
        <f t="shared" si="11"/>
        <v>100</v>
      </c>
      <c r="V36" s="1559" t="s">
        <v>8</v>
      </c>
      <c r="W36" s="1560">
        <f t="shared" si="12"/>
        <v>100</v>
      </c>
      <c r="X36" s="1553"/>
      <c r="Y36" s="3386"/>
      <c r="Z36" s="1561" t="str">
        <f t="shared" si="13"/>
        <v>土地级别</v>
      </c>
      <c r="AA36" s="1562">
        <f t="shared" si="3"/>
        <v>1</v>
      </c>
      <c r="AB36" s="1562">
        <f t="shared" si="4"/>
        <v>1</v>
      </c>
      <c r="AC36" s="1562">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6"/>
      <c r="Q37" s="1558">
        <f t="shared" si="8"/>
        <v>0</v>
      </c>
      <c r="R37" s="1559" t="s">
        <v>8</v>
      </c>
      <c r="S37" s="1560">
        <f t="shared" si="10"/>
        <v>100</v>
      </c>
      <c r="T37" s="1559" t="s">
        <v>8</v>
      </c>
      <c r="U37" s="1560">
        <f t="shared" si="11"/>
        <v>100</v>
      </c>
      <c r="V37" s="1559" t="s">
        <v>8</v>
      </c>
      <c r="W37" s="1560">
        <f t="shared" si="12"/>
        <v>100</v>
      </c>
      <c r="X37" s="1553"/>
      <c r="Y37" s="3386"/>
      <c r="Z37" s="1561">
        <f t="shared" si="13"/>
        <v>0</v>
      </c>
      <c r="AA37" s="1562">
        <f t="shared" si="3"/>
        <v>1</v>
      </c>
      <c r="AB37" s="1562">
        <f t="shared" si="4"/>
        <v>1</v>
      </c>
      <c r="AC37" s="1562">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7" t="s">
        <v>550</v>
      </c>
      <c r="Q38" s="1558">
        <f t="shared" si="8"/>
        <v>0</v>
      </c>
      <c r="R38" s="1559" t="s">
        <v>8</v>
      </c>
      <c r="S38" s="1560">
        <f t="shared" si="10"/>
        <v>100</v>
      </c>
      <c r="T38" s="1559" t="s">
        <v>8</v>
      </c>
      <c r="U38" s="1560">
        <f t="shared" si="11"/>
        <v>100</v>
      </c>
      <c r="V38" s="1559" t="s">
        <v>8</v>
      </c>
      <c r="W38" s="1560">
        <f t="shared" si="12"/>
        <v>100</v>
      </c>
      <c r="X38" s="1553"/>
      <c r="Y38" s="3388" t="s">
        <v>550</v>
      </c>
      <c r="Z38" s="1561">
        <f t="shared" si="13"/>
        <v>0</v>
      </c>
      <c r="AA38" s="1562">
        <f t="shared" si="3"/>
        <v>1</v>
      </c>
      <c r="AB38" s="1562">
        <f t="shared" si="4"/>
        <v>1</v>
      </c>
      <c r="AC38" s="1562">
        <f t="shared" si="5"/>
        <v>1</v>
      </c>
    </row>
    <row r="39" spans="1:29" s="1334"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8"/>
      <c r="Q39" s="1558">
        <f t="shared" si="8"/>
        <v>0</v>
      </c>
      <c r="R39" s="1563" t="s">
        <v>8</v>
      </c>
      <c r="S39" s="1564">
        <f t="shared" si="10"/>
        <v>100</v>
      </c>
      <c r="T39" s="1563" t="s">
        <v>8</v>
      </c>
      <c r="U39" s="1564">
        <f t="shared" si="11"/>
        <v>100</v>
      </c>
      <c r="V39" s="1563" t="s">
        <v>8</v>
      </c>
      <c r="W39" s="1564">
        <f t="shared" si="12"/>
        <v>100</v>
      </c>
      <c r="X39" s="1565"/>
      <c r="Y39" s="3388"/>
      <c r="Z39" s="1566">
        <f t="shared" si="13"/>
        <v>0</v>
      </c>
      <c r="AA39" s="1562">
        <f t="shared" si="3"/>
        <v>1</v>
      </c>
      <c r="AB39" s="1562">
        <f t="shared" si="4"/>
        <v>1</v>
      </c>
      <c r="AC39" s="1562">
        <f t="shared" si="5"/>
        <v>1</v>
      </c>
    </row>
    <row r="40" spans="1:29" ht="20.25">
      <c r="A40" s="2861" t="s">
        <v>2754</v>
      </c>
      <c r="B40" s="595" t="s">
        <v>552</v>
      </c>
      <c r="C40" s="596">
        <f>'数据-基础表'!A3</f>
        <v>120388.78</v>
      </c>
      <c r="D40" s="597">
        <v>100</v>
      </c>
      <c r="E40" s="596">
        <f>案例!$D$8</f>
        <v>53525.81</v>
      </c>
      <c r="F40" s="597">
        <f>LOOKUP(E40,119:119,120:120)-LOOKUP(C40,119:119,120:120)+100</f>
        <v>98</v>
      </c>
      <c r="G40" s="596">
        <f>案例!$D$9</f>
        <v>90394.02</v>
      </c>
      <c r="H40" s="597">
        <f>LOOKUP(G40,119:119,120:120)-LOOKUP(C40,119:119,120:120)+100</f>
        <v>99</v>
      </c>
      <c r="I40" s="598">
        <f>案例!$D$12</f>
        <v>99921.81</v>
      </c>
      <c r="J40" s="597">
        <f>LOOKUP(I40,119:119,120:120)-LOOKUP(C40,119:119,120:120)+100</f>
        <v>99</v>
      </c>
      <c r="K40" s="581"/>
      <c r="L40" s="2127"/>
      <c r="M40" s="2117"/>
      <c r="N40" s="2117"/>
      <c r="O40" s="2126"/>
      <c r="P40" s="3388"/>
      <c r="Q40" s="1558" t="str">
        <f>B40</f>
        <v>宗地面积</v>
      </c>
      <c r="R40" s="1559" t="s">
        <v>8</v>
      </c>
      <c r="S40" s="1560">
        <f t="shared" si="10"/>
        <v>98</v>
      </c>
      <c r="T40" s="1559" t="s">
        <v>8</v>
      </c>
      <c r="U40" s="1560">
        <f t="shared" si="11"/>
        <v>99</v>
      </c>
      <c r="V40" s="1559" t="s">
        <v>8</v>
      </c>
      <c r="W40" s="1560">
        <f t="shared" si="12"/>
        <v>99</v>
      </c>
      <c r="X40" s="1553"/>
      <c r="Y40" s="3388"/>
      <c r="Z40" s="1561" t="str">
        <f t="shared" si="13"/>
        <v>宗地面积</v>
      </c>
      <c r="AA40" s="1562">
        <f t="shared" si="3"/>
        <v>1.0204081632653061</v>
      </c>
      <c r="AB40" s="1562">
        <f t="shared" si="4"/>
        <v>1.0101010101010102</v>
      </c>
      <c r="AC40" s="1562">
        <f t="shared" si="5"/>
        <v>1.0101010101010102</v>
      </c>
    </row>
    <row r="41" spans="1:29" ht="20.25">
      <c r="A41" s="594"/>
      <c r="B41" s="527" t="s">
        <v>553</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v>1</v>
      </c>
      <c r="L41" s="2127"/>
      <c r="M41" s="2117"/>
      <c r="N41" s="2117"/>
      <c r="O41" s="2126"/>
      <c r="P41" s="3388"/>
      <c r="Q41" s="1558" t="str">
        <f t="shared" ref="Q41:Q47" si="14">B41</f>
        <v>宗地形状</v>
      </c>
      <c r="R41" s="1559" t="s">
        <v>8</v>
      </c>
      <c r="S41" s="1560">
        <f t="shared" si="10"/>
        <v>100</v>
      </c>
      <c r="T41" s="1559" t="s">
        <v>8</v>
      </c>
      <c r="U41" s="1560">
        <f t="shared" si="11"/>
        <v>100</v>
      </c>
      <c r="V41" s="1559" t="s">
        <v>8</v>
      </c>
      <c r="W41" s="1560">
        <f t="shared" si="12"/>
        <v>100</v>
      </c>
      <c r="X41" s="1553"/>
      <c r="Y41" s="3388"/>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1</v>
      </c>
      <c r="L42" s="2127"/>
      <c r="M42" s="2117"/>
      <c r="N42" s="2117"/>
      <c r="O42" s="2126"/>
      <c r="P42" s="3388"/>
      <c r="Q42" s="1558" t="str">
        <f t="shared" si="14"/>
        <v>临街宽度及深度</v>
      </c>
      <c r="R42" s="1559" t="s">
        <v>8</v>
      </c>
      <c r="S42" s="1560">
        <f t="shared" si="10"/>
        <v>100</v>
      </c>
      <c r="T42" s="1559" t="s">
        <v>8</v>
      </c>
      <c r="U42" s="1560">
        <f t="shared" si="11"/>
        <v>100</v>
      </c>
      <c r="V42" s="1559" t="s">
        <v>8</v>
      </c>
      <c r="W42" s="1560">
        <f t="shared" si="12"/>
        <v>100</v>
      </c>
      <c r="X42" s="1553"/>
      <c r="Y42" s="3388"/>
      <c r="Z42" s="1561" t="str">
        <f t="shared" si="13"/>
        <v>临街宽度及深度</v>
      </c>
      <c r="AA42" s="1562">
        <f t="shared" si="3"/>
        <v>1</v>
      </c>
      <c r="AB42" s="1562">
        <f t="shared" si="4"/>
        <v>1</v>
      </c>
      <c r="AC42" s="1562">
        <f t="shared" si="5"/>
        <v>1</v>
      </c>
    </row>
    <row r="43" spans="1:29" s="1215" customFormat="1" ht="20.25">
      <c r="A43" s="600"/>
      <c r="B43" s="1880" t="s">
        <v>2423</v>
      </c>
      <c r="C43" s="579" t="s">
        <v>3114</v>
      </c>
      <c r="D43" s="255">
        <v>100</v>
      </c>
      <c r="E43" s="2555" t="s">
        <v>3115</v>
      </c>
      <c r="F43" s="540">
        <f>SUMIF(125:125,E43,126:126)-SUMIF(125:125,C43,126:126)+100</f>
        <v>102</v>
      </c>
      <c r="G43" s="579" t="s">
        <v>3115</v>
      </c>
      <c r="H43" s="540">
        <f>SUMIF(125:125,G43,126:126)-SUMIF(125:125,C43,126:126)+100</f>
        <v>102</v>
      </c>
      <c r="I43" s="579" t="s">
        <v>3116</v>
      </c>
      <c r="J43" s="540">
        <f>SUMIF(125:125,I43,126:126)-SUMIF(125:125,C43,126:126)+100</f>
        <v>103</v>
      </c>
      <c r="K43" s="584">
        <v>1</v>
      </c>
      <c r="L43" s="2120"/>
      <c r="M43" s="2117"/>
      <c r="N43" s="2117"/>
      <c r="O43" s="2122"/>
      <c r="P43" s="3388"/>
      <c r="Q43" s="1558" t="str">
        <f t="shared" si="14"/>
        <v>宗地开发程度</v>
      </c>
      <c r="R43" s="1554" t="s">
        <v>8</v>
      </c>
      <c r="S43" s="1555">
        <f t="shared" si="10"/>
        <v>102</v>
      </c>
      <c r="T43" s="1554" t="s">
        <v>8</v>
      </c>
      <c r="U43" s="1555">
        <f t="shared" si="11"/>
        <v>102</v>
      </c>
      <c r="V43" s="1554" t="s">
        <v>8</v>
      </c>
      <c r="W43" s="1555">
        <f t="shared" si="12"/>
        <v>103</v>
      </c>
      <c r="X43" s="1556"/>
      <c r="Y43" s="3388"/>
      <c r="Z43" s="1145" t="str">
        <f t="shared" si="13"/>
        <v>宗地开发程度</v>
      </c>
      <c r="AA43" s="1557">
        <f t="shared" si="3"/>
        <v>0.98039215686274506</v>
      </c>
      <c r="AB43" s="1557">
        <f t="shared" si="4"/>
        <v>0.98039215686274506</v>
      </c>
      <c r="AC43" s="1557">
        <f t="shared" si="5"/>
        <v>0.970873786407767</v>
      </c>
    </row>
    <row r="44" spans="1:29" ht="20.25">
      <c r="A44" s="594"/>
      <c r="B44" s="527" t="s">
        <v>555</v>
      </c>
      <c r="C44" s="599" t="s">
        <v>3112</v>
      </c>
      <c r="D44" s="540">
        <v>100</v>
      </c>
      <c r="E44" s="599" t="s">
        <v>3112</v>
      </c>
      <c r="F44" s="540">
        <f>SUMIF(127:127,E44,128:128)-SUMIF(127:127,C44,128:128)+100</f>
        <v>100</v>
      </c>
      <c r="G44" s="599" t="s">
        <v>3112</v>
      </c>
      <c r="H44" s="540">
        <f>SUMIF(127:127,G44,128:128)-SUMIF(127:127,C44,128:128)+100</f>
        <v>100</v>
      </c>
      <c r="I44" s="599" t="s">
        <v>3112</v>
      </c>
      <c r="J44" s="540">
        <f>SUMIF(127:127,I44,128:128)-SUMIF(127:127,C44,128:128)+100</f>
        <v>100</v>
      </c>
      <c r="K44" s="584">
        <v>1</v>
      </c>
      <c r="L44" s="2127"/>
      <c r="M44" s="2117"/>
      <c r="N44" s="2117"/>
      <c r="O44" s="2126"/>
      <c r="P44" s="3388" t="s">
        <v>550</v>
      </c>
      <c r="Q44" s="1558" t="str">
        <f t="shared" si="14"/>
        <v>工程地质条件</v>
      </c>
      <c r="R44" s="1559" t="s">
        <v>8</v>
      </c>
      <c r="S44" s="1560">
        <f t="shared" si="10"/>
        <v>100</v>
      </c>
      <c r="T44" s="1559" t="s">
        <v>8</v>
      </c>
      <c r="U44" s="1560">
        <f t="shared" si="11"/>
        <v>100</v>
      </c>
      <c r="V44" s="1559" t="s">
        <v>8</v>
      </c>
      <c r="W44" s="1560">
        <f t="shared" si="12"/>
        <v>100</v>
      </c>
      <c r="X44" s="1553"/>
      <c r="Y44" s="3388" t="s">
        <v>550</v>
      </c>
      <c r="Z44" s="1561" t="str">
        <f t="shared" si="13"/>
        <v>工程地质条件</v>
      </c>
      <c r="AA44" s="1562">
        <f t="shared" si="3"/>
        <v>1</v>
      </c>
      <c r="AB44" s="1562">
        <f t="shared" si="4"/>
        <v>1</v>
      </c>
      <c r="AC44" s="1562">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8"/>
      <c r="Q45" s="1558">
        <f t="shared" si="14"/>
        <v>0</v>
      </c>
      <c r="R45" s="1559" t="s">
        <v>8</v>
      </c>
      <c r="S45" s="1560">
        <f t="shared" si="10"/>
        <v>100</v>
      </c>
      <c r="T45" s="1559" t="s">
        <v>8</v>
      </c>
      <c r="U45" s="1560">
        <f t="shared" si="11"/>
        <v>100</v>
      </c>
      <c r="V45" s="1559" t="s">
        <v>8</v>
      </c>
      <c r="W45" s="1560">
        <f t="shared" si="12"/>
        <v>100</v>
      </c>
      <c r="X45" s="1553"/>
      <c r="Y45" s="3388"/>
      <c r="Z45" s="1561">
        <f t="shared" si="13"/>
        <v>0</v>
      </c>
      <c r="AA45" s="1562">
        <f t="shared" si="3"/>
        <v>1</v>
      </c>
      <c r="AB45" s="1562">
        <f t="shared" si="4"/>
        <v>1</v>
      </c>
      <c r="AC45" s="1562">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8"/>
      <c r="Q46" s="1558">
        <f t="shared" si="14"/>
        <v>0</v>
      </c>
      <c r="R46" s="1559" t="s">
        <v>8</v>
      </c>
      <c r="S46" s="1560">
        <f t="shared" si="10"/>
        <v>100</v>
      </c>
      <c r="T46" s="1559" t="s">
        <v>8</v>
      </c>
      <c r="U46" s="1560">
        <f t="shared" si="11"/>
        <v>100</v>
      </c>
      <c r="V46" s="1559" t="s">
        <v>8</v>
      </c>
      <c r="W46" s="1560">
        <f t="shared" si="12"/>
        <v>100</v>
      </c>
      <c r="X46" s="1553"/>
      <c r="Y46" s="3388"/>
      <c r="Z46" s="1561">
        <f t="shared" si="13"/>
        <v>0</v>
      </c>
      <c r="AA46" s="1562">
        <f t="shared" si="3"/>
        <v>1</v>
      </c>
      <c r="AB46" s="1562">
        <f t="shared" si="4"/>
        <v>1</v>
      </c>
      <c r="AC46" s="1562">
        <f t="shared" si="5"/>
        <v>1</v>
      </c>
    </row>
    <row r="47" spans="1:29" s="1334"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8"/>
      <c r="Q47" s="1558">
        <f t="shared" si="14"/>
        <v>0</v>
      </c>
      <c r="R47" s="1563" t="s">
        <v>8</v>
      </c>
      <c r="S47" s="1564">
        <f t="shared" si="10"/>
        <v>100</v>
      </c>
      <c r="T47" s="1563" t="s">
        <v>8</v>
      </c>
      <c r="U47" s="1564">
        <f t="shared" si="11"/>
        <v>100</v>
      </c>
      <c r="V47" s="1563" t="s">
        <v>8</v>
      </c>
      <c r="W47" s="1564">
        <f t="shared" si="12"/>
        <v>100</v>
      </c>
      <c r="X47" s="1565"/>
      <c r="Y47" s="3388"/>
      <c r="Z47" s="1566">
        <f t="shared" si="13"/>
        <v>0</v>
      </c>
      <c r="AA47" s="1562">
        <f t="shared" si="3"/>
        <v>1</v>
      </c>
      <c r="AB47" s="1562">
        <f t="shared" si="4"/>
        <v>1</v>
      </c>
      <c r="AC47" s="1562">
        <f t="shared" si="5"/>
        <v>1</v>
      </c>
    </row>
    <row r="48" spans="1:29" ht="20.25">
      <c r="A48" s="607" t="s">
        <v>556</v>
      </c>
      <c r="B48" s="608" t="s">
        <v>3144</v>
      </c>
      <c r="C48" s="609" t="s">
        <v>1</v>
      </c>
      <c r="D48" s="610"/>
      <c r="E48" s="611">
        <f>ROUND(案例!$K$8,0)</f>
        <v>57152</v>
      </c>
      <c r="F48" s="612"/>
      <c r="G48" s="613">
        <f>ROUND(案例!$K$9,0)</f>
        <v>61348</v>
      </c>
      <c r="H48" s="614"/>
      <c r="I48" s="611">
        <f>ROUND(案例!$K$12,0)</f>
        <v>54672</v>
      </c>
      <c r="J48" s="614"/>
      <c r="K48" s="1335"/>
      <c r="L48" s="2129"/>
      <c r="M48" s="2117"/>
      <c r="N48" s="2117"/>
      <c r="O48" s="2130"/>
      <c r="P48" s="3383" t="str">
        <f>A48</f>
        <v>成交单价</v>
      </c>
      <c r="Q48" s="3383"/>
      <c r="R48" s="3397">
        <f>E48</f>
        <v>57152</v>
      </c>
      <c r="S48" s="3397"/>
      <c r="T48" s="3397">
        <f>G48</f>
        <v>61348</v>
      </c>
      <c r="U48" s="3397"/>
      <c r="V48" s="3397">
        <f>I48</f>
        <v>54672</v>
      </c>
      <c r="W48" s="3397"/>
      <c r="X48" s="1545"/>
      <c r="Y48" s="1567"/>
      <c r="Z48" s="1545"/>
      <c r="AA48" s="1545"/>
      <c r="AB48" s="1545"/>
      <c r="AC48" s="1545"/>
    </row>
    <row r="49" spans="1:29" ht="21" thickBot="1">
      <c r="A49" s="615" t="s">
        <v>2692</v>
      </c>
      <c r="B49" s="616"/>
      <c r="C49" s="617">
        <f>R50</f>
        <v>56104</v>
      </c>
      <c r="D49" s="618"/>
      <c r="E49" s="617">
        <f>R49</f>
        <v>55917</v>
      </c>
      <c r="F49" s="619"/>
      <c r="G49" s="620">
        <f>T49</f>
        <v>59416</v>
      </c>
      <c r="H49" s="618"/>
      <c r="I49" s="617">
        <f>V49</f>
        <v>52980</v>
      </c>
      <c r="J49" s="618"/>
      <c r="K49" s="1336"/>
      <c r="L49" s="2129"/>
      <c r="M49" s="2117"/>
      <c r="N49" s="2117"/>
      <c r="O49" s="2130"/>
      <c r="P49" s="3383" t="str">
        <f>A49</f>
        <v>比较价格（元/平方米）</v>
      </c>
      <c r="Q49" s="3383"/>
      <c r="R49" s="3407">
        <f>ROUND(PRODUCT(R48,AA9:AA47),0)</f>
        <v>55917</v>
      </c>
      <c r="S49" s="3407"/>
      <c r="T49" s="3407">
        <f>ROUND(PRODUCT(T48,AB9:AB47),0)</f>
        <v>59416</v>
      </c>
      <c r="U49" s="3407"/>
      <c r="V49" s="3407">
        <f>ROUND(PRODUCT(V48,AC9:AC47),0)</f>
        <v>52980</v>
      </c>
      <c r="W49" s="3407"/>
      <c r="X49" s="1545"/>
      <c r="Y49" s="1545"/>
      <c r="Z49" s="1545"/>
      <c r="AA49" s="1545"/>
      <c r="AB49" s="1545"/>
      <c r="AC49" s="1545"/>
    </row>
    <row r="50" spans="1:29" ht="21" thickBot="1">
      <c r="A50" s="621" t="s">
        <v>2926</v>
      </c>
      <c r="B50" s="622"/>
      <c r="C50" s="623">
        <f>R50</f>
        <v>56104</v>
      </c>
      <c r="D50" s="623"/>
      <c r="E50" s="623"/>
      <c r="F50" s="623"/>
      <c r="G50" s="623"/>
      <c r="H50" s="623"/>
      <c r="I50" s="623"/>
      <c r="J50" s="623"/>
      <c r="K50" s="1337"/>
      <c r="L50" s="2129"/>
      <c r="M50" s="2117"/>
      <c r="N50" s="2117"/>
      <c r="O50" s="2130"/>
      <c r="P50" s="3404" t="str">
        <f>A50</f>
        <v>估价对象XX用房的比较价格（楼面单价，元/平方米）</v>
      </c>
      <c r="Q50" s="3405"/>
      <c r="R50" s="3406">
        <f>ROUND(AVERAGE(R49:V49),0)</f>
        <v>56104</v>
      </c>
      <c r="S50" s="3406"/>
      <c r="T50" s="3406"/>
      <c r="U50" s="3406"/>
      <c r="V50" s="3406"/>
      <c r="W50" s="3406"/>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2.2086306489976115E-2</v>
      </c>
      <c r="F53" s="627" t="str">
        <f>IF(OR(E53&gt;=0.3,E53&lt;=-0.3),"超过30%","")</f>
        <v/>
      </c>
      <c r="G53" s="626">
        <f>IF(G48&lt;G49,G49/G48-1,G48/G49-1)</f>
        <v>3.2516493873704144E-2</v>
      </c>
      <c r="H53" s="627" t="str">
        <f>IF(OR(G53&gt;=0.3,G53&lt;=-0.3),"超过30%","")</f>
        <v/>
      </c>
      <c r="I53" s="626">
        <f>IF(I48&lt;I49,I49/I48-1,I48/I49-1)</f>
        <v>3.1936579841449708E-2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6.2574887780102673E-2</v>
      </c>
      <c r="F54" s="627" t="str">
        <f>IF(OR(E54&gt;=0.2,E54&lt;=-0.2),"超过20%","")</f>
        <v/>
      </c>
      <c r="G54" s="626">
        <f>IF(G49&lt;I49,I49/G49-1,G49/I49-1)</f>
        <v>0.12147980369950928</v>
      </c>
      <c r="H54" s="627" t="str">
        <f>IF(OR(G54&gt;=0.2,G54&lt;=-0.2),"超过20%","")</f>
        <v/>
      </c>
      <c r="I54" s="626">
        <f>IF(I49&lt;E49,E49/I49-1,I49/E49-1)</f>
        <v>5.5436013590034028E-2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7.3418253079507334E-2</v>
      </c>
      <c r="F55" s="627" t="str">
        <f>IF(OR(E55&gt;=0.3,E55&lt;=-0.3),"超过30%","")</f>
        <v/>
      </c>
      <c r="G55" s="626">
        <f>IF(G48&lt;I48,I48/G48-1,G48/I48-1)</f>
        <v>0.12211003804506881</v>
      </c>
      <c r="H55" s="627" t="str">
        <f>IF(OR(G55&gt;=0.3,G55&lt;=-0.3),"超过30%","")</f>
        <v/>
      </c>
      <c r="I55" s="626">
        <f>IF(I48&lt;E48,E48/I48-1,I48/E48-1)</f>
        <v>4.536142815335098E-2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2292</v>
      </c>
      <c r="E57" s="631" t="s">
        <v>562</v>
      </c>
      <c r="F57" s="632" t="s">
        <v>563</v>
      </c>
      <c r="G57" s="3367" t="s">
        <v>2280</v>
      </c>
      <c r="H57" s="3368"/>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56104</v>
      </c>
      <c r="C58" s="635">
        <v>1</v>
      </c>
      <c r="D58" s="2213">
        <v>1</v>
      </c>
      <c r="E58" s="635">
        <f>'数据-汇总表'!E8+'数据-汇总表'!E9</f>
        <v>132427.66</v>
      </c>
      <c r="F58" s="636">
        <f t="shared" ref="F58:F67" si="15">ROUND(B58*E58/10000,0)</f>
        <v>742972</v>
      </c>
      <c r="G58" s="3369"/>
      <c r="H58" s="337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371"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37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37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37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2805</v>
      </c>
      <c r="C65" s="378">
        <f t="shared" si="16"/>
        <v>0.2</v>
      </c>
      <c r="D65" s="2214">
        <v>0.25</v>
      </c>
      <c r="E65" s="641">
        <f>'数据-汇总表'!E13</f>
        <v>0</v>
      </c>
      <c r="F65" s="636">
        <f t="shared" si="15"/>
        <v>0</v>
      </c>
      <c r="G65" s="1931" t="s">
        <v>923</v>
      </c>
      <c r="H65" s="1929" t="str">
        <f>IF(G65="商业",项目基本情况!B43,IF(G65="办公",项目基本情况!C43,IF(G65="住宅",项目基本情况!D43,项目基本情况!E43)))</f>
        <v>五级</v>
      </c>
      <c r="I65" s="1542">
        <f>SUMIF(修正!$A$45:$A$56,H65,修正!H45:H56)</f>
        <v>0.2</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2293</v>
      </c>
      <c r="E68" s="643">
        <f>IF(B48="楼面地价",SUM(E58:E67),'数据-汇总表'!D3)</f>
        <v>132427.66</v>
      </c>
      <c r="F68" s="644">
        <f>IF(B48="楼面地价",SUM(F58:F67),ROUND(C50*E68/10000,0))</f>
        <v>742972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1" t="s">
        <v>2531</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0" t="s">
        <v>2646</v>
      </c>
      <c r="B73" s="479" t="str">
        <f>"北京市平均增长率"&amp;TEXT(SUMIF(基准地价!N21:N25,A73,基准地价!P21:P25),"0.00%")</f>
        <v>北京市平均增长率2.06%</v>
      </c>
      <c r="C73" s="893">
        <v>100</v>
      </c>
      <c r="D73" s="730">
        <f>C73-0.5</f>
        <v>99.5</v>
      </c>
      <c r="E73" s="730">
        <f t="shared" ref="E73:L73" si="20">D73-0.5</f>
        <v>99</v>
      </c>
      <c r="F73" s="730">
        <f t="shared" si="20"/>
        <v>98.5</v>
      </c>
      <c r="G73" s="730">
        <f t="shared" si="20"/>
        <v>98</v>
      </c>
      <c r="H73" s="730">
        <f t="shared" si="20"/>
        <v>97.5</v>
      </c>
      <c r="I73" s="730">
        <f t="shared" si="20"/>
        <v>97</v>
      </c>
      <c r="J73" s="730">
        <f t="shared" si="20"/>
        <v>96.5</v>
      </c>
      <c r="K73" s="730">
        <f t="shared" si="20"/>
        <v>96</v>
      </c>
      <c r="L73" s="730">
        <f t="shared" si="20"/>
        <v>95.5</v>
      </c>
      <c r="M73" s="2747"/>
      <c r="N73" s="2748"/>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1" t="s">
        <v>2645</v>
      </c>
      <c r="B74" s="2759"/>
      <c r="C74" s="2745"/>
      <c r="D74" s="2746"/>
      <c r="E74" s="2746"/>
      <c r="F74" s="2746"/>
      <c r="G74" s="2746"/>
      <c r="H74" s="2746"/>
      <c r="I74" s="2746"/>
      <c r="J74" s="2746"/>
      <c r="K74" s="2746"/>
      <c r="L74" s="2746"/>
      <c r="M74" s="2746"/>
      <c r="N74" s="2746"/>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89" t="s">
        <v>3117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0</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0</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99</v>
      </c>
      <c r="E95" s="679">
        <f>D95-$K21</f>
        <v>98</v>
      </c>
      <c r="F95" s="679">
        <f>E95-$K21</f>
        <v>97</v>
      </c>
      <c r="G95" s="679">
        <f>F95-$K21</f>
        <v>96</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0" t="s">
        <v>2549</v>
      </c>
      <c r="C104" s="2561" t="s">
        <v>2550</v>
      </c>
      <c r="D104" s="2561" t="s">
        <v>2551</v>
      </c>
      <c r="E104" s="2561" t="s">
        <v>2552</v>
      </c>
      <c r="F104" s="2561" t="s">
        <v>2553</v>
      </c>
      <c r="G104" s="2561"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95" t="s">
        <v>3171</v>
      </c>
      <c r="D108" s="3195" t="s">
        <v>3172</v>
      </c>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t="s">
        <v>3170</v>
      </c>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5">D111-$K36</f>
        <v>98</v>
      </c>
      <c r="F111" s="679">
        <f t="shared" si="25"/>
        <v>97</v>
      </c>
      <c r="G111" s="679">
        <f t="shared" si="25"/>
        <v>96</v>
      </c>
      <c r="H111" s="679">
        <f t="shared" si="25"/>
        <v>95</v>
      </c>
      <c r="I111" s="679">
        <f t="shared" si="25"/>
        <v>94</v>
      </c>
      <c r="J111" s="679">
        <f t="shared" si="25"/>
        <v>93</v>
      </c>
      <c r="K111" s="679">
        <f t="shared" si="25"/>
        <v>92</v>
      </c>
      <c r="L111" s="679">
        <f t="shared" si="25"/>
        <v>91</v>
      </c>
      <c r="M111" s="679">
        <f t="shared" si="25"/>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0</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0</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0</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6">C119&amp;"(含)"&amp;"-"&amp;D119</f>
        <v>0(含)-30000</v>
      </c>
      <c r="D118" s="704" t="str">
        <f t="shared" si="26"/>
        <v>30000(含)-50000</v>
      </c>
      <c r="E118" s="704" t="str">
        <f t="shared" si="26"/>
        <v>50000(含)-80000</v>
      </c>
      <c r="F118" s="704" t="str">
        <f t="shared" si="26"/>
        <v>80000(含)-100000</v>
      </c>
      <c r="G118" s="704" t="str">
        <f t="shared" si="26"/>
        <v>100000(含)-</v>
      </c>
      <c r="H118" s="704" t="str">
        <f t="shared" si="26"/>
        <v>(含)-</v>
      </c>
      <c r="I118" s="704" t="str">
        <f t="shared" si="26"/>
        <v>(含)-</v>
      </c>
      <c r="J118" s="3042" t="str">
        <f t="shared" si="26"/>
        <v>(含)-</v>
      </c>
      <c r="K118" s="3042" t="str">
        <f t="shared" si="26"/>
        <v>(含)-</v>
      </c>
      <c r="L118" s="3043" t="str">
        <f t="shared" si="26"/>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30000</v>
      </c>
      <c r="E119" s="730">
        <v>50000</v>
      </c>
      <c r="F119" s="730">
        <v>80000</v>
      </c>
      <c r="G119" s="730">
        <v>100000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4" t="s">
        <v>3125</v>
      </c>
      <c r="D121" s="3194" t="s">
        <v>3127</v>
      </c>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t="s">
        <v>3137</v>
      </c>
      <c r="D125" s="1371" t="s">
        <v>3116</v>
      </c>
      <c r="E125" s="1371" t="s">
        <v>3115</v>
      </c>
      <c r="F125" s="1371" t="s">
        <v>3153</v>
      </c>
      <c r="G125" s="1371" t="s">
        <v>3114</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95" t="s">
        <v>3128</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0</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0</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0</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3"/>
      <c r="C1" s="2089"/>
      <c r="D1" s="2089"/>
      <c r="E1" s="2089"/>
      <c r="F1" s="2089"/>
      <c r="G1" s="2089"/>
      <c r="H1" s="2089"/>
      <c r="I1" s="2089"/>
      <c r="J1" s="2089"/>
      <c r="K1" s="422">
        <f>MATCH(B1,'数据-取费表'!A6:A16,0)+5</f>
        <v>7</v>
      </c>
    </row>
    <row r="2" spans="1:31" s="2026" customFormat="1" ht="18" customHeight="1">
      <c r="A2" s="2086" t="s">
        <v>467</v>
      </c>
      <c r="B2" s="2090">
        <f ca="1">C36</f>
        <v>946822</v>
      </c>
      <c r="C2" s="2089"/>
      <c r="D2" s="2089"/>
      <c r="E2" s="2089"/>
      <c r="F2" s="2089"/>
      <c r="G2" s="2089"/>
      <c r="H2" s="2089"/>
      <c r="I2" s="2089"/>
      <c r="J2" s="2089"/>
      <c r="K2" s="2089"/>
    </row>
    <row r="3" spans="1:31" s="2026" customFormat="1" ht="18" customHeight="1">
      <c r="A3" s="2091" t="s">
        <v>1684</v>
      </c>
      <c r="B3" s="2092">
        <f ca="1">ROUND(B2*10000/IF(B1="",'数据-汇总表'!E3,INDIRECT("'数据-取费表'!K"&amp;$K$1)),0)</f>
        <v>71497</v>
      </c>
      <c r="C3" s="2089"/>
      <c r="D3" s="2089"/>
      <c r="E3" s="2089"/>
      <c r="F3" s="2089"/>
      <c r="G3" s="2089"/>
      <c r="H3" s="2089"/>
      <c r="I3" s="2089"/>
      <c r="J3" s="2089"/>
      <c r="K3" s="2089"/>
    </row>
    <row r="4" spans="1:31" s="2026" customFormat="1" ht="18" customHeight="1">
      <c r="A4" s="426" t="s">
        <v>468</v>
      </c>
      <c r="B4" s="427">
        <f ca="1">ROUND(B2*10000/IF(B1="",'数据-汇总表'!D3,INDIRECT("'数据-取费表'!R"&amp;$K$1)),0)</f>
        <v>78647</v>
      </c>
      <c r="C4" s="428"/>
      <c r="D4" s="422"/>
      <c r="E4" s="422"/>
      <c r="F4" s="422"/>
      <c r="G4" s="422"/>
      <c r="H4" s="422"/>
      <c r="I4" s="422"/>
      <c r="J4" s="422"/>
      <c r="K4" s="422"/>
    </row>
    <row r="5" spans="1:31" s="2026" customFormat="1" ht="18" customHeight="1" thickBot="1">
      <c r="A5" s="429"/>
      <c r="B5" s="430">
        <f ca="1">ROUND(B2/(IF(B1="",'数据-汇总表'!D3,INDIRECT("'数据-取费表'!R"&amp;$K$1))/666.67),0)</f>
        <v>5243</v>
      </c>
      <c r="C5" s="431" t="s">
        <v>469</v>
      </c>
      <c r="D5" s="422"/>
      <c r="E5" s="422"/>
      <c r="F5" s="422"/>
      <c r="G5" s="422"/>
      <c r="H5" s="422"/>
      <c r="I5" s="422"/>
      <c r="J5" s="422"/>
      <c r="K5" s="422"/>
    </row>
    <row r="6" spans="1:31" s="2096" customFormat="1" ht="16.5" customHeight="1">
      <c r="A6" s="2782" t="s">
        <v>1842</v>
      </c>
      <c r="B6" s="2783"/>
      <c r="C6" s="2784">
        <f>SUM(C10:K10)</f>
        <v>1450467</v>
      </c>
      <c r="D6" s="2783"/>
      <c r="E6" s="2783"/>
      <c r="F6" s="2783"/>
      <c r="G6" s="2783"/>
      <c r="H6" s="2783"/>
      <c r="I6" s="2783"/>
      <c r="J6" s="2783"/>
      <c r="K6" s="2785"/>
    </row>
    <row r="7" spans="1:31" s="2098" customFormat="1" ht="15">
      <c r="A7" s="2786" t="s">
        <v>470</v>
      </c>
      <c r="B7" s="2787" t="s">
        <v>471</v>
      </c>
      <c r="C7" s="436" t="s">
        <v>2988</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8">
        <f>'不动产比较法-住宅'!B3</f>
        <v>109529</v>
      </c>
      <c r="D8" s="2788"/>
      <c r="E8" s="2788"/>
      <c r="F8" s="2788"/>
      <c r="G8" s="2788"/>
      <c r="H8" s="2788"/>
      <c r="I8" s="2788"/>
      <c r="J8" s="2788"/>
      <c r="K8" s="2789"/>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132427.66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0" t="s">
        <v>1847</v>
      </c>
      <c r="B10" s="2776" t="s">
        <v>474</v>
      </c>
      <c r="C10" s="2980">
        <f>'不动产比较法-住宅'!B2</f>
        <v>1450467</v>
      </c>
      <c r="D10" s="2980"/>
      <c r="E10" s="2980"/>
      <c r="F10" s="2791"/>
      <c r="G10" s="2791"/>
      <c r="H10" s="2791"/>
      <c r="I10" s="2791"/>
      <c r="J10" s="2791"/>
      <c r="K10" s="2792"/>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3" t="s">
        <v>1843</v>
      </c>
      <c r="B11" s="2783"/>
      <c r="C11" s="2783"/>
      <c r="D11" s="2783"/>
      <c r="E11" s="2783"/>
      <c r="F11" s="2783"/>
      <c r="G11" s="2783"/>
      <c r="H11" s="2783"/>
      <c r="I11" s="2783"/>
      <c r="J11" s="2783"/>
      <c r="K11" s="2785"/>
    </row>
    <row r="12" spans="1:31" s="2070" customFormat="1" ht="13.5" customHeight="1">
      <c r="A12" s="2794" t="s">
        <v>470</v>
      </c>
      <c r="B12" s="2766" t="s">
        <v>471</v>
      </c>
      <c r="C12" s="2795" t="s">
        <v>475</v>
      </c>
      <c r="D12" s="2762" t="s">
        <v>476</v>
      </c>
      <c r="E12" s="2762" t="s">
        <v>477</v>
      </c>
      <c r="F12" s="2762" t="s">
        <v>478</v>
      </c>
      <c r="G12" s="2766"/>
      <c r="H12" s="2767"/>
      <c r="I12" s="2767"/>
      <c r="J12" s="2767"/>
      <c r="K12" s="2768"/>
    </row>
    <row r="13" spans="1:31" s="2101" customFormat="1" ht="13.5" customHeight="1">
      <c r="A13" s="2796" t="s">
        <v>1848</v>
      </c>
      <c r="B13" s="2797" t="s">
        <v>479</v>
      </c>
      <c r="C13" s="450">
        <f ca="1">IF(B1="",'数据-取费表'!P16,INDIRECT("'数据-取费表'!p"&amp;$K$1)+INDIRECT("'数据-取费表'!t"&amp;$K$1))</f>
        <v>46350</v>
      </c>
      <c r="D13" s="2798"/>
      <c r="E13" s="2799"/>
      <c r="F13" s="2800"/>
      <c r="G13" s="2766"/>
      <c r="H13" s="2767"/>
      <c r="I13" s="2767"/>
      <c r="J13" s="2767"/>
      <c r="K13" s="2768"/>
    </row>
    <row r="14" spans="1:31" s="2101" customFormat="1" ht="13.5" customHeight="1">
      <c r="A14" s="2796" t="s">
        <v>1849</v>
      </c>
      <c r="B14" s="2797" t="s">
        <v>480</v>
      </c>
      <c r="C14" s="53">
        <f ca="1">ROUND(C13*F14,0)</f>
        <v>1391</v>
      </c>
      <c r="D14" s="2798"/>
      <c r="E14" s="2799"/>
      <c r="F14" s="2801">
        <f>'数据-取费表'!B33</f>
        <v>0.03</v>
      </c>
      <c r="G14" s="2766" t="s">
        <v>481</v>
      </c>
      <c r="H14" s="2767"/>
      <c r="I14" s="2767"/>
      <c r="J14" s="2767"/>
      <c r="K14" s="2768"/>
    </row>
    <row r="15" spans="1:31" s="2101" customFormat="1" ht="13.5" customHeight="1">
      <c r="A15" s="2796" t="s">
        <v>1850</v>
      </c>
      <c r="B15" s="2797" t="s">
        <v>482</v>
      </c>
      <c r="C15" s="53">
        <f ca="1">ROUND(IF(B1="",SUMIF('数据-取费表'!C:C,"住宅",'数据-取费表'!P:P)*F15,IF(INDIRECT("'数据-取费表'!c"&amp;$K$1)="住宅",INDIRECT("'数据-取费表'!P"&amp;$K$1)*F15,0)),0)</f>
        <v>2318</v>
      </c>
      <c r="D15" s="2798"/>
      <c r="E15" s="2799"/>
      <c r="F15" s="2801">
        <f>'数据-取费表'!B34</f>
        <v>0.05</v>
      </c>
      <c r="G15" s="2766" t="s">
        <v>483</v>
      </c>
      <c r="H15" s="2767"/>
      <c r="I15" s="2767"/>
      <c r="J15" s="2767"/>
      <c r="K15" s="2768"/>
    </row>
    <row r="16" spans="1:31" s="2102" customFormat="1" ht="13.5" customHeight="1">
      <c r="A16" s="2796" t="s">
        <v>1851</v>
      </c>
      <c r="B16" s="2797" t="s">
        <v>484</v>
      </c>
      <c r="C16" s="53">
        <f ca="1">ROUND(D16*E16/10000,0)</f>
        <v>2649</v>
      </c>
      <c r="D16" s="2798">
        <f ca="1">IF(B1="",'数据-汇总表'!E3,INDIRECT("'数据-取费表'!K"&amp;$K$1)+INDIRECT("'数据-取费表'!S"&amp;$K$1))</f>
        <v>132427.66</v>
      </c>
      <c r="E16" s="53">
        <f>'数据-取费表'!B35</f>
        <v>200</v>
      </c>
      <c r="F16" s="2801"/>
      <c r="G16" s="2766"/>
      <c r="H16" s="2767"/>
      <c r="I16" s="2767"/>
      <c r="J16" s="2767"/>
      <c r="K16" s="2768"/>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6" t="s">
        <v>1852</v>
      </c>
      <c r="B17" s="2797" t="s">
        <v>485</v>
      </c>
      <c r="C17" s="2802">
        <f ca="1">ROUND(C13*F17,0)</f>
        <v>695</v>
      </c>
      <c r="D17" s="475"/>
      <c r="E17" s="2802"/>
      <c r="F17" s="2803">
        <f>'数据-取费表'!B36</f>
        <v>1.4999999999999999E-2</v>
      </c>
      <c r="G17" s="261" t="s">
        <v>486</v>
      </c>
      <c r="H17" s="2769"/>
      <c r="I17" s="2769"/>
      <c r="J17" s="2769"/>
      <c r="K17" s="279"/>
    </row>
    <row r="18" spans="1:14" s="2101" customFormat="1" ht="13.5" customHeight="1">
      <c r="A18" s="2804" t="s">
        <v>1853</v>
      </c>
      <c r="B18" s="2805" t="s">
        <v>487</v>
      </c>
      <c r="C18" s="2806">
        <f ca="1">SUM(C13:C17)</f>
        <v>53403</v>
      </c>
      <c r="D18" s="2807"/>
      <c r="E18" s="468"/>
      <c r="F18" s="468"/>
      <c r="G18" s="2770" t="s">
        <v>2429</v>
      </c>
      <c r="H18" s="2771"/>
      <c r="I18" s="2771"/>
      <c r="J18" s="2771"/>
      <c r="K18" s="2772"/>
    </row>
    <row r="19" spans="1:14" s="2101" customFormat="1" ht="13.5" customHeight="1">
      <c r="A19" s="2804" t="s">
        <v>1854</v>
      </c>
      <c r="B19" s="2805" t="s">
        <v>488</v>
      </c>
      <c r="C19" s="2762">
        <f ca="1">ROUND(D19*E19/10000,0)</f>
        <v>1986</v>
      </c>
      <c r="D19" s="2808">
        <f ca="1">D16</f>
        <v>132427.66</v>
      </c>
      <c r="E19" s="2762">
        <f>'数据-取费表'!B32</f>
        <v>150</v>
      </c>
      <c r="F19" s="468"/>
      <c r="G19" s="2766" t="s">
        <v>489</v>
      </c>
      <c r="H19" s="2767"/>
      <c r="I19" s="2771"/>
      <c r="J19" s="2771"/>
      <c r="K19" s="2772"/>
    </row>
    <row r="20" spans="1:14" s="2101" customFormat="1" ht="13.5" customHeight="1">
      <c r="A20" s="2804" t="s">
        <v>1855</v>
      </c>
      <c r="B20" s="2805" t="s">
        <v>490</v>
      </c>
      <c r="C20" s="2762">
        <f ca="1">C21+C22-IF(B1="",'数据-取费表'!B29,IF(G20="已全部缴纳",C21+C22,H20))</f>
        <v>1986</v>
      </c>
      <c r="D20" s="2808"/>
      <c r="E20" s="2762"/>
      <c r="F20" s="2809"/>
      <c r="G20" s="3038"/>
      <c r="H20" s="2764"/>
      <c r="I20" s="2765" t="s">
        <v>2650</v>
      </c>
      <c r="J20" s="2771"/>
      <c r="K20" s="2772"/>
    </row>
    <row r="21" spans="1:14" s="2101" customFormat="1" ht="13.5" customHeight="1">
      <c r="A21" s="2796" t="s">
        <v>1856</v>
      </c>
      <c r="B21" s="2797" t="s">
        <v>491</v>
      </c>
      <c r="C21" s="53">
        <f ca="1">ROUND(D21*E21/10000,0)</f>
        <v>1986</v>
      </c>
      <c r="D21" s="2798">
        <f ca="1">IF(B1="",'数据-汇总表'!E5,IF(INDIRECT("'数据-取费表'!c"&amp;$K$1)="住宅",INDIRECT("'数据-取费表'!k"&amp;$K$1),0))</f>
        <v>132427.66</v>
      </c>
      <c r="E21" s="53">
        <f>'数据-取费表'!B27</f>
        <v>150</v>
      </c>
      <c r="F21" s="2801"/>
      <c r="G21" s="26"/>
      <c r="H21" s="51"/>
      <c r="I21" s="51"/>
      <c r="J21" s="51"/>
      <c r="K21" s="2773"/>
    </row>
    <row r="22" spans="1:14" s="2101" customFormat="1" ht="13.5" customHeight="1">
      <c r="A22" s="2796" t="s">
        <v>1857</v>
      </c>
      <c r="B22" s="2797" t="s">
        <v>492</v>
      </c>
      <c r="C22" s="53">
        <f ca="1">ROUND(D22*E22/10000,0)</f>
        <v>0</v>
      </c>
      <c r="D22" s="2798">
        <f ca="1">IF(B1="",'数据-汇总表'!E6,IF(INDIRECT("'数据-取费表'!c"&amp;$K$1)="住宅",INDIRECT("'数据-取费表'!s"&amp;$K$1),INDIRECT("'数据-取费表'!k"&amp;$K$1)+INDIRECT("'数据-取费表'!s"&amp;$K$1)))</f>
        <v>0</v>
      </c>
      <c r="E22" s="53">
        <f>'数据-取费表'!B28</f>
        <v>190</v>
      </c>
      <c r="F22" s="2801"/>
      <c r="G22" s="26"/>
      <c r="H22" s="51"/>
      <c r="I22" s="51"/>
      <c r="J22" s="51"/>
      <c r="K22" s="2773"/>
    </row>
    <row r="23" spans="1:14" s="2101" customFormat="1" ht="13.5" customHeight="1">
      <c r="A23" s="2804" t="s">
        <v>1858</v>
      </c>
      <c r="B23" s="2986" t="s">
        <v>2832</v>
      </c>
      <c r="C23" s="2806">
        <f ca="1">ROUND((C18+C19+C20)*F23,0)</f>
        <v>1148</v>
      </c>
      <c r="D23" s="468"/>
      <c r="E23" s="468"/>
      <c r="F23" s="2810">
        <f>'数据-取费表'!B37</f>
        <v>0.02</v>
      </c>
      <c r="G23" s="2766" t="s">
        <v>2430</v>
      </c>
      <c r="H23" s="2767"/>
      <c r="I23" s="2767"/>
      <c r="J23" s="2767"/>
      <c r="K23" s="2768"/>
      <c r="L23" s="2103"/>
      <c r="M23" s="2103"/>
      <c r="N23" s="2103"/>
    </row>
    <row r="24" spans="1:14" s="2101" customFormat="1" ht="13.5" customHeight="1">
      <c r="A24" s="2804" t="s">
        <v>1859</v>
      </c>
      <c r="B24" s="2986" t="s">
        <v>2835</v>
      </c>
      <c r="C24" s="2806">
        <f>ROUND(C6*F24,0)</f>
        <v>29009</v>
      </c>
      <c r="D24" s="475"/>
      <c r="E24" s="473"/>
      <c r="F24" s="2810">
        <f>'数据-取费表'!B38</f>
        <v>0.02</v>
      </c>
      <c r="G24" s="2775" t="s">
        <v>499</v>
      </c>
      <c r="H24" s="2769"/>
      <c r="I24" s="2769"/>
      <c r="J24" s="2769"/>
      <c r="K24" s="279"/>
      <c r="L24" s="2103"/>
      <c r="M24" s="2103"/>
      <c r="N24" s="2103"/>
    </row>
    <row r="25" spans="1:14" s="2104" customFormat="1" ht="13.5" customHeight="1">
      <c r="A25" s="2804" t="s">
        <v>1860</v>
      </c>
      <c r="B25" s="2986" t="s">
        <v>2833</v>
      </c>
      <c r="C25" s="467">
        <f>ROUND(F25/(1+'数据-取费表'!C42),4)</f>
        <v>2.9000000000000001E-2</v>
      </c>
      <c r="D25" s="462" t="s">
        <v>2827</v>
      </c>
      <c r="E25" s="469"/>
      <c r="F25" s="2810">
        <f>'数据-取费表'!B48+'数据-取费表'!B49</f>
        <v>3.0499999999999999E-2</v>
      </c>
      <c r="G25" s="2774" t="s">
        <v>2288</v>
      </c>
      <c r="H25" s="2767"/>
      <c r="I25" s="2767"/>
      <c r="J25" s="2767"/>
      <c r="K25" s="2768"/>
    </row>
    <row r="26" spans="1:14" s="2103" customFormat="1" ht="13.5" customHeight="1">
      <c r="A26" s="2804" t="s">
        <v>1861</v>
      </c>
      <c r="B26" s="2987" t="s">
        <v>2834</v>
      </c>
      <c r="C26" s="2811">
        <f ca="1">C28</f>
        <v>4158</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5"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5" customFormat="1" ht="13.5" customHeight="1">
      <c r="A28" s="803" t="s">
        <v>1857</v>
      </c>
      <c r="B28" s="2812" t="s">
        <v>2836</v>
      </c>
      <c r="C28" s="2814">
        <f ca="1">ROUND(IF('数据-取费表'!B22&lt;=1,(C18+C19+C20+C23+C24)*F26*'数据-取费表'!B24/2,(C18+C19+C20+C23+C24)*(POWER((1+F26),'数据-取费表'!B24/2)-1)),0)</f>
        <v>4158</v>
      </c>
      <c r="D28" s="472"/>
      <c r="E28" s="473"/>
      <c r="F28" s="474"/>
      <c r="G28" s="2535" t="str">
        <f>IF('数据-取费表'!B22&lt;=1,"（1）-（4）项×年利率×建设期÷2","（1）-（4）项×((1+年利率)^(建设期÷2)-1)")</f>
        <v>（1）-（4）项×((1+年利率)^(建设期÷2)-1)</v>
      </c>
      <c r="H28" s="2769"/>
      <c r="I28" s="2769"/>
      <c r="J28" s="2769"/>
      <c r="K28" s="279"/>
    </row>
    <row r="29" spans="1:14" s="2105" customFormat="1" ht="13.5" customHeight="1">
      <c r="A29" s="2815" t="s">
        <v>1862</v>
      </c>
      <c r="B29" s="2805" t="s">
        <v>497</v>
      </c>
      <c r="C29" s="2806">
        <f>ROUND(C6*F29/(1+'数据-取费表'!C42),0)</f>
        <v>77358</v>
      </c>
      <c r="D29" s="468"/>
      <c r="E29" s="468"/>
      <c r="F29" s="2988">
        <f>'数据-取费表'!B41</f>
        <v>5.6000000000000001E-2</v>
      </c>
      <c r="G29" s="2775" t="s">
        <v>498</v>
      </c>
      <c r="H29" s="2767"/>
      <c r="I29" s="2767"/>
      <c r="J29" s="2767"/>
      <c r="K29" s="2768"/>
    </row>
    <row r="30" spans="1:14" s="2106" customFormat="1" ht="13.5" customHeight="1">
      <c r="A30" s="1620" t="s">
        <v>1863</v>
      </c>
      <c r="B30" s="2816" t="s">
        <v>500</v>
      </c>
      <c r="C30" s="2811">
        <f ca="1">C31</f>
        <v>169048</v>
      </c>
      <c r="D30" s="477">
        <f ca="1">C32</f>
        <v>0.12909999999999999</v>
      </c>
      <c r="E30" s="469" t="s">
        <v>495</v>
      </c>
      <c r="F30" s="471"/>
      <c r="G30" s="2774" t="s">
        <v>2963</v>
      </c>
      <c r="H30" s="2767"/>
      <c r="I30" s="2767"/>
      <c r="J30" s="2767"/>
      <c r="K30" s="2768"/>
    </row>
    <row r="31" spans="1:14" s="2105" customFormat="1" ht="13.5" customHeight="1">
      <c r="A31" s="803" t="s">
        <v>1856</v>
      </c>
      <c r="B31" s="2812"/>
      <c r="C31" s="450">
        <f ca="1">C18+C19+C20+C23+C24+C26+C29</f>
        <v>169048</v>
      </c>
      <c r="D31" s="472"/>
      <c r="E31" s="473"/>
      <c r="F31" s="474"/>
      <c r="G31" s="261"/>
      <c r="H31" s="2769"/>
      <c r="I31" s="2769"/>
      <c r="J31" s="2769"/>
      <c r="K31" s="279"/>
    </row>
    <row r="32" spans="1:14" s="2105" customFormat="1" ht="13.5" customHeight="1">
      <c r="A32" s="803" t="s">
        <v>1857</v>
      </c>
      <c r="B32" s="2812"/>
      <c r="C32" s="53">
        <f ca="1">ROUND(C25+D26,4)</f>
        <v>0.12909999999999999</v>
      </c>
      <c r="D32" s="472"/>
      <c r="E32" s="473"/>
      <c r="F32" s="474"/>
      <c r="G32" s="261"/>
      <c r="H32" s="2769"/>
      <c r="I32" s="2769"/>
      <c r="J32" s="2769"/>
      <c r="K32" s="279"/>
    </row>
    <row r="33" spans="1:11" s="2107" customFormat="1" ht="13.5" customHeight="1">
      <c r="A33" s="2985" t="s">
        <v>2831</v>
      </c>
      <c r="B33" s="2983" t="s">
        <v>2829</v>
      </c>
      <c r="C33" s="478">
        <f ca="1">C35</f>
        <v>17506</v>
      </c>
      <c r="D33" s="467">
        <f ca="1">C34</f>
        <v>0.20580000000000001</v>
      </c>
      <c r="E33" s="469" t="s">
        <v>495</v>
      </c>
      <c r="F33" s="479">
        <f ca="1">IF(B1="",'数据-取费表'!Q16,INDIRECT("'数据-取费表'!q"&amp;$K$1))</f>
        <v>0.2</v>
      </c>
      <c r="G33" s="2770"/>
      <c r="H33" s="2771"/>
      <c r="I33" s="2771"/>
      <c r="J33" s="2771"/>
      <c r="K33" s="2772"/>
    </row>
    <row r="34" spans="1:11" s="2108" customFormat="1" ht="13.5" customHeight="1">
      <c r="A34" s="375" t="s">
        <v>1856</v>
      </c>
      <c r="B34" s="2817" t="s">
        <v>501</v>
      </c>
      <c r="C34" s="472">
        <f ca="1">ROUND((1+C25)*F33,4)</f>
        <v>0.20580000000000001</v>
      </c>
      <c r="D34" s="472"/>
      <c r="E34" s="473"/>
      <c r="F34" s="480"/>
      <c r="G34" s="261" t="s">
        <v>2289</v>
      </c>
      <c r="H34" s="2769"/>
      <c r="I34" s="2769"/>
      <c r="J34" s="2769"/>
      <c r="K34" s="279"/>
    </row>
    <row r="35" spans="1:11" s="2108" customFormat="1" ht="13.5" customHeight="1" thickBot="1">
      <c r="A35" s="1621" t="s">
        <v>1857</v>
      </c>
      <c r="B35" s="2984" t="s">
        <v>2837</v>
      </c>
      <c r="C35" s="1613">
        <f ca="1">ROUND((C18+C19+C20+C23+C24)*F33,0)</f>
        <v>17506</v>
      </c>
      <c r="D35" s="1614"/>
      <c r="E35" s="2818"/>
      <c r="F35" s="1615"/>
      <c r="G35" s="2776"/>
      <c r="H35" s="2777"/>
      <c r="I35" s="2777"/>
      <c r="J35" s="2777"/>
      <c r="K35" s="2778"/>
    </row>
    <row r="36" spans="1:11" s="2070" customFormat="1" ht="13.5" customHeight="1" thickBot="1">
      <c r="A36" s="284" t="s">
        <v>1844</v>
      </c>
      <c r="B36" s="2780"/>
      <c r="C36" s="2819">
        <f ca="1">ROUND((C6-C30-C33)/(1+D30+D33),0)</f>
        <v>946822</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2" t="str">
        <f>项目基本情况!B1</f>
        <v>北京市出让国有建设用地使用权抵押价格预评估</v>
      </c>
      <c r="C37" s="3202"/>
      <c r="D37" s="3202"/>
      <c r="E37" s="3202"/>
      <c r="F37" s="3202"/>
      <c r="G37" s="3202"/>
      <c r="H37" s="3202"/>
      <c r="I37" s="3202"/>
    </row>
    <row r="38" spans="1:9">
      <c r="A38" s="1641"/>
      <c r="B38" s="1641"/>
    </row>
    <row r="39" spans="1:9">
      <c r="A39" s="1639" t="s">
        <v>1901</v>
      </c>
      <c r="B39" s="1639" t="s">
        <v>2045</v>
      </c>
    </row>
    <row r="40" spans="1:9">
      <c r="A40" s="1639"/>
      <c r="B40" s="1639">
        <f>项目基本情况!B5</f>
        <v>0</v>
      </c>
    </row>
    <row r="41" spans="1:9">
      <c r="A41" s="1639"/>
      <c r="B41" s="1639"/>
    </row>
    <row r="42" spans="1:9">
      <c r="A42" s="1639" t="s">
        <v>1901</v>
      </c>
      <c r="B42" s="1639" t="s">
        <v>2046</v>
      </c>
    </row>
    <row r="43" spans="1:9">
      <c r="A43" s="1639"/>
      <c r="B43" s="1639" t="s">
        <v>1903</v>
      </c>
    </row>
    <row r="44" spans="1:9">
      <c r="A44" s="1639"/>
      <c r="B44" s="1639"/>
    </row>
    <row r="45" spans="1:9">
      <c r="A45" s="1639" t="s">
        <v>1901</v>
      </c>
      <c r="B45" s="1639" t="s">
        <v>2044</v>
      </c>
    </row>
    <row r="46" spans="1:9" s="1639" customFormat="1" ht="12.75">
      <c r="B46" s="1639" t="str">
        <f>项目基本情况!K4</f>
        <v>土地估价师、土地估价师</v>
      </c>
    </row>
    <row r="47" spans="1:9">
      <c r="A47" s="1639"/>
      <c r="B47" s="1639"/>
    </row>
    <row r="48" spans="1:9">
      <c r="A48" s="1639" t="s">
        <v>1901</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3"/>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46350</v>
      </c>
      <c r="D13" s="451"/>
      <c r="E13" s="365"/>
      <c r="F13" s="452"/>
      <c r="G13" s="444"/>
      <c r="H13" s="447"/>
      <c r="I13" s="447"/>
      <c r="J13" s="447"/>
      <c r="K13" s="448"/>
    </row>
    <row r="14" spans="1:41" s="2101" customFormat="1" ht="13.5" customHeight="1">
      <c r="A14" s="1618" t="s">
        <v>1849</v>
      </c>
      <c r="B14" s="449" t="s">
        <v>480</v>
      </c>
      <c r="C14" s="53">
        <f ca="1">ROUND(C13*F14,0)</f>
        <v>1391</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2318</v>
      </c>
      <c r="D15" s="451"/>
      <c r="E15" s="365"/>
      <c r="F15" s="453">
        <f>'数据-取费表'!B34</f>
        <v>0.05</v>
      </c>
      <c r="G15" s="444" t="s">
        <v>502</v>
      </c>
      <c r="H15" s="447"/>
      <c r="I15" s="447"/>
      <c r="J15" s="447"/>
      <c r="K15" s="448"/>
    </row>
    <row r="16" spans="1:41" s="2102" customFormat="1" ht="13.5" customHeight="1">
      <c r="A16" s="1618" t="s">
        <v>1851</v>
      </c>
      <c r="B16" s="449" t="s">
        <v>484</v>
      </c>
      <c r="C16" s="53">
        <f ca="1">ROUND(D16*E16/10000,0)</f>
        <v>2649</v>
      </c>
      <c r="D16" s="451">
        <f ca="1">IF(B1="",'数据-汇总表'!E3,INDIRECT("'数据-取费表'!K"&amp;$K$1)+INDIRECT("'数据-取费表'!S"&amp;$K$1))</f>
        <v>132427.66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695</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53403</v>
      </c>
      <c r="D18" s="461"/>
      <c r="E18" s="462"/>
      <c r="F18" s="462"/>
      <c r="G18" s="1322" t="s">
        <v>2431</v>
      </c>
      <c r="H18" s="447"/>
      <c r="I18" s="447"/>
      <c r="J18" s="447"/>
      <c r="K18" s="448"/>
    </row>
    <row r="19" spans="1:14" s="2104" customFormat="1" ht="13.5" customHeight="1">
      <c r="A19" s="1619" t="s">
        <v>1854</v>
      </c>
      <c r="B19" s="459" t="s">
        <v>493</v>
      </c>
      <c r="C19" s="460">
        <f ca="1">ROUND(C18*F19,0)</f>
        <v>1068</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1858</v>
      </c>
      <c r="B21" s="461" t="s">
        <v>494</v>
      </c>
      <c r="C21" s="470">
        <f ca="1">C22</f>
        <v>2587</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1848</v>
      </c>
      <c r="B22" s="1323" t="s">
        <v>2434</v>
      </c>
      <c r="C22" s="487">
        <f ca="1">ROUND(IF('数据-取费表'!B22&lt;=1,(C18+C19)*F21*'数据-取费表'!B20/2,(C18+C19)*(POWER((1+F21),'数据-取费表'!B20/2)-1)),0)</f>
        <v>2587</v>
      </c>
      <c r="D22" s="472"/>
      <c r="E22" s="473"/>
      <c r="F22" s="474"/>
      <c r="G22" s="2530" t="str">
        <f>IF('数据-取费表'!B22&lt;=1,"((1)+(2))×年利率×建设期÷2","((1)+(2))×((1+年利率)^(建设期÷2)-1)")</f>
        <v>((1)+(2))×((1+年利率)^(建设期÷2)-1)</v>
      </c>
      <c r="H22" s="457"/>
      <c r="I22" s="457"/>
      <c r="J22" s="457"/>
      <c r="K22" s="458"/>
    </row>
    <row r="23" spans="1:14" s="2105" customFormat="1" ht="13.5" customHeight="1">
      <c r="A23" s="1618"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3" t="s">
        <v>2830</v>
      </c>
      <c r="C24" s="478">
        <f ca="1">C25</f>
        <v>10894</v>
      </c>
      <c r="D24" s="489">
        <f ca="1">C26</f>
        <v>4.0000000000000001E-3</v>
      </c>
      <c r="E24" s="469" t="s">
        <v>507</v>
      </c>
      <c r="F24" s="479">
        <f ca="1">IF(B1="",'数据-取费表'!Q16,INDIRECT("'数据-取费表'!q"&amp;$K$1))</f>
        <v>0.2</v>
      </c>
      <c r="G24" s="444"/>
      <c r="H24" s="447"/>
      <c r="I24" s="447"/>
      <c r="J24" s="447"/>
      <c r="K24" s="448"/>
    </row>
    <row r="25" spans="1:14" s="2105" customFormat="1" ht="13.5" customHeight="1">
      <c r="A25" s="1618" t="s">
        <v>1848</v>
      </c>
      <c r="B25" s="1323" t="s">
        <v>2435</v>
      </c>
      <c r="C25" s="490">
        <f ca="1">ROUND((C18+C19)*F24,0)</f>
        <v>10894</v>
      </c>
      <c r="D25" s="472"/>
      <c r="E25" s="473"/>
      <c r="F25" s="480"/>
      <c r="G25" s="1321" t="s">
        <v>2432</v>
      </c>
      <c r="H25" s="457"/>
      <c r="I25" s="457"/>
      <c r="J25" s="457"/>
      <c r="K25" s="458"/>
    </row>
    <row r="26" spans="1:14" s="2105" customFormat="1" ht="13.5" customHeight="1">
      <c r="A26" s="1618" t="s">
        <v>1849</v>
      </c>
      <c r="B26" s="1323" t="s">
        <v>509</v>
      </c>
      <c r="C26" s="491">
        <f ca="1">ROUND(F20*F24,4)</f>
        <v>4.0000000000000001E-3</v>
      </c>
      <c r="D26" s="472"/>
      <c r="E26" s="481"/>
      <c r="F26" s="480"/>
      <c r="G26" s="1321" t="s">
        <v>510</v>
      </c>
      <c r="H26" s="457"/>
      <c r="I26" s="457"/>
      <c r="J26" s="457"/>
      <c r="K26" s="458"/>
    </row>
    <row r="27" spans="1:14" s="2105" customFormat="1" ht="13.5" customHeight="1">
      <c r="A27" s="1622" t="s">
        <v>1867</v>
      </c>
      <c r="B27" s="459" t="s">
        <v>511</v>
      </c>
      <c r="C27" s="2982">
        <f>ROUND(F27/(1+'数据-取费表'!C42),4)</f>
        <v>5.33E-2</v>
      </c>
      <c r="D27" s="462" t="s">
        <v>2828</v>
      </c>
      <c r="E27" s="462"/>
      <c r="F27" s="466">
        <f>'数据-取费表'!B41</f>
        <v>5.6000000000000001E-2</v>
      </c>
      <c r="G27" s="1945" t="s">
        <v>2290</v>
      </c>
      <c r="H27" s="447"/>
      <c r="I27" s="447"/>
      <c r="J27" s="447"/>
      <c r="K27" s="448"/>
    </row>
    <row r="28" spans="1:14" s="2106" customFormat="1" ht="13.5" customHeight="1">
      <c r="A28" s="1622" t="s">
        <v>1868</v>
      </c>
      <c r="B28" s="476" t="s">
        <v>512</v>
      </c>
      <c r="C28" s="470">
        <f ca="1">ROUND((C18+C19+C21+C24)/(1-C20-D21-D24-C27),0)</f>
        <v>73725</v>
      </c>
      <c r="D28" s="477"/>
      <c r="E28" s="469"/>
      <c r="F28" s="471"/>
      <c r="G28" s="1322" t="s">
        <v>2433</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5" t="s">
        <v>1865</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89" t="s">
        <v>522</v>
      </c>
      <c r="D6" s="3390"/>
      <c r="E6" s="3413" t="s">
        <v>523</v>
      </c>
      <c r="F6" s="3414"/>
      <c r="G6" s="3389" t="s">
        <v>524</v>
      </c>
      <c r="H6" s="3390"/>
      <c r="I6" s="3389" t="s">
        <v>525</v>
      </c>
      <c r="J6" s="3390"/>
      <c r="K6" s="514" t="s">
        <v>526</v>
      </c>
      <c r="L6" s="2118"/>
      <c r="M6" s="2119"/>
      <c r="N6" s="2119"/>
      <c r="O6" s="2119"/>
      <c r="P6" s="3391" t="s">
        <v>527</v>
      </c>
      <c r="Q6" s="3392"/>
      <c r="R6" s="3377" t="s">
        <v>523</v>
      </c>
      <c r="S6" s="3378"/>
      <c r="T6" s="3377" t="s">
        <v>524</v>
      </c>
      <c r="U6" s="3378"/>
      <c r="V6" s="3397" t="s">
        <v>525</v>
      </c>
      <c r="W6" s="3397"/>
      <c r="X6" s="1553"/>
      <c r="Y6" s="3377" t="s">
        <v>527</v>
      </c>
      <c r="Z6" s="3378"/>
      <c r="AA6" s="3372" t="s">
        <v>523</v>
      </c>
      <c r="AB6" s="3373" t="s">
        <v>524</v>
      </c>
      <c r="AC6" s="3372" t="s">
        <v>525</v>
      </c>
    </row>
    <row r="7" spans="1:29" ht="15">
      <c r="A7" s="515"/>
      <c r="B7" s="516"/>
      <c r="C7" s="3400" t="s">
        <v>2920</v>
      </c>
      <c r="D7" s="3401"/>
      <c r="E7" s="3415" t="s">
        <v>2921</v>
      </c>
      <c r="F7" s="3416"/>
      <c r="G7" s="3400" t="s">
        <v>2922</v>
      </c>
      <c r="H7" s="3401"/>
      <c r="I7" s="3400" t="s">
        <v>2923</v>
      </c>
      <c r="J7" s="3401"/>
      <c r="K7" s="514"/>
      <c r="L7" s="2118"/>
      <c r="M7" s="2119"/>
      <c r="N7" s="2119"/>
      <c r="O7" s="2119"/>
      <c r="P7" s="3393"/>
      <c r="Q7" s="3394"/>
      <c r="R7" s="3379"/>
      <c r="S7" s="3380"/>
      <c r="T7" s="3379"/>
      <c r="U7" s="3380"/>
      <c r="V7" s="3397"/>
      <c r="W7" s="3397"/>
      <c r="X7" s="1553"/>
      <c r="Y7" s="3379"/>
      <c r="Z7" s="3380"/>
      <c r="AA7" s="3373"/>
      <c r="AB7" s="3373"/>
      <c r="AC7" s="3373"/>
    </row>
    <row r="8" spans="1:29" ht="15.75" thickBot="1">
      <c r="A8" s="517"/>
      <c r="B8" s="518"/>
      <c r="C8" s="3398" t="s">
        <v>2924</v>
      </c>
      <c r="D8" s="3399"/>
      <c r="E8" s="3417" t="s">
        <v>2924</v>
      </c>
      <c r="F8" s="3418"/>
      <c r="G8" s="3398" t="s">
        <v>2924</v>
      </c>
      <c r="H8" s="3399"/>
      <c r="I8" s="3398" t="s">
        <v>2924</v>
      </c>
      <c r="J8" s="3399"/>
      <c r="K8" s="514" t="s">
        <v>528</v>
      </c>
      <c r="L8" s="2118"/>
      <c r="M8" s="2119"/>
      <c r="N8" s="2119"/>
      <c r="O8" s="2119"/>
      <c r="P8" s="3395"/>
      <c r="Q8" s="3396"/>
      <c r="R8" s="3379"/>
      <c r="S8" s="3380"/>
      <c r="T8" s="3381"/>
      <c r="U8" s="3382"/>
      <c r="V8" s="3397"/>
      <c r="W8" s="3397"/>
      <c r="X8" s="1553"/>
      <c r="Y8" s="3381"/>
      <c r="Z8" s="3382"/>
      <c r="AA8" s="3374"/>
      <c r="AB8" s="3374"/>
      <c r="AC8" s="3374"/>
    </row>
    <row r="9" spans="1:29" s="1215" customFormat="1" ht="15.75" thickBot="1">
      <c r="A9" s="2866"/>
      <c r="B9" s="2873" t="s">
        <v>529</v>
      </c>
      <c r="C9" s="519">
        <f>'数据-取费表'!B2</f>
        <v>43581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5" t="s">
        <v>530</v>
      </c>
      <c r="Q9" s="3384"/>
      <c r="R9" s="1554" t="s">
        <v>8</v>
      </c>
      <c r="S9" s="1555">
        <f t="shared" ref="S9:S17" si="0">F9</f>
        <v>0</v>
      </c>
      <c r="T9" s="1554" t="s">
        <v>8</v>
      </c>
      <c r="U9" s="1555">
        <f t="shared" ref="U9:U17" si="1">H9</f>
        <v>0</v>
      </c>
      <c r="V9" s="1554" t="s">
        <v>8</v>
      </c>
      <c r="W9" s="1555">
        <f t="shared" ref="W9:W17" si="2">J9</f>
        <v>0</v>
      </c>
      <c r="X9" s="1556"/>
      <c r="Y9" s="3375" t="s">
        <v>530</v>
      </c>
      <c r="Z9" s="3376"/>
      <c r="AA9" s="1557" t="e">
        <f>D9/F9</f>
        <v>#DIV/0!</v>
      </c>
      <c r="AB9" s="1557" t="e">
        <f>D9/H9</f>
        <v>#DIV/0!</v>
      </c>
      <c r="AC9" s="1557"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5" t="s">
        <v>533</v>
      </c>
      <c r="Q10" s="3376"/>
      <c r="R10" s="1554" t="s">
        <v>8</v>
      </c>
      <c r="S10" s="1555">
        <f t="shared" si="0"/>
        <v>0</v>
      </c>
      <c r="T10" s="1554" t="s">
        <v>8</v>
      </c>
      <c r="U10" s="1555">
        <f t="shared" si="1"/>
        <v>0</v>
      </c>
      <c r="V10" s="1554" t="s">
        <v>8</v>
      </c>
      <c r="W10" s="1555">
        <f t="shared" si="2"/>
        <v>0</v>
      </c>
      <c r="X10" s="1556"/>
      <c r="Y10" s="3375" t="s">
        <v>533</v>
      </c>
      <c r="Z10" s="3376"/>
      <c r="AA10" s="1557" t="e">
        <f t="shared" ref="AA10:AA42" si="3">D10/F10</f>
        <v>#DIV/0!</v>
      </c>
      <c r="AB10" s="1557" t="e">
        <f t="shared" ref="AB10:AB42" si="4">D10/H10</f>
        <v>#DIV/0!</v>
      </c>
      <c r="AC10" s="1557" t="e">
        <f t="shared" ref="AC10:AC42" si="5">D10/J10</f>
        <v>#DIV/0!</v>
      </c>
    </row>
    <row r="11" spans="1:29" s="1215"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3" t="s">
        <v>535</v>
      </c>
      <c r="Q11" s="1146" t="str">
        <f t="shared" ref="Q11:Q17" si="6">B11</f>
        <v>用途</v>
      </c>
      <c r="R11" s="1554" t="s">
        <v>8</v>
      </c>
      <c r="S11" s="1555">
        <f t="shared" si="0"/>
        <v>100</v>
      </c>
      <c r="T11" s="1554" t="s">
        <v>8</v>
      </c>
      <c r="U11" s="1555">
        <f t="shared" si="1"/>
        <v>100</v>
      </c>
      <c r="V11" s="1554" t="s">
        <v>8</v>
      </c>
      <c r="W11" s="1555">
        <f t="shared" si="2"/>
        <v>100</v>
      </c>
      <c r="X11" s="1556"/>
      <c r="Y11" s="3340" t="s">
        <v>536</v>
      </c>
      <c r="Z11" s="1145" t="str">
        <f t="shared" ref="Z11:Z17" si="7">Q11</f>
        <v>用途</v>
      </c>
      <c r="AA11" s="1557">
        <f t="shared" si="3"/>
        <v>1</v>
      </c>
      <c r="AB11" s="1557">
        <f t="shared" si="4"/>
        <v>1</v>
      </c>
      <c r="AC11" s="1557">
        <f t="shared" si="5"/>
        <v>1</v>
      </c>
    </row>
    <row r="12" spans="1:29" s="1333" customFormat="1" ht="27">
      <c r="A12" s="2869"/>
      <c r="B12" s="2874" t="s">
        <v>2756</v>
      </c>
      <c r="C12" s="528"/>
      <c r="D12" s="255">
        <v>100</v>
      </c>
      <c r="E12" s="528"/>
      <c r="F12" s="255">
        <f>ROUND(100/'数据-取费表'!G16,0)</f>
        <v>107</v>
      </c>
      <c r="G12" s="528"/>
      <c r="H12" s="255">
        <f>ROUND(100/'数据-取费表'!G16,0)</f>
        <v>107</v>
      </c>
      <c r="I12" s="528"/>
      <c r="J12" s="255">
        <f>ROUND(100/'数据-取费表'!G16,0)</f>
        <v>107</v>
      </c>
      <c r="K12" s="531"/>
      <c r="L12" s="2123"/>
      <c r="M12" s="2163"/>
      <c r="N12" s="2163"/>
      <c r="O12" s="2124"/>
      <c r="P12" s="3383"/>
      <c r="Q12" s="1146" t="str">
        <f t="shared" si="6"/>
        <v>土地使用年限（年）</v>
      </c>
      <c r="R12" s="1554" t="s">
        <v>8</v>
      </c>
      <c r="S12" s="1555">
        <f t="shared" si="0"/>
        <v>107</v>
      </c>
      <c r="T12" s="1554" t="s">
        <v>8</v>
      </c>
      <c r="U12" s="1555">
        <f t="shared" si="1"/>
        <v>107</v>
      </c>
      <c r="V12" s="1554" t="s">
        <v>8</v>
      </c>
      <c r="W12" s="1555">
        <f t="shared" si="2"/>
        <v>107</v>
      </c>
      <c r="X12" s="1556"/>
      <c r="Y12" s="3340"/>
      <c r="Z12" s="1145" t="str">
        <f t="shared" si="7"/>
        <v>土地使用年限（年）</v>
      </c>
      <c r="AA12" s="1557">
        <f t="shared" si="3"/>
        <v>0.93457943925233644</v>
      </c>
      <c r="AB12" s="1557">
        <f t="shared" si="4"/>
        <v>0.93457943925233644</v>
      </c>
      <c r="AC12" s="1557">
        <f t="shared" si="5"/>
        <v>0.93457943925233644</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3"/>
      <c r="Q13" s="1146" t="str">
        <f t="shared" si="6"/>
        <v>容积率</v>
      </c>
      <c r="R13" s="1554" t="s">
        <v>8</v>
      </c>
      <c r="S13" s="1555" t="e">
        <f t="shared" si="0"/>
        <v>#N/A</v>
      </c>
      <c r="T13" s="1554" t="s">
        <v>8</v>
      </c>
      <c r="U13" s="1555" t="e">
        <f t="shared" si="1"/>
        <v>#N/A</v>
      </c>
      <c r="V13" s="1554" t="s">
        <v>8</v>
      </c>
      <c r="W13" s="1555" t="e">
        <f t="shared" si="2"/>
        <v>#N/A</v>
      </c>
      <c r="X13" s="1556"/>
      <c r="Y13" s="3340"/>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3"/>
      <c r="Q14" s="1146">
        <f t="shared" si="6"/>
        <v>111</v>
      </c>
      <c r="R14" s="1554" t="s">
        <v>8</v>
      </c>
      <c r="S14" s="1555">
        <f t="shared" si="0"/>
        <v>100</v>
      </c>
      <c r="T14" s="1554" t="s">
        <v>8</v>
      </c>
      <c r="U14" s="1555">
        <f t="shared" si="1"/>
        <v>100</v>
      </c>
      <c r="V14" s="1554" t="s">
        <v>8</v>
      </c>
      <c r="W14" s="1555">
        <f t="shared" si="2"/>
        <v>100</v>
      </c>
      <c r="X14" s="1556"/>
      <c r="Y14" s="3340"/>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3"/>
      <c r="Q15" s="1146">
        <f t="shared" si="6"/>
        <v>111</v>
      </c>
      <c r="R15" s="1554" t="s">
        <v>8</v>
      </c>
      <c r="S15" s="1555">
        <f t="shared" si="0"/>
        <v>100</v>
      </c>
      <c r="T15" s="1554" t="s">
        <v>8</v>
      </c>
      <c r="U15" s="1555">
        <f t="shared" si="1"/>
        <v>100</v>
      </c>
      <c r="V15" s="1554" t="s">
        <v>8</v>
      </c>
      <c r="W15" s="1555">
        <f t="shared" si="2"/>
        <v>100</v>
      </c>
      <c r="X15" s="1556"/>
      <c r="Y15" s="3340"/>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3"/>
      <c r="Q16" s="1146">
        <f t="shared" si="6"/>
        <v>111</v>
      </c>
      <c r="R16" s="1554" t="s">
        <v>8</v>
      </c>
      <c r="S16" s="1555">
        <f t="shared" si="0"/>
        <v>100</v>
      </c>
      <c r="T16" s="1554" t="s">
        <v>8</v>
      </c>
      <c r="U16" s="1555">
        <f t="shared" si="1"/>
        <v>100</v>
      </c>
      <c r="V16" s="1554" t="s">
        <v>8</v>
      </c>
      <c r="W16" s="1555">
        <f t="shared" si="2"/>
        <v>100</v>
      </c>
      <c r="X16" s="1556"/>
      <c r="Y16" s="3340"/>
      <c r="Z16" s="1145">
        <f t="shared" si="7"/>
        <v>111</v>
      </c>
      <c r="AA16" s="1557">
        <f t="shared" si="3"/>
        <v>1</v>
      </c>
      <c r="AB16" s="1557">
        <f t="shared" si="4"/>
        <v>1</v>
      </c>
      <c r="AC16" s="1557">
        <f t="shared" si="5"/>
        <v>1</v>
      </c>
    </row>
    <row r="17" spans="1:29" ht="15">
      <c r="A17" s="2864" t="s">
        <v>2753</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5" t="s">
        <v>540</v>
      </c>
      <c r="Q17" s="1558" t="str">
        <f t="shared" si="6"/>
        <v>产业集聚程度</v>
      </c>
      <c r="R17" s="1559" t="s">
        <v>8</v>
      </c>
      <c r="S17" s="1560">
        <f t="shared" si="0"/>
        <v>100</v>
      </c>
      <c r="T17" s="1559" t="s">
        <v>8</v>
      </c>
      <c r="U17" s="1560">
        <f t="shared" si="1"/>
        <v>100</v>
      </c>
      <c r="V17" s="1559" t="s">
        <v>8</v>
      </c>
      <c r="W17" s="1560">
        <f t="shared" si="2"/>
        <v>100</v>
      </c>
      <c r="X17" s="1553"/>
      <c r="Y17" s="3385"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86"/>
      <c r="Q18" s="1558"/>
      <c r="R18" s="1559"/>
      <c r="S18" s="1560"/>
      <c r="T18" s="1559"/>
      <c r="U18" s="1560"/>
      <c r="V18" s="1559"/>
      <c r="W18" s="1560"/>
      <c r="X18" s="1553"/>
      <c r="Y18" s="3386"/>
      <c r="Z18" s="1561"/>
      <c r="AA18" s="1562">
        <v>1</v>
      </c>
      <c r="AB18" s="1562">
        <v>1</v>
      </c>
      <c r="AC18" s="1562">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6"/>
      <c r="Q19" s="1558" t="str">
        <f>B19</f>
        <v>交通便捷度</v>
      </c>
      <c r="R19" s="1559" t="s">
        <v>8</v>
      </c>
      <c r="S19" s="1560">
        <f>F19</f>
        <v>100</v>
      </c>
      <c r="T19" s="1559" t="s">
        <v>8</v>
      </c>
      <c r="U19" s="1560">
        <f>H19</f>
        <v>100</v>
      </c>
      <c r="V19" s="1559" t="s">
        <v>8</v>
      </c>
      <c r="W19" s="1560">
        <f>J19</f>
        <v>100</v>
      </c>
      <c r="X19" s="1553"/>
      <c r="Y19" s="3386"/>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386"/>
      <c r="Q20" s="1558"/>
      <c r="R20" s="1559"/>
      <c r="S20" s="1560"/>
      <c r="T20" s="1559"/>
      <c r="U20" s="1560"/>
      <c r="V20" s="1559"/>
      <c r="W20" s="1560"/>
      <c r="X20" s="1553"/>
      <c r="Y20" s="3386"/>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86"/>
      <c r="Q21" s="1558" t="str">
        <f t="shared" ref="Q21:Q35" si="8">B21</f>
        <v>区域土地利用方向</v>
      </c>
      <c r="R21" s="1559" t="s">
        <v>8</v>
      </c>
      <c r="S21" s="1560">
        <f>F21</f>
        <v>100</v>
      </c>
      <c r="T21" s="1559" t="s">
        <v>8</v>
      </c>
      <c r="U21" s="1560">
        <f>H21</f>
        <v>100</v>
      </c>
      <c r="V21" s="1559" t="s">
        <v>8</v>
      </c>
      <c r="W21" s="1560">
        <f>J21</f>
        <v>100</v>
      </c>
      <c r="X21" s="1553"/>
      <c r="Y21" s="338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86"/>
      <c r="Q22" s="1558"/>
      <c r="R22" s="1559"/>
      <c r="S22" s="1560"/>
      <c r="T22" s="1559"/>
      <c r="U22" s="1560"/>
      <c r="V22" s="1559"/>
      <c r="W22" s="1560"/>
      <c r="X22" s="1553"/>
      <c r="Y22" s="3386"/>
      <c r="Z22" s="1561"/>
      <c r="AA22" s="1562"/>
      <c r="AB22" s="1562"/>
      <c r="AC22" s="1562"/>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6"/>
      <c r="Q23" s="1558" t="str">
        <f t="shared" si="8"/>
        <v>环境状况</v>
      </c>
      <c r="R23" s="1559" t="s">
        <v>8</v>
      </c>
      <c r="S23" s="1560">
        <f>F23</f>
        <v>100</v>
      </c>
      <c r="T23" s="1559" t="s">
        <v>8</v>
      </c>
      <c r="U23" s="1560">
        <f>H23</f>
        <v>100</v>
      </c>
      <c r="V23" s="1559" t="s">
        <v>8</v>
      </c>
      <c r="W23" s="1560">
        <f>J23</f>
        <v>100</v>
      </c>
      <c r="X23" s="1553"/>
      <c r="Y23" s="338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86"/>
      <c r="Q24" s="1558"/>
      <c r="R24" s="1559"/>
      <c r="S24" s="1560"/>
      <c r="T24" s="1559"/>
      <c r="U24" s="1560"/>
      <c r="V24" s="1559"/>
      <c r="W24" s="1560"/>
      <c r="X24" s="1553"/>
      <c r="Y24" s="3386"/>
      <c r="Z24" s="1561"/>
      <c r="AA24" s="1562">
        <v>1</v>
      </c>
      <c r="AB24" s="1562">
        <v>1</v>
      </c>
      <c r="AC24" s="1562">
        <v>1</v>
      </c>
    </row>
    <row r="25" spans="1:29" s="1215" customFormat="1" ht="15">
      <c r="A25" s="577"/>
      <c r="B25" s="2556" t="s">
        <v>2547</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6"/>
      <c r="Q25" s="1146" t="str">
        <f t="shared" si="8"/>
        <v>公共配套设施</v>
      </c>
      <c r="R25" s="1554" t="s">
        <v>8</v>
      </c>
      <c r="S25" s="1555">
        <f>F25</f>
        <v>100</v>
      </c>
      <c r="T25" s="1554" t="s">
        <v>8</v>
      </c>
      <c r="U25" s="1555">
        <f>H25</f>
        <v>100</v>
      </c>
      <c r="V25" s="1554" t="s">
        <v>8</v>
      </c>
      <c r="W25" s="1555">
        <f>J25</f>
        <v>100</v>
      </c>
      <c r="X25" s="1556"/>
      <c r="Y25" s="3386"/>
      <c r="Z25" s="1145" t="str">
        <f>Q25</f>
        <v>公共配套设施</v>
      </c>
      <c r="AA25" s="1562">
        <f>D25/F25</f>
        <v>1</v>
      </c>
      <c r="AB25" s="1562">
        <f>D25/H25</f>
        <v>1</v>
      </c>
      <c r="AC25" s="1562">
        <f>D25/J25</f>
        <v>1</v>
      </c>
    </row>
    <row r="26" spans="1:29" s="1215" customFormat="1" ht="15">
      <c r="A26" s="577"/>
      <c r="B26" s="595"/>
      <c r="C26" s="2555"/>
      <c r="D26" s="555"/>
      <c r="E26" s="554"/>
      <c r="F26" s="555"/>
      <c r="G26" s="554"/>
      <c r="H26" s="555"/>
      <c r="I26" s="576"/>
      <c r="J26" s="555"/>
      <c r="K26" s="531"/>
      <c r="L26" s="2120"/>
      <c r="M26" s="2121"/>
      <c r="N26" s="2121"/>
      <c r="O26" s="2122"/>
      <c r="P26" s="3386"/>
      <c r="Q26" s="1146"/>
      <c r="R26" s="1554"/>
      <c r="S26" s="1555"/>
      <c r="T26" s="1554"/>
      <c r="U26" s="1555"/>
      <c r="V26" s="1554"/>
      <c r="W26" s="1555"/>
      <c r="X26" s="1556"/>
      <c r="Y26" s="3386"/>
      <c r="Z26" s="1145"/>
      <c r="AA26" s="1557">
        <v>1</v>
      </c>
      <c r="AB26" s="1557">
        <v>1</v>
      </c>
      <c r="AC26" s="1557">
        <v>1</v>
      </c>
    </row>
    <row r="27" spans="1:29" s="1215" customFormat="1" ht="15">
      <c r="A27" s="577"/>
      <c r="B27" s="2556" t="s">
        <v>2548</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6"/>
      <c r="Q27" s="2541" t="str">
        <f t="shared" ref="Q27" si="9">B27</f>
        <v>基础设施水平</v>
      </c>
      <c r="R27" s="1554" t="s">
        <v>8</v>
      </c>
      <c r="S27" s="1555">
        <f>F27</f>
        <v>100</v>
      </c>
      <c r="T27" s="1554" t="s">
        <v>8</v>
      </c>
      <c r="U27" s="1555">
        <f>H27</f>
        <v>100</v>
      </c>
      <c r="V27" s="1554" t="s">
        <v>8</v>
      </c>
      <c r="W27" s="1555">
        <f>J27</f>
        <v>100</v>
      </c>
      <c r="X27" s="1556"/>
      <c r="Y27" s="3386"/>
      <c r="Z27" s="2538" t="str">
        <f>Q27</f>
        <v>基础设施水平</v>
      </c>
      <c r="AA27" s="1562">
        <f>D27/F27</f>
        <v>1</v>
      </c>
      <c r="AB27" s="1562">
        <f>D27/H27</f>
        <v>1</v>
      </c>
      <c r="AC27" s="1562">
        <f>D27/J27</f>
        <v>1</v>
      </c>
    </row>
    <row r="28" spans="1:29" s="1215" customFormat="1" ht="15">
      <c r="A28" s="577"/>
      <c r="B28" s="595"/>
      <c r="C28" s="2555"/>
      <c r="D28" s="555"/>
      <c r="E28" s="579"/>
      <c r="F28" s="555"/>
      <c r="G28" s="579"/>
      <c r="H28" s="555"/>
      <c r="I28" s="579"/>
      <c r="J28" s="555"/>
      <c r="K28" s="531"/>
      <c r="L28" s="2120"/>
      <c r="M28" s="2121"/>
      <c r="N28" s="2121"/>
      <c r="O28" s="2122"/>
      <c r="P28" s="3386"/>
      <c r="Q28" s="2541"/>
      <c r="R28" s="1554"/>
      <c r="S28" s="1555"/>
      <c r="T28" s="1554"/>
      <c r="U28" s="1555"/>
      <c r="V28" s="1554"/>
      <c r="W28" s="1555"/>
      <c r="X28" s="1556"/>
      <c r="Y28" s="3386"/>
      <c r="Z28" s="2538"/>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6"/>
      <c r="Z29" s="1561" t="str">
        <f t="shared" ref="Z29:Z42" si="13">Q29</f>
        <v>临街状况</v>
      </c>
      <c r="AA29" s="1562">
        <f t="shared" si="3"/>
        <v>1</v>
      </c>
      <c r="AB29" s="1562">
        <f t="shared" si="4"/>
        <v>1</v>
      </c>
      <c r="AC29" s="1562">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6"/>
      <c r="Q30" s="1558" t="str">
        <f t="shared" si="8"/>
        <v>毗邻道路的类型与等级</v>
      </c>
      <c r="R30" s="1559" t="s">
        <v>8</v>
      </c>
      <c r="S30" s="1560">
        <f t="shared" si="10"/>
        <v>100</v>
      </c>
      <c r="T30" s="1559" t="s">
        <v>8</v>
      </c>
      <c r="U30" s="1560">
        <f t="shared" si="11"/>
        <v>100</v>
      </c>
      <c r="V30" s="1559" t="s">
        <v>8</v>
      </c>
      <c r="W30" s="1560">
        <f t="shared" si="12"/>
        <v>100</v>
      </c>
      <c r="X30" s="1553"/>
      <c r="Y30" s="338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86"/>
      <c r="Q31" s="1558"/>
      <c r="R31" s="1559"/>
      <c r="S31" s="1560"/>
      <c r="T31" s="1559"/>
      <c r="U31" s="1560"/>
      <c r="V31" s="1559"/>
      <c r="W31" s="1560"/>
      <c r="X31" s="1553"/>
      <c r="Y31" s="3386"/>
      <c r="Z31" s="1561"/>
      <c r="AA31" s="1562">
        <v>1</v>
      </c>
      <c r="AB31" s="1562">
        <v>1</v>
      </c>
      <c r="AC31" s="1562">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6"/>
      <c r="Q32" s="1558" t="str">
        <f t="shared" si="8"/>
        <v>土地级别</v>
      </c>
      <c r="R32" s="1559" t="s">
        <v>8</v>
      </c>
      <c r="S32" s="1560">
        <f t="shared" si="10"/>
        <v>100</v>
      </c>
      <c r="T32" s="1559" t="s">
        <v>8</v>
      </c>
      <c r="U32" s="1560">
        <f t="shared" si="11"/>
        <v>100</v>
      </c>
      <c r="V32" s="1559" t="s">
        <v>8</v>
      </c>
      <c r="W32" s="1560">
        <f t="shared" si="12"/>
        <v>100</v>
      </c>
      <c r="X32" s="1553"/>
      <c r="Y32" s="338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6"/>
      <c r="Q33" s="1558">
        <f t="shared" si="8"/>
        <v>111</v>
      </c>
      <c r="R33" s="1559" t="s">
        <v>8</v>
      </c>
      <c r="S33" s="1560">
        <f t="shared" si="10"/>
        <v>100</v>
      </c>
      <c r="T33" s="1559" t="s">
        <v>8</v>
      </c>
      <c r="U33" s="1560">
        <f t="shared" si="11"/>
        <v>100</v>
      </c>
      <c r="V33" s="1559" t="s">
        <v>8</v>
      </c>
      <c r="W33" s="1560">
        <f t="shared" si="12"/>
        <v>100</v>
      </c>
      <c r="X33" s="1553"/>
      <c r="Y33" s="338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7" t="s">
        <v>550</v>
      </c>
      <c r="Q34" s="1558">
        <f t="shared" si="8"/>
        <v>111</v>
      </c>
      <c r="R34" s="1559" t="s">
        <v>8</v>
      </c>
      <c r="S34" s="1560">
        <f t="shared" si="10"/>
        <v>100</v>
      </c>
      <c r="T34" s="1559" t="s">
        <v>8</v>
      </c>
      <c r="U34" s="1560">
        <f t="shared" si="11"/>
        <v>100</v>
      </c>
      <c r="V34" s="1559" t="s">
        <v>8</v>
      </c>
      <c r="W34" s="1560">
        <f t="shared" si="12"/>
        <v>100</v>
      </c>
      <c r="X34" s="1553"/>
      <c r="Y34" s="3388" t="s">
        <v>550</v>
      </c>
      <c r="Z34" s="1561">
        <f t="shared" si="13"/>
        <v>111</v>
      </c>
      <c r="AA34" s="1562">
        <f t="shared" si="3"/>
        <v>1</v>
      </c>
      <c r="AB34" s="1562">
        <f t="shared" si="4"/>
        <v>1</v>
      </c>
      <c r="AC34" s="1562">
        <f t="shared" si="5"/>
        <v>1</v>
      </c>
    </row>
    <row r="35" spans="1:29" s="1334"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8"/>
      <c r="Q35" s="1558">
        <f t="shared" si="8"/>
        <v>111</v>
      </c>
      <c r="R35" s="1563" t="s">
        <v>8</v>
      </c>
      <c r="S35" s="1564">
        <f t="shared" si="10"/>
        <v>100</v>
      </c>
      <c r="T35" s="1563" t="s">
        <v>8</v>
      </c>
      <c r="U35" s="1564">
        <f t="shared" si="11"/>
        <v>100</v>
      </c>
      <c r="V35" s="1563" t="s">
        <v>8</v>
      </c>
      <c r="W35" s="1564">
        <f t="shared" si="12"/>
        <v>100</v>
      </c>
      <c r="X35" s="1565"/>
      <c r="Y35" s="3388"/>
      <c r="Z35" s="1566">
        <f t="shared" si="13"/>
        <v>111</v>
      </c>
      <c r="AA35" s="1562">
        <f t="shared" si="3"/>
        <v>1</v>
      </c>
      <c r="AB35" s="1562">
        <f t="shared" si="4"/>
        <v>1</v>
      </c>
      <c r="AC35" s="1562">
        <f t="shared" si="5"/>
        <v>1</v>
      </c>
    </row>
    <row r="36" spans="1:29" ht="15">
      <c r="A36" s="2861"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8"/>
      <c r="Q36" s="1558" t="str">
        <f>B36</f>
        <v>宗地面积</v>
      </c>
      <c r="R36" s="1559" t="s">
        <v>8</v>
      </c>
      <c r="S36" s="1560" t="e">
        <f t="shared" si="10"/>
        <v>#N/A</v>
      </c>
      <c r="T36" s="1559" t="s">
        <v>8</v>
      </c>
      <c r="U36" s="1560" t="e">
        <f t="shared" si="11"/>
        <v>#N/A</v>
      </c>
      <c r="V36" s="1559" t="s">
        <v>8</v>
      </c>
      <c r="W36" s="1560" t="e">
        <f t="shared" si="12"/>
        <v>#N/A</v>
      </c>
      <c r="X36" s="1553"/>
      <c r="Y36" s="3388"/>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8"/>
      <c r="Q37" s="1558" t="str">
        <f t="shared" ref="Q37:Q42" si="14">B37</f>
        <v>宗地形状</v>
      </c>
      <c r="R37" s="1559" t="s">
        <v>8</v>
      </c>
      <c r="S37" s="1560">
        <f t="shared" si="10"/>
        <v>100</v>
      </c>
      <c r="T37" s="1559" t="s">
        <v>8</v>
      </c>
      <c r="U37" s="1560">
        <f t="shared" si="11"/>
        <v>100</v>
      </c>
      <c r="V37" s="1559" t="s">
        <v>8</v>
      </c>
      <c r="W37" s="1560">
        <f t="shared" si="12"/>
        <v>100</v>
      </c>
      <c r="X37" s="1553"/>
      <c r="Y37" s="3388"/>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8"/>
      <c r="Q38" s="1558" t="str">
        <f t="shared" si="14"/>
        <v>宗地开发程度</v>
      </c>
      <c r="R38" s="1554" t="s">
        <v>8</v>
      </c>
      <c r="S38" s="1555">
        <f t="shared" si="10"/>
        <v>100</v>
      </c>
      <c r="T38" s="1554" t="s">
        <v>8</v>
      </c>
      <c r="U38" s="1555">
        <f t="shared" si="11"/>
        <v>100</v>
      </c>
      <c r="V38" s="1554" t="s">
        <v>8</v>
      </c>
      <c r="W38" s="1555">
        <f t="shared" si="12"/>
        <v>100</v>
      </c>
      <c r="X38" s="1556"/>
      <c r="Y38" s="3388"/>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8" t="s">
        <v>601</v>
      </c>
      <c r="Q39" s="1558" t="str">
        <f t="shared" si="14"/>
        <v>工程地质条件</v>
      </c>
      <c r="R39" s="1559" t="s">
        <v>8</v>
      </c>
      <c r="S39" s="1560">
        <f t="shared" si="10"/>
        <v>100</v>
      </c>
      <c r="T39" s="1559" t="s">
        <v>8</v>
      </c>
      <c r="U39" s="1560">
        <f t="shared" si="11"/>
        <v>100</v>
      </c>
      <c r="V39" s="1559" t="s">
        <v>8</v>
      </c>
      <c r="W39" s="1560">
        <f t="shared" si="12"/>
        <v>100</v>
      </c>
      <c r="X39" s="1553"/>
      <c r="Y39" s="3388"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8"/>
      <c r="Q40" s="1558">
        <f t="shared" si="14"/>
        <v>111</v>
      </c>
      <c r="R40" s="1559" t="s">
        <v>8</v>
      </c>
      <c r="S40" s="1560">
        <f t="shared" si="10"/>
        <v>100</v>
      </c>
      <c r="T40" s="1559" t="s">
        <v>8</v>
      </c>
      <c r="U40" s="1560">
        <f t="shared" si="11"/>
        <v>100</v>
      </c>
      <c r="V40" s="1559" t="s">
        <v>8</v>
      </c>
      <c r="W40" s="1560">
        <f t="shared" si="12"/>
        <v>100</v>
      </c>
      <c r="X40" s="1553"/>
      <c r="Y40" s="338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8"/>
      <c r="Q41" s="1558">
        <f t="shared" si="14"/>
        <v>111</v>
      </c>
      <c r="R41" s="1559" t="s">
        <v>8</v>
      </c>
      <c r="S41" s="1560">
        <f t="shared" si="10"/>
        <v>100</v>
      </c>
      <c r="T41" s="1559" t="s">
        <v>8</v>
      </c>
      <c r="U41" s="1560">
        <f t="shared" si="11"/>
        <v>100</v>
      </c>
      <c r="V41" s="1559" t="s">
        <v>8</v>
      </c>
      <c r="W41" s="1560">
        <f t="shared" si="12"/>
        <v>100</v>
      </c>
      <c r="X41" s="1553"/>
      <c r="Y41" s="3388"/>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8"/>
      <c r="Q42" s="1558">
        <f t="shared" si="14"/>
        <v>111</v>
      </c>
      <c r="R42" s="1563" t="s">
        <v>8</v>
      </c>
      <c r="S42" s="1564">
        <f t="shared" si="10"/>
        <v>100</v>
      </c>
      <c r="T42" s="1563" t="s">
        <v>8</v>
      </c>
      <c r="U42" s="1564">
        <f t="shared" si="11"/>
        <v>100</v>
      </c>
      <c r="V42" s="1563" t="s">
        <v>8</v>
      </c>
      <c r="W42" s="1564">
        <f t="shared" si="12"/>
        <v>100</v>
      </c>
      <c r="X42" s="1565"/>
      <c r="Y42" s="3388"/>
      <c r="Z42" s="1566">
        <f t="shared" si="13"/>
        <v>111</v>
      </c>
      <c r="AA42" s="1562">
        <f t="shared" si="3"/>
        <v>1</v>
      </c>
      <c r="AB42" s="1562">
        <f t="shared" si="4"/>
        <v>1</v>
      </c>
      <c r="AC42" s="1562">
        <f t="shared" si="5"/>
        <v>1</v>
      </c>
    </row>
    <row r="43" spans="1:29" ht="15">
      <c r="A43" s="607" t="s">
        <v>556</v>
      </c>
      <c r="B43" s="608" t="s">
        <v>2925</v>
      </c>
      <c r="C43" s="609" t="s">
        <v>1</v>
      </c>
      <c r="D43" s="610"/>
      <c r="E43" s="611"/>
      <c r="F43" s="612"/>
      <c r="G43" s="613"/>
      <c r="H43" s="614"/>
      <c r="I43" s="611"/>
      <c r="J43" s="614"/>
      <c r="K43" s="1335"/>
      <c r="L43" s="2129"/>
      <c r="M43" s="2119"/>
      <c r="N43" s="2119"/>
      <c r="O43" s="2130"/>
      <c r="P43" s="3383" t="str">
        <f>A43</f>
        <v>成交单价</v>
      </c>
      <c r="Q43" s="3383"/>
      <c r="R43" s="3397">
        <f>E43</f>
        <v>0</v>
      </c>
      <c r="S43" s="3397"/>
      <c r="T43" s="3397">
        <f>G43</f>
        <v>0</v>
      </c>
      <c r="U43" s="3397"/>
      <c r="V43" s="3397">
        <f>I43</f>
        <v>0</v>
      </c>
      <c r="W43" s="3397"/>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83" t="str">
        <f>A44</f>
        <v>比较价格（元/平方米）</v>
      </c>
      <c r="Q44" s="3383"/>
      <c r="R44" s="3407" t="e">
        <f>ROUND(PRODUCT(R43,AA9:AA42),0)</f>
        <v>#DIV/0!</v>
      </c>
      <c r="S44" s="3407"/>
      <c r="T44" s="3407" t="e">
        <f>ROUND(PRODUCT(T43,AB9:AB42),0)</f>
        <v>#DIV/0!</v>
      </c>
      <c r="U44" s="3407"/>
      <c r="V44" s="3407" t="e">
        <f>ROUND(PRODUCT(V43,AC9:AC42),0)</f>
        <v>#DIV/0!</v>
      </c>
      <c r="W44" s="3407"/>
      <c r="X44" s="1545"/>
      <c r="Y44" s="1545"/>
      <c r="Z44" s="1545"/>
      <c r="AA44" s="1545"/>
      <c r="AB44" s="1545"/>
      <c r="AC44" s="1545"/>
    </row>
    <row r="45" spans="1:29" ht="15.75" thickBot="1">
      <c r="A45" s="621" t="s">
        <v>2926</v>
      </c>
      <c r="B45" s="622"/>
      <c r="C45" s="623" t="e">
        <f>R45</f>
        <v>#DIV/0!</v>
      </c>
      <c r="D45" s="623"/>
      <c r="E45" s="623"/>
      <c r="F45" s="623"/>
      <c r="G45" s="623"/>
      <c r="H45" s="623"/>
      <c r="I45" s="623"/>
      <c r="J45" s="623"/>
      <c r="K45" s="1337"/>
      <c r="L45" s="2129"/>
      <c r="M45" s="2119"/>
      <c r="N45" s="2119"/>
      <c r="O45" s="2130"/>
      <c r="P45" s="3404" t="str">
        <f>A45</f>
        <v>估价对象XX用房的比较价格（楼面单价，元/平方米）</v>
      </c>
      <c r="Q45" s="3405"/>
      <c r="R45" s="3406" t="e">
        <f>ROUND(AVERAGE(R44:V44),0)</f>
        <v>#DIV/0!</v>
      </c>
      <c r="S45" s="3406"/>
      <c r="T45" s="3406"/>
      <c r="U45" s="3406"/>
      <c r="V45" s="3406"/>
      <c r="W45" s="340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2292</v>
      </c>
      <c r="E52" s="631" t="s">
        <v>562</v>
      </c>
      <c r="F52" s="1936" t="s">
        <v>563</v>
      </c>
      <c r="G52" s="3408" t="s">
        <v>2283</v>
      </c>
      <c r="H52" s="3409"/>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132427.66</v>
      </c>
      <c r="F53" s="1935" t="e">
        <f t="shared" ref="F53:F62" si="15">ROUND(B53*E53/10000,0)</f>
        <v>#DIV/0!</v>
      </c>
      <c r="G53" s="3410"/>
      <c r="H53" s="341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12"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1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1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1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0.2</v>
      </c>
      <c r="D60" s="2214">
        <v>0.25</v>
      </c>
      <c r="E60" s="641">
        <f>'数据-汇总表'!E13</f>
        <v>0</v>
      </c>
      <c r="F60" s="1935" t="e">
        <f t="shared" si="15"/>
        <v>#DIV/0!</v>
      </c>
      <c r="G60" s="1931" t="s">
        <v>923</v>
      </c>
      <c r="H60" s="1939" t="str">
        <f>IF(G60="商业",项目基本情况!B43,IF(G60="办公",项目基本情况!C43,IF(G60="住宅",项目基本情况!D43,项目基本情况!E43)))</f>
        <v>五级</v>
      </c>
      <c r="I60" s="1938">
        <f>SUMIF(修正!$A$45:$A$56,H60,修正!H45:H56)</f>
        <v>0.2</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2293</v>
      </c>
      <c r="E63" s="643">
        <f>IF(B43="楼面地价",SUM(E53:E62),'数据-汇总表'!D3)</f>
        <v>120388.78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1" t="s">
        <v>2532</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2" t="s">
        <v>2648</v>
      </c>
      <c r="B68" s="479" t="str">
        <f>"北京市平均增长率"&amp;TEXT(基准地价!P24,"0.00%")</f>
        <v>北京市平均增长率1.40%</v>
      </c>
      <c r="C68" s="893">
        <v>100</v>
      </c>
      <c r="D68" s="730"/>
      <c r="E68" s="730"/>
      <c r="F68" s="730"/>
      <c r="G68" s="730"/>
      <c r="H68" s="730"/>
      <c r="I68" s="730"/>
      <c r="J68" s="730"/>
      <c r="K68" s="730"/>
      <c r="L68" s="730"/>
      <c r="M68" s="2747"/>
      <c r="N68" s="2748"/>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5"/>
      <c r="D69" s="2746"/>
      <c r="E69" s="2746"/>
      <c r="F69" s="2746"/>
      <c r="G69" s="2746"/>
      <c r="H69" s="2746"/>
      <c r="I69" s="2746"/>
      <c r="J69" s="2746"/>
      <c r="K69" s="2746"/>
      <c r="L69" s="2746"/>
      <c r="M69" s="2746"/>
      <c r="N69" s="2746"/>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0" t="s">
        <v>2549</v>
      </c>
      <c r="C95" s="2561" t="s">
        <v>2550</v>
      </c>
      <c r="D95" s="2561" t="s">
        <v>2551</v>
      </c>
      <c r="E95" s="2561" t="s">
        <v>2552</v>
      </c>
      <c r="F95" s="2561" t="s">
        <v>2553</v>
      </c>
      <c r="G95" s="2561"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3"/>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Normal="100" workbookViewId="0">
      <selection activeCell="C29" sqref="C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2425</v>
      </c>
      <c r="D1" s="1508">
        <f>SUM(D29:D30,D33:D39)</f>
        <v>0</v>
      </c>
      <c r="E1" s="1402" t="s">
        <v>2426</v>
      </c>
      <c r="F1" s="2415"/>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2760</v>
      </c>
      <c r="S1" s="2890" t="s">
        <v>2761</v>
      </c>
      <c r="T1" s="2890" t="s">
        <v>2782</v>
      </c>
      <c r="U1" s="2890" t="s">
        <v>2783</v>
      </c>
      <c r="V1" s="2890" t="s">
        <v>2784</v>
      </c>
      <c r="W1" s="2174"/>
      <c r="X1" s="2174"/>
      <c r="Y1" s="2174"/>
      <c r="Z1" s="2174"/>
      <c r="AA1" s="2174"/>
      <c r="AB1" s="2174"/>
      <c r="AC1" s="2175"/>
    </row>
    <row r="2" spans="1:39" ht="15.75">
      <c r="A2" s="1402" t="s">
        <v>920</v>
      </c>
      <c r="B2" s="1037">
        <f ca="1">C26</f>
        <v>0</v>
      </c>
      <c r="C2" s="1403" t="s">
        <v>921</v>
      </c>
      <c r="D2" s="1404" t="s">
        <v>922</v>
      </c>
      <c r="E2" s="1405" t="s">
        <v>923</v>
      </c>
      <c r="F2" s="1404" t="s">
        <v>924</v>
      </c>
      <c r="G2" s="1637" t="str">
        <f>IF(E2="商业",项目基本情况!B43,IF(E2="办公",项目基本情况!C43,IF(E2="住宅",项目基本情况!D43,项目基本情况!E43)))</f>
        <v>五级</v>
      </c>
      <c r="H2" s="1404" t="s">
        <v>926</v>
      </c>
      <c r="I2" s="1638" t="str">
        <f>IF(E2="商业",项目基本情况!B44,IF(E2="办公",项目基本情况!C44,IF(E2="住宅",项目基本情况!D44,项目基本情况!E44)))</f>
        <v>Ⅴ-22</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1.8629</v>
      </c>
      <c r="T2" s="2891">
        <f ca="1">ROUND($C$5*$C$18*$C$19*$C$20*S2*$C$24,0)</f>
        <v>35202</v>
      </c>
      <c r="U2" s="2880"/>
      <c r="V2" s="2891">
        <f ca="1">ROUND(T2*U2/10000,0)</f>
        <v>0</v>
      </c>
      <c r="W2" s="2174"/>
      <c r="X2" s="2174"/>
      <c r="Y2" s="2174"/>
      <c r="Z2" s="2174"/>
      <c r="AA2" s="2174"/>
      <c r="AB2" s="2174"/>
      <c r="AC2" s="2175"/>
    </row>
    <row r="3" spans="1:39" ht="24">
      <c r="A3" s="1407" t="s">
        <v>1687</v>
      </c>
      <c r="B3" s="1037" t="e">
        <f ca="1">ROUND(B2*10000/D1,0)</f>
        <v>#DIV/0!</v>
      </c>
      <c r="C3" s="1403" t="s">
        <v>927</v>
      </c>
      <c r="D3" s="1404" t="s">
        <v>928</v>
      </c>
      <c r="E3" s="1408" t="s">
        <v>3109</v>
      </c>
      <c r="F3" s="1409" t="s">
        <v>3110</v>
      </c>
      <c r="G3" s="1038">
        <f>IF(F3="宗地容积率",'数据-汇总表'!I4,IF(F3="估价对象容积率",'数据-汇总表'!I6,'数据-汇总表'!I7))</f>
        <v>1.1000000000000001</v>
      </c>
      <c r="H3" s="1410" t="s">
        <v>929</v>
      </c>
      <c r="I3" s="1039"/>
      <c r="J3" s="1406" t="s">
        <v>930</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1.3371999999999999</v>
      </c>
      <c r="T3" s="2891">
        <f t="shared" ref="T3:T16" ca="1" si="0">ROUND($C$5*$C$18*$C$19*$C$20*S3*$C$24,0)</f>
        <v>25268</v>
      </c>
      <c r="U3" s="2880"/>
      <c r="V3" s="2891">
        <f t="shared" ref="V3:V16" ca="1" si="1">ROUND(T3*U3/10000,0)</f>
        <v>0</v>
      </c>
      <c r="W3" s="2174"/>
      <c r="X3" s="2174"/>
      <c r="Y3" s="2174"/>
      <c r="Z3" s="2174"/>
      <c r="AA3" s="2174"/>
      <c r="AB3" s="2174"/>
      <c r="AC3" s="2175"/>
    </row>
    <row r="4" spans="1:39" ht="28.5">
      <c r="A4" s="1876" t="s">
        <v>2279</v>
      </c>
      <c r="B4" s="2416" t="e">
        <f ca="1">ROUND(B2*10000/F1,0)</f>
        <v>#DIV/0!</v>
      </c>
      <c r="C4" s="1879" t="s">
        <v>2253</v>
      </c>
      <c r="D4" s="1879" t="e">
        <f ca="1">ROUND(B2/(F1/666.67),0)</f>
        <v>#DIV/0!</v>
      </c>
      <c r="E4" s="1879" t="s">
        <v>2254</v>
      </c>
      <c r="F4" s="1877"/>
      <c r="G4" s="1877"/>
      <c r="H4" s="1877"/>
      <c r="I4" s="1877"/>
      <c r="J4" s="1878"/>
      <c r="K4" s="3151"/>
      <c r="L4" s="1870" t="s">
        <v>2240</v>
      </c>
      <c r="M4" s="1871">
        <f>SUMPRODUCT((区片价!B49:B75=I2)*(区片价!C3:F3=E2)*(区片价!C49:F75))</f>
        <v>0</v>
      </c>
      <c r="N4" s="1872">
        <f>SUMPRODUCT((因素修正幅度!B49:B75=I2)*(因素修正幅度!C3:F3=E2)*(因素修正幅度!C49:F75))</f>
        <v>0</v>
      </c>
      <c r="O4" s="3151"/>
      <c r="P4" s="1397"/>
      <c r="Q4" s="2174"/>
      <c r="R4" s="2891">
        <v>3</v>
      </c>
      <c r="S4" s="2891">
        <f>ROUND(IF(G3&gt;1,IF(R4&lt;7,SUMPRODUCT((B93:B98=R4)*(C92:N92=G2)*(C93:N98)),SUMIF(C92:N92,G2,C100:N100)),IF(R4&lt;7,SUMPRODUCT((B102:B107=R4)*(C92:N92=G2)*(C102:N107)),SUMIF(C92:N92,G2,C109:N109))),4)</f>
        <v>1.0788</v>
      </c>
      <c r="T4" s="2891">
        <f t="shared" ca="1" si="0"/>
        <v>20385</v>
      </c>
      <c r="U4" s="2880"/>
      <c r="V4" s="2891">
        <f t="shared" ca="1" si="1"/>
        <v>0</v>
      </c>
      <c r="W4" s="2174"/>
      <c r="X4" s="2174"/>
      <c r="Y4" s="2174"/>
      <c r="Z4" s="2174"/>
      <c r="AA4" s="2174"/>
      <c r="AB4" s="2174"/>
      <c r="AC4" s="2175"/>
    </row>
    <row r="5" spans="1:39" s="1417" customFormat="1" ht="15.75" thickBot="1">
      <c r="A5" s="1623" t="s">
        <v>1823</v>
      </c>
      <c r="B5" s="1411" t="s">
        <v>931</v>
      </c>
      <c r="C5" s="1040">
        <f>ROUND(IF(E2="商业",C6*C7+C16,(IF(E2="住宅",C6*C12+C16,C6+C16))),0)</f>
        <v>12126</v>
      </c>
      <c r="D5" s="3070">
        <f>ROUND(C6+C16,0)</f>
        <v>11018</v>
      </c>
      <c r="E5" s="3070"/>
      <c r="F5" s="1412"/>
      <c r="G5" s="1413"/>
      <c r="H5" s="1413"/>
      <c r="I5" s="1413"/>
      <c r="J5" s="1414"/>
      <c r="K5" s="3152"/>
      <c r="L5" s="1870" t="s">
        <v>2241</v>
      </c>
      <c r="M5" s="1871">
        <f>SUMPRODUCT((区片价!B76:B109=I2)*(区片价!C3:F3=E2)*(区片价!C76:F109))</f>
        <v>11080</v>
      </c>
      <c r="N5" s="1872">
        <f>SUMPRODUCT((因素修正幅度!B76:B109=I2)*(因素修正幅度!C3:F3=E2)*(因素修正幅度!C76:F109))</f>
        <v>9.7000000000000003E-2</v>
      </c>
      <c r="O5" s="3152"/>
      <c r="P5" s="1580"/>
      <c r="Q5" s="2174"/>
      <c r="R5" s="2891">
        <v>4</v>
      </c>
      <c r="S5" s="2891">
        <f>ROUND(IF(G3&gt;1,IF(R5&lt;7,SUMPRODUCT((B93:B98=R5)*(C92:N92=G2)*(C93:N98)),SUMIF(C92:N92,G2,C100:N100)),IF(R5&lt;7,SUMPRODUCT((B102:B107=R5)*(C92:N92=G2)*(C102:N107)),SUMIF(C92:N92,G2,C109:N109))),4)</f>
        <v>0.86560000000000004</v>
      </c>
      <c r="T5" s="2891">
        <f t="shared" ca="1" si="0"/>
        <v>16357</v>
      </c>
      <c r="U5" s="2880"/>
      <c r="V5" s="2891">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1">
        <f>SUMIF(L1:L12,基准地价!G2,M1:M12)</f>
        <v>11080</v>
      </c>
      <c r="D6" s="1419" t="s">
        <v>1695</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0.73709999999999998</v>
      </c>
      <c r="T6" s="2891">
        <f t="shared" ca="1" si="0"/>
        <v>13928</v>
      </c>
      <c r="U6" s="2880"/>
      <c r="V6" s="2891">
        <f t="shared" ca="1" si="1"/>
        <v>0</v>
      </c>
      <c r="W6" s="2174"/>
      <c r="X6" s="2174"/>
      <c r="Y6" s="2174"/>
      <c r="Z6" s="2174"/>
      <c r="AA6" s="2174"/>
      <c r="AB6" s="2174"/>
      <c r="AC6" s="2176"/>
      <c r="AD6" s="1415"/>
      <c r="AE6" s="1415"/>
      <c r="AF6" s="1415"/>
      <c r="AG6" s="1415"/>
      <c r="AH6" s="1415"/>
      <c r="AI6" s="1415"/>
      <c r="AJ6" s="1416"/>
    </row>
    <row r="7" spans="1:39" ht="24">
      <c r="A7" s="3420" t="str">
        <f>IF(E2="商业",IF(C8="不临58条商业街","",2),"")</f>
        <v/>
      </c>
      <c r="B7" s="1423" t="s">
        <v>932</v>
      </c>
      <c r="C7" s="1042" t="e">
        <f>IF(C8="不临58条商业街",1,ROUND(1+(1.6*E8+1.2*E9+0.8*E10+0.4*E11)*C9,4))</f>
        <v>#DIV/0!</v>
      </c>
      <c r="D7" s="1424" t="s">
        <v>933</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0.6482</v>
      </c>
      <c r="T7" s="2891">
        <f t="shared" ca="1" si="0"/>
        <v>12249</v>
      </c>
      <c r="U7" s="2880"/>
      <c r="V7" s="2891">
        <f t="shared" ca="1" si="1"/>
        <v>0</v>
      </c>
      <c r="W7" s="2889" t="s">
        <v>2763</v>
      </c>
      <c r="X7" s="2881" t="str">
        <f>G2</f>
        <v>五级</v>
      </c>
      <c r="Y7" s="2881" t="s">
        <v>2764</v>
      </c>
      <c r="Z7" s="2882">
        <f>G3</f>
        <v>1.1000000000000001</v>
      </c>
      <c r="AA7" s="2177"/>
      <c r="AB7" s="2177"/>
      <c r="AC7" s="2178"/>
      <c r="AD7" s="2883"/>
      <c r="AE7" s="2883"/>
      <c r="AF7" s="2883"/>
      <c r="AG7" s="2883"/>
      <c r="AH7" s="2883"/>
      <c r="AI7" s="2883"/>
      <c r="AJ7" s="2884"/>
    </row>
    <row r="8" spans="1:39" ht="15">
      <c r="A8" s="3421"/>
      <c r="B8" s="1410" t="s">
        <v>934</v>
      </c>
      <c r="C8" s="1516"/>
      <c r="D8" s="1044" t="s">
        <v>935</v>
      </c>
      <c r="E8" s="1045" t="e">
        <f>ROUND(C11/E7,4)</f>
        <v>#DIV/0!</v>
      </c>
      <c r="F8" s="1428" t="s">
        <v>936</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f t="shared" ca="1" si="0"/>
        <v>0</v>
      </c>
      <c r="U8" s="2880"/>
      <c r="V8" s="2891">
        <f t="shared" ca="1" si="1"/>
        <v>0</v>
      </c>
      <c r="W8" s="3431" t="s">
        <v>2781</v>
      </c>
      <c r="X8" s="3432"/>
      <c r="Y8" s="1834" t="s">
        <v>2765</v>
      </c>
      <c r="Z8" s="1834" t="s">
        <v>2766</v>
      </c>
      <c r="AA8" s="1834" t="s">
        <v>2767</v>
      </c>
      <c r="AB8" s="1834" t="s">
        <v>2768</v>
      </c>
      <c r="AC8" s="1834" t="s">
        <v>2769</v>
      </c>
      <c r="AD8" s="1834" t="s">
        <v>2770</v>
      </c>
      <c r="AE8" s="1834" t="s">
        <v>2771</v>
      </c>
      <c r="AF8" s="1834" t="s">
        <v>2772</v>
      </c>
      <c r="AG8" s="1834" t="s">
        <v>2773</v>
      </c>
      <c r="AH8" s="1834" t="s">
        <v>2774</v>
      </c>
      <c r="AI8" s="1834" t="s">
        <v>2775</v>
      </c>
      <c r="AJ8" s="1834" t="s">
        <v>2776</v>
      </c>
    </row>
    <row r="9" spans="1:39" ht="15">
      <c r="A9" s="3421"/>
      <c r="B9" s="1410" t="s">
        <v>937</v>
      </c>
      <c r="C9" s="1046">
        <f>SUMIF(修正!C59:C119,C8,修正!E59:E119)</f>
        <v>0</v>
      </c>
      <c r="D9" s="1047" t="s">
        <v>938</v>
      </c>
      <c r="E9" s="1047" t="e">
        <f>ROUND(C11/E7,4)</f>
        <v>#DIV/0!</v>
      </c>
      <c r="F9" s="1428" t="s">
        <v>939</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f t="shared" ca="1" si="0"/>
        <v>0</v>
      </c>
      <c r="U9" s="2880"/>
      <c r="V9" s="2891">
        <f t="shared" ca="1" si="1"/>
        <v>0</v>
      </c>
      <c r="W9" s="3430"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1"/>
      <c r="B10" s="1410" t="s">
        <v>940</v>
      </c>
      <c r="C10" s="1047">
        <f>SUMIF(修正!C59:C119,C8,修正!F59:F119)</f>
        <v>0</v>
      </c>
      <c r="D10" s="1047" t="s">
        <v>941</v>
      </c>
      <c r="E10" s="1047" t="e">
        <f>ROUND(C11/E7,4)</f>
        <v>#DIV/0!</v>
      </c>
      <c r="F10" s="1428" t="s">
        <v>942</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f t="shared" ca="1" si="0"/>
        <v>0</v>
      </c>
      <c r="U10" s="2880"/>
      <c r="V10" s="2891">
        <f t="shared" ca="1" si="1"/>
        <v>0</v>
      </c>
      <c r="W10" s="343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1"/>
      <c r="B11" s="1431" t="s">
        <v>943</v>
      </c>
      <c r="C11" s="1048">
        <f>C10/4</f>
        <v>0</v>
      </c>
      <c r="D11" s="1048" t="s">
        <v>944</v>
      </c>
      <c r="E11" s="1048" t="e">
        <f>ROUND(C11/E7,4)</f>
        <v>#DIV/0!</v>
      </c>
      <c r="F11" s="1432" t="s">
        <v>945</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f t="shared" ca="1" si="0"/>
        <v>0</v>
      </c>
      <c r="U11" s="2880"/>
      <c r="V11" s="2891">
        <f t="shared" ca="1" si="1"/>
        <v>0</v>
      </c>
      <c r="W11" s="3430" t="s">
        <v>2779</v>
      </c>
      <c r="X11" s="1047" t="s">
        <v>2764</v>
      </c>
      <c r="Y11" s="1638">
        <f>$G$3</f>
        <v>1.1000000000000001</v>
      </c>
      <c r="Z11" s="1638">
        <f t="shared" ref="Z11:AJ11" si="3">$G$3</f>
        <v>1.1000000000000001</v>
      </c>
      <c r="AA11" s="1638">
        <f t="shared" si="3"/>
        <v>1.1000000000000001</v>
      </c>
      <c r="AB11" s="1638">
        <f t="shared" si="3"/>
        <v>1.1000000000000001</v>
      </c>
      <c r="AC11" s="1638">
        <f t="shared" si="3"/>
        <v>1.1000000000000001</v>
      </c>
      <c r="AD11" s="1638">
        <f t="shared" si="3"/>
        <v>1.1000000000000001</v>
      </c>
      <c r="AE11" s="1638">
        <f t="shared" si="3"/>
        <v>1.1000000000000001</v>
      </c>
      <c r="AF11" s="1638">
        <f t="shared" si="3"/>
        <v>1.1000000000000001</v>
      </c>
      <c r="AG11" s="1638">
        <f t="shared" si="3"/>
        <v>1.1000000000000001</v>
      </c>
      <c r="AH11" s="1638">
        <f t="shared" si="3"/>
        <v>1.1000000000000001</v>
      </c>
      <c r="AI11" s="1638">
        <f t="shared" si="3"/>
        <v>1.1000000000000001</v>
      </c>
      <c r="AJ11" s="1638">
        <f t="shared" si="3"/>
        <v>1.1000000000000001</v>
      </c>
    </row>
    <row r="12" spans="1:39" ht="25.5" thickBot="1">
      <c r="A12" s="3420" t="s">
        <v>1871</v>
      </c>
      <c r="B12" s="1435" t="s">
        <v>946</v>
      </c>
      <c r="C12" s="1042">
        <f>ROUND(C15*D15*E15*F15*G15*H15*I15*J15,4)</f>
        <v>1.1000000000000001</v>
      </c>
      <c r="D12" s="1436" t="s">
        <v>947</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f t="shared" ca="1" si="0"/>
        <v>0</v>
      </c>
      <c r="U12" s="2880"/>
      <c r="V12" s="2891">
        <f t="shared" ca="1" si="1"/>
        <v>0</v>
      </c>
      <c r="W12" s="3430"/>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2"/>
      <c r="B13" s="1440" t="s">
        <v>1696</v>
      </c>
      <c r="C13" s="1441" t="s">
        <v>1697</v>
      </c>
      <c r="D13" s="1084" t="s">
        <v>1698</v>
      </c>
      <c r="E13" s="1084" t="s">
        <v>1699</v>
      </c>
      <c r="F13" s="1442" t="s">
        <v>948</v>
      </c>
      <c r="G13" s="1443" t="s">
        <v>1642</v>
      </c>
      <c r="H13" s="1444" t="s">
        <v>1642</v>
      </c>
      <c r="I13" s="1445" t="s">
        <v>1642</v>
      </c>
      <c r="J13" s="1446" t="s">
        <v>1642</v>
      </c>
      <c r="K13" s="3167"/>
      <c r="L13" s="3167"/>
      <c r="M13" s="3167"/>
      <c r="N13" s="3167"/>
      <c r="O13" s="3167"/>
      <c r="P13" s="1397"/>
      <c r="Q13" s="2174"/>
      <c r="R13" s="2891">
        <v>12</v>
      </c>
      <c r="S13" s="2880"/>
      <c r="T13" s="2891">
        <f t="shared" ca="1" si="0"/>
        <v>0</v>
      </c>
      <c r="U13" s="2880"/>
      <c r="V13" s="2891">
        <f t="shared" ca="1" si="1"/>
        <v>0</v>
      </c>
      <c r="W13" s="3430"/>
      <c r="X13" s="2888"/>
      <c r="Y13" s="2887">
        <f>(-0.163*(Y12^2)-0.59*Y12+7617)*(10^(-4))/Y11</f>
        <v>0.69245454545454543</v>
      </c>
      <c r="Z13" s="2887">
        <f t="shared" ref="Z13:AJ13" si="5">(-0.163*(Z12^2)-0.59*Z12+7617)*(10^(-4))/Z11</f>
        <v>0.69245454545454543</v>
      </c>
      <c r="AA13" s="2887">
        <f t="shared" si="5"/>
        <v>0.69245454545454543</v>
      </c>
      <c r="AB13" s="2887">
        <f t="shared" si="5"/>
        <v>0.69245454545454543</v>
      </c>
      <c r="AC13" s="2887">
        <f t="shared" si="5"/>
        <v>0.69245454545454543</v>
      </c>
      <c r="AD13" s="2887">
        <f t="shared" si="5"/>
        <v>0.69245454545454543</v>
      </c>
      <c r="AE13" s="2887">
        <f t="shared" si="5"/>
        <v>0.69245454545454543</v>
      </c>
      <c r="AF13" s="2887">
        <f t="shared" si="5"/>
        <v>0.69245454545454543</v>
      </c>
      <c r="AG13" s="2887">
        <f t="shared" si="5"/>
        <v>0.69245454545454543</v>
      </c>
      <c r="AH13" s="2887">
        <f t="shared" si="5"/>
        <v>0.69245454545454543</v>
      </c>
      <c r="AI13" s="2887">
        <f t="shared" si="5"/>
        <v>0.69245454545454543</v>
      </c>
      <c r="AJ13" s="2887">
        <f t="shared" si="5"/>
        <v>0.69245454545454543</v>
      </c>
    </row>
    <row r="14" spans="1:39" ht="12.75" customHeight="1">
      <c r="A14" s="3422"/>
      <c r="B14" s="1447"/>
      <c r="C14" s="1448" t="s">
        <v>3177</v>
      </c>
      <c r="D14" s="1449"/>
      <c r="E14" s="1449"/>
      <c r="F14" s="1450" t="s">
        <v>3178</v>
      </c>
      <c r="G14" s="1451" t="s">
        <v>949</v>
      </c>
      <c r="H14" s="1452"/>
      <c r="I14" s="1453"/>
      <c r="J14" s="1454"/>
      <c r="K14" s="3153"/>
      <c r="L14" s="3153"/>
      <c r="M14" s="3153"/>
      <c r="N14" s="3153"/>
      <c r="O14" s="3153"/>
      <c r="P14" s="1397"/>
      <c r="Q14" s="2174"/>
      <c r="R14" s="2891">
        <v>13</v>
      </c>
      <c r="S14" s="2880"/>
      <c r="T14" s="2891">
        <f t="shared" ca="1" si="0"/>
        <v>0</v>
      </c>
      <c r="U14" s="2880"/>
      <c r="V14" s="2891">
        <f t="shared" ca="1" si="1"/>
        <v>0</v>
      </c>
      <c r="W14" s="2174"/>
      <c r="X14" s="2174"/>
      <c r="Y14" s="2174"/>
      <c r="Z14" s="2174"/>
      <c r="AA14" s="2174"/>
      <c r="AB14" s="2174"/>
      <c r="AC14" s="2175"/>
    </row>
    <row r="15" spans="1:39" ht="13.5" customHeight="1" thickBot="1">
      <c r="A15" s="3423"/>
      <c r="B15" s="3172" t="s">
        <v>1700</v>
      </c>
      <c r="C15" s="1048">
        <f>IF(C14="有",1.1,1)</f>
        <v>1.1000000000000001</v>
      </c>
      <c r="D15" s="1048">
        <f>IF(D14="有",1.1,1)</f>
        <v>1</v>
      </c>
      <c r="E15" s="1048">
        <f>IF(E14="有",1.1,1)</f>
        <v>1</v>
      </c>
      <c r="F15" s="1048">
        <f>IF(F14="500米范围内",1.2,IF(F14="500-1000米",1.1,1))</f>
        <v>1</v>
      </c>
      <c r="G15" s="3164">
        <v>1</v>
      </c>
      <c r="H15" s="3164">
        <v>1</v>
      </c>
      <c r="I15" s="3164">
        <v>1</v>
      </c>
      <c r="J15" s="3165">
        <v>1</v>
      </c>
      <c r="K15" s="3168"/>
      <c r="L15" s="3168"/>
      <c r="M15" s="3168"/>
      <c r="N15" s="3168"/>
      <c r="O15" s="3168"/>
      <c r="P15" s="1397"/>
      <c r="Q15" s="2174"/>
      <c r="R15" s="2891">
        <v>14</v>
      </c>
      <c r="S15" s="2880"/>
      <c r="T15" s="2891">
        <f t="shared" ca="1" si="0"/>
        <v>0</v>
      </c>
      <c r="U15" s="2880"/>
      <c r="V15" s="2891">
        <f t="shared" ca="1" si="1"/>
        <v>0</v>
      </c>
      <c r="W15" s="2174"/>
      <c r="X15" s="2174"/>
      <c r="Y15" s="2174"/>
      <c r="Z15" s="2174"/>
      <c r="AA15" s="2174"/>
      <c r="AB15" s="2174"/>
      <c r="AC15" s="2175"/>
    </row>
    <row r="16" spans="1:39" ht="24.6" customHeight="1">
      <c r="A16" s="3420" t="s">
        <v>1838</v>
      </c>
      <c r="B16" s="1423" t="s">
        <v>950</v>
      </c>
      <c r="C16" s="1051">
        <f>ROUND(IF(F17="与级别开发程度一致",0,(G17-E17)/C17),0)</f>
        <v>-62</v>
      </c>
      <c r="D16" s="3438" t="s">
        <v>954</v>
      </c>
      <c r="E16" s="3439"/>
      <c r="F16" s="3438" t="s">
        <v>951</v>
      </c>
      <c r="G16" s="3439"/>
      <c r="H16" s="1455" t="s">
        <v>3155</v>
      </c>
      <c r="I16" s="1455" t="s">
        <v>3156</v>
      </c>
      <c r="J16" s="1455" t="s">
        <v>3157</v>
      </c>
      <c r="K16" s="1455"/>
      <c r="L16" s="1455"/>
      <c r="M16" s="1455"/>
      <c r="N16" s="1455"/>
      <c r="O16" s="3177"/>
      <c r="P16" s="1397"/>
      <c r="Q16" s="2177"/>
      <c r="R16" s="2891">
        <v>15</v>
      </c>
      <c r="S16" s="2880"/>
      <c r="T16" s="2891">
        <f t="shared" ca="1" si="0"/>
        <v>0</v>
      </c>
      <c r="U16" s="2880"/>
      <c r="V16" s="2891">
        <f t="shared" ca="1" si="1"/>
        <v>0</v>
      </c>
      <c r="W16" s="2177"/>
      <c r="X16" s="2177"/>
      <c r="Y16" s="2177"/>
      <c r="Z16" s="2177"/>
      <c r="AA16" s="2177"/>
      <c r="AB16" s="2177"/>
      <c r="AC16" s="2178"/>
    </row>
    <row r="17" spans="1:40" ht="24.75" thickBot="1">
      <c r="A17" s="3424"/>
      <c r="B17" s="3178" t="s">
        <v>953</v>
      </c>
      <c r="C17" s="3179">
        <f>SUMPRODUCT((修正!A2:A5=E2)*(修正!B1:M1=G2)*(修正!B2:M5))</f>
        <v>2.5</v>
      </c>
      <c r="D17" s="3180" t="str">
        <f>IF(OR(G2="八级",G2="九级",G2="十级",G2="十一级",G2="十二级"),"五通一平","七通一平")</f>
        <v>七通一平</v>
      </c>
      <c r="E17" s="3170">
        <f>SUMPRODUCT((修正!B1:M1=G2)*(修正!B15:M15))</f>
        <v>300</v>
      </c>
      <c r="F17" s="3171" t="s">
        <v>3154</v>
      </c>
      <c r="G17" s="3170">
        <f>SUM(H17:O17)</f>
        <v>145</v>
      </c>
      <c r="H17" s="1050">
        <f>SUMPRODUCT((七通一平=H16)*(修正!B1:M1=G2)*(修正!B6:M14))</f>
        <v>65</v>
      </c>
      <c r="I17" s="1050">
        <f>SUMPRODUCT((七通一平=I16)*(修正!B1:M1=G2)*(修正!B6:M14))</f>
        <v>55</v>
      </c>
      <c r="J17" s="1050">
        <f>SUMPRODUCT((七通一平=J16)*(修正!B1:M1=G2)*(修正!B6:M14))</f>
        <v>25</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81">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3" t="s">
        <v>1829</v>
      </c>
      <c r="B18" s="3173" t="s">
        <v>955</v>
      </c>
      <c r="C18" s="3174">
        <f>SUMIF(修正!C18:C39,E3,修正!E18:E39)</f>
        <v>1</v>
      </c>
      <c r="D18" s="3175"/>
      <c r="E18" s="3176"/>
      <c r="F18" s="3158"/>
      <c r="G18" s="3152"/>
      <c r="H18" s="3152"/>
      <c r="I18" s="3152"/>
      <c r="J18" s="3166"/>
      <c r="K18" s="3152"/>
      <c r="L18" s="3152"/>
      <c r="M18" s="3152"/>
      <c r="N18" s="3152"/>
      <c r="O18" s="3152"/>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ROUND(IF(H19="按公示增长率计算",SUMPRODUCT((地价!A3:A26=YEAR(G19)&amp;"-"&amp;ROUNDUP(MONTH(G19)/3,0))*(地价!X2:AB2=E2)*(地价!X3:AB26)),IF(H19="地价指数",M20/M19,(1+I19)^O19)),4)</f>
        <v>1.5782</v>
      </c>
      <c r="D19" s="1462" t="s">
        <v>957</v>
      </c>
      <c r="E19" s="1053">
        <v>41640</v>
      </c>
      <c r="F19" s="1462" t="s">
        <v>958</v>
      </c>
      <c r="G19" s="1054">
        <f>'数据-取费表'!B2</f>
        <v>43581</v>
      </c>
      <c r="H19" s="1463" t="s">
        <v>3176</v>
      </c>
      <c r="I19" s="2739" t="str">
        <f>IF(H19="季度增幅（自定义）",SUMIF(N21:N24,E2,O21:O24),"")</f>
        <v/>
      </c>
      <c r="J19" s="1459"/>
      <c r="K19" s="3152"/>
      <c r="L19" s="2991" t="s">
        <v>2839</v>
      </c>
      <c r="M19" s="2992">
        <f>ROUND(SUMIF(地价!B2:F2,E2,地价!B26:F26),0)</f>
        <v>423</v>
      </c>
      <c r="N19" s="2741" t="s">
        <v>1676</v>
      </c>
      <c r="O19" s="2740">
        <f>ROUNDDOWN(DATEDIF(E19,G19,"M")/3,0)</f>
        <v>21</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3" t="s">
        <v>1836</v>
      </c>
      <c r="B20" s="2734" t="s">
        <v>971</v>
      </c>
      <c r="C20" s="2735">
        <f ca="1">ROUND(POWER(1+G20,J20-I20)*(POWER(1+G20,I20)-1)/(POWER(1+G20,J20)-1),4)</f>
        <v>0.93700000000000006</v>
      </c>
      <c r="D20" s="2736" t="s">
        <v>972</v>
      </c>
      <c r="E20" s="3045">
        <f ca="1">存贷款利率!I4/100</f>
        <v>4.3499999999999997E-2</v>
      </c>
      <c r="F20" s="2736" t="s">
        <v>973</v>
      </c>
      <c r="G20" s="2737">
        <f ca="1">SUMIF(M26:P26,E2,M28:P28)</f>
        <v>0.05</v>
      </c>
      <c r="H20" s="2736" t="s">
        <v>974</v>
      </c>
      <c r="I20" s="2732">
        <f>SUMIF('数据-取费表'!C6:C15,E2,'数据-取费表'!F6:F15)/COUNTIF('数据-取费表'!C6:C15,E2)</f>
        <v>48.51</v>
      </c>
      <c r="J20" s="2738">
        <f>IF(E2="住宅",70,IF(E2="商业",40,50))</f>
        <v>70</v>
      </c>
      <c r="K20" s="3154"/>
      <c r="L20" s="2993" t="s">
        <v>2840</v>
      </c>
      <c r="M20" s="3161">
        <f>ROUND(SUMPRODUCT((地价!A4:A26=YEAR(G19)&amp;"-"&amp;ROUNDUP(MONTH(G19)/3,0))*(地价!B2:F2=E2)*(地价!B4:F26)),0)</f>
        <v>667</v>
      </c>
      <c r="N20" s="2744" t="s">
        <v>2644</v>
      </c>
      <c r="O20" s="2742" t="s">
        <v>2643</v>
      </c>
      <c r="P20" s="2743" t="s">
        <v>2649</v>
      </c>
      <c r="Q20" s="2879"/>
      <c r="R20" s="2180"/>
      <c r="S20" s="2180"/>
      <c r="T20" s="2180"/>
      <c r="U20" s="2180"/>
      <c r="V20" s="2180"/>
      <c r="W20" s="2180"/>
      <c r="X20" s="2180"/>
      <c r="Y20" s="1460"/>
      <c r="Z20" s="1460"/>
      <c r="AA20" s="1460"/>
      <c r="AB20" s="1460"/>
      <c r="AC20" s="1460"/>
      <c r="AD20" s="1460"/>
    </row>
    <row r="21" spans="1:40" s="1417" customFormat="1" ht="14.25">
      <c r="A21" s="1627" t="s">
        <v>1837</v>
      </c>
      <c r="B21" s="1468" t="s">
        <v>3111</v>
      </c>
      <c r="C21" s="1153">
        <f>IF(B21="容积率修正",IF(G3&lt;=10,D22,J22),C23)</f>
        <v>1.2156</v>
      </c>
      <c r="D21" s="1469"/>
      <c r="E21" s="1469"/>
      <c r="F21" s="1469"/>
      <c r="G21" s="1469"/>
      <c r="H21" s="1469"/>
      <c r="I21" s="1469"/>
      <c r="J21" s="1470"/>
      <c r="K21" s="3152"/>
      <c r="L21" s="1469"/>
      <c r="M21" s="1469"/>
      <c r="N21" s="1466" t="s">
        <v>975</v>
      </c>
      <c r="O21" s="1529"/>
      <c r="P21" s="2731">
        <f>SUMPRODUCT((地价!A3:A26=YEAR(G19)&amp;"-"&amp;ROUNDUP(MONTH(G19)/3,0))*(地价!AD2:AH2=N21)*(地价!AD3:AH26))</f>
        <v>1.46E-2</v>
      </c>
      <c r="Q21" s="2879"/>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5" t="s">
        <v>1702</v>
      </c>
      <c r="D22" s="1055">
        <f>IF(E22=G22,F22,IF(G3&lt;=10,ROUND(F22+(H22-F22)*(G3-E22)/(G22-E22),4),"——"))</f>
        <v>1.2156</v>
      </c>
      <c r="E22" s="1038">
        <f>ROUNDDOWN(G3,1)</f>
        <v>1.1000000000000001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1.2156</v>
      </c>
      <c r="G22" s="1038">
        <f>ROUNDUP(G3,1)</f>
        <v>1.1000000000000001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55" t="s">
        <v>977</v>
      </c>
      <c r="J22" s="1055" t="str">
        <f>IF(G3&gt;10,D113,"——")</f>
        <v>——</v>
      </c>
      <c r="K22" s="3155"/>
      <c r="L22" s="1469"/>
      <c r="M22" s="1469"/>
      <c r="N22" s="1466" t="s">
        <v>978</v>
      </c>
      <c r="O22" s="1529"/>
      <c r="P22" s="2731">
        <f>SUMPRODUCT((地价!A3:A26=YEAR(G19)&amp;"-"&amp;ROUNDUP(MONTH(G19)/3,0))*(地价!AD2:AH2=N22)*(地价!AD3:AH26))</f>
        <v>1.46E-2</v>
      </c>
      <c r="Q22" s="2879"/>
      <c r="R22" s="2180"/>
      <c r="S22" s="2180"/>
      <c r="T22" s="2180"/>
      <c r="U22" s="2180"/>
      <c r="V22" s="2180"/>
      <c r="W22" s="2180"/>
      <c r="X22" s="2180"/>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56"/>
      <c r="L23" s="1397"/>
      <c r="M23" s="1397"/>
      <c r="N23" s="1466" t="s">
        <v>923</v>
      </c>
      <c r="O23" s="1529"/>
      <c r="P23" s="2731">
        <f>SUMPRODUCT((地价!A3:A26=YEAR(G19)&amp;"-"&amp;ROUNDUP(MONTH(G19)/3,0))*(地价!AD2:AH2=N23)*(地价!AD3:AH26))</f>
        <v>2.2599999999999999E-2</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1.0538000000000001</v>
      </c>
      <c r="D24" s="1522"/>
      <c r="E24" s="1523"/>
      <c r="F24" s="1523"/>
      <c r="G24" s="1523"/>
      <c r="H24" s="1523"/>
      <c r="I24" s="1523"/>
      <c r="J24" s="1523"/>
      <c r="K24" s="3156"/>
      <c r="L24" s="1469"/>
      <c r="M24" s="1469"/>
      <c r="N24" s="1466" t="s">
        <v>981</v>
      </c>
      <c r="O24" s="3160"/>
      <c r="P24" s="2731">
        <f>SUMPRODUCT((地价!A3:A26=YEAR(G19)&amp;"-"&amp;ROUNDUP(MONTH(G19)/3,0))*(地价!AD2:AH2=N24)*(地价!AD3:AH26))</f>
        <v>1.4E-2</v>
      </c>
      <c r="Q24" s="2879"/>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2" t="s">
        <v>2647</v>
      </c>
      <c r="O25" s="3163"/>
      <c r="P25" s="2410">
        <f>SUMPRODUCT((地价!A3:A26=YEAR(G19)&amp;"-"&amp;ROUNDUP(MONTH(G19)/3,0))*(地价!AD2:AH2=N25)*(地价!AD3:AH26))</f>
        <v>2.06E-2</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8">
        <f ca="1">E29+SUM(E33:E39)</f>
        <v>0</v>
      </c>
      <c r="D26" s="1477"/>
      <c r="E26" s="1452"/>
      <c r="F26" s="1478"/>
      <c r="G26" s="1452"/>
      <c r="H26" s="1452"/>
      <c r="I26" s="1452"/>
      <c r="J26" s="1479"/>
      <c r="K26" s="1452"/>
      <c r="L26" s="1583" t="s">
        <v>898</v>
      </c>
      <c r="M26" s="1424" t="s">
        <v>983</v>
      </c>
      <c r="N26" s="1424" t="s">
        <v>984</v>
      </c>
      <c r="O26" s="1424" t="s">
        <v>902</v>
      </c>
      <c r="P26" s="1464" t="s">
        <v>985</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f ca="1">E30+SUM(I33:I39)</f>
        <v>0</v>
      </c>
      <c r="D27" s="1481"/>
      <c r="E27" s="1482"/>
      <c r="F27" s="1483"/>
      <c r="G27" s="1482"/>
      <c r="H27" s="1482"/>
      <c r="I27" s="1482"/>
      <c r="J27" s="1484"/>
      <c r="K27" s="1452"/>
      <c r="L27" s="1456" t="s">
        <v>987</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993</v>
      </c>
      <c r="C29" s="1058">
        <f ca="1">ROUND(C5*C18*C19*C20*C21*C24,0)</f>
        <v>22970</v>
      </c>
      <c r="D29" s="1491"/>
      <c r="E29" s="1834">
        <f ca="1">ROUND(C29*D29/10000,0)</f>
        <v>0</v>
      </c>
      <c r="F29" s="1492" t="s">
        <v>1701</v>
      </c>
      <c r="G29" s="1493"/>
      <c r="H29" s="1493"/>
      <c r="I29" s="1493"/>
      <c r="J29" s="1494"/>
      <c r="K29" s="3157"/>
      <c r="L29" s="3157"/>
      <c r="M29" s="3157"/>
      <c r="N29" s="3157"/>
      <c r="O29" s="3157"/>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994</v>
      </c>
      <c r="C30" s="1050">
        <f ca="1">ROUND(IF(E2="工业",C29*M39,C29*M38),0)</f>
        <v>5743</v>
      </c>
      <c r="D30" s="1497"/>
      <c r="E30" s="1834">
        <f ca="1">ROUND(C30*D30/10000,0)</f>
        <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8"/>
      <c r="L32" s="3158"/>
      <c r="M32" s="3158"/>
      <c r="N32" s="3158"/>
      <c r="O32" s="3158"/>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7" t="s">
        <v>2952</v>
      </c>
      <c r="B33" s="1511" t="s">
        <v>999</v>
      </c>
      <c r="C33" s="1058">
        <f ca="1">ROUND(D5*C19*C20*C24*F33,0)</f>
        <v>12019</v>
      </c>
      <c r="D33" s="1524"/>
      <c r="E33" s="1047">
        <f ca="1">ROUND(C33*D33/10000,0)</f>
        <v>0</v>
      </c>
      <c r="F33" s="1047">
        <f>SUMIF(修正!A45:A56,G2,修正!B45:B56)</f>
        <v>0.7</v>
      </c>
      <c r="G33" s="1047">
        <f t="shared" ref="G33" ca="1" si="6">ROUND(IF(E2="工业",C33*$M$39,C33*$M$38),0)</f>
        <v>3005</v>
      </c>
      <c r="H33" s="1047">
        <f>D33</f>
        <v>0</v>
      </c>
      <c r="I33" s="1047">
        <f ca="1">ROUND(G33*H33/10000,0)</f>
        <v>0</v>
      </c>
      <c r="J33" s="1512"/>
      <c r="K33" s="3159"/>
      <c r="L33" s="3159"/>
      <c r="M33" s="3159"/>
      <c r="N33" s="3159"/>
      <c r="O33" s="3159"/>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28"/>
      <c r="B34" s="1441" t="s">
        <v>1000</v>
      </c>
      <c r="C34" s="1058">
        <f ca="1">ROUND(D5*C19*C20*C24*F34,0)</f>
        <v>6868</v>
      </c>
      <c r="D34" s="1524"/>
      <c r="E34" s="1047">
        <f t="shared" ref="E34:E39" ca="1" si="7">ROUND(C34*D34/10000,0)</f>
        <v>0</v>
      </c>
      <c r="F34" s="1047">
        <f>SUMIF(修正!A45:A56,G2,修正!C45:C56)</f>
        <v>0.4</v>
      </c>
      <c r="G34" s="1047">
        <f ca="1">ROUND(IF(E2="工业",C34*$M$39,C34*$M$38),0)</f>
        <v>1717</v>
      </c>
      <c r="H34" s="1047">
        <f t="shared" ref="H34:H39" si="8">D34</f>
        <v>0</v>
      </c>
      <c r="I34" s="1047">
        <f t="shared" ref="I34:I39" ca="1" si="9">ROUND(G34*H34/10000,0)</f>
        <v>0</v>
      </c>
      <c r="J34" s="1512"/>
      <c r="K34" s="3159"/>
      <c r="L34" s="3159"/>
      <c r="M34" s="3159"/>
      <c r="N34" s="3159"/>
      <c r="O34" s="3159"/>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28"/>
      <c r="B35" s="1441" t="s">
        <v>1001</v>
      </c>
      <c r="C35" s="1058">
        <f ca="1">ROUND(D5*C19*C20*C24*F35,0)</f>
        <v>4808</v>
      </c>
      <c r="D35" s="1524"/>
      <c r="E35" s="1047">
        <f t="shared" ca="1" si="7"/>
        <v>0</v>
      </c>
      <c r="F35" s="1047">
        <f>SUMIF(修正!A45:A56,G2,修正!D45:D56)</f>
        <v>0.28000000000000003</v>
      </c>
      <c r="G35" s="1047">
        <f ca="1">ROUND(IF(E2="工业",C35*$M$39,C35*$M$38),0)</f>
        <v>1202</v>
      </c>
      <c r="H35" s="1047">
        <f t="shared" si="8"/>
        <v>0</v>
      </c>
      <c r="I35" s="1047">
        <f t="shared" ca="1" si="9"/>
        <v>0</v>
      </c>
      <c r="J35" s="1512"/>
      <c r="K35" s="3159"/>
      <c r="L35" s="3159"/>
      <c r="M35" s="3159"/>
      <c r="N35" s="3159"/>
      <c r="O35" s="3159"/>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29"/>
      <c r="B36" s="1441" t="s">
        <v>1002</v>
      </c>
      <c r="C36" s="1058">
        <f ca="1">ROUND(D5*C19*C20*C24*F36,0)</f>
        <v>4292</v>
      </c>
      <c r="D36" s="1524"/>
      <c r="E36" s="1047">
        <f t="shared" ca="1" si="7"/>
        <v>0</v>
      </c>
      <c r="F36" s="1047">
        <f>SUMIF(修正!A45:A56,G2,修正!E45:E56)</f>
        <v>0.25</v>
      </c>
      <c r="G36" s="1047">
        <f ca="1">ROUND(IF(E2="工业",C36*$M$39,C36*$M$38),0)</f>
        <v>1073</v>
      </c>
      <c r="H36" s="1047">
        <f t="shared" si="8"/>
        <v>0</v>
      </c>
      <c r="I36" s="1047">
        <f t="shared" ca="1" si="9"/>
        <v>0</v>
      </c>
      <c r="J36" s="1512"/>
      <c r="K36" s="3159"/>
      <c r="L36" s="3159"/>
      <c r="M36" s="3159"/>
      <c r="N36" s="3159"/>
      <c r="O36" s="3159"/>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7">
        <f ca="1">ROUND(D5*C19*C20*C24*F37,0)</f>
        <v>4292</v>
      </c>
      <c r="D37" s="1524"/>
      <c r="E37" s="1047">
        <f t="shared" ca="1" si="7"/>
        <v>0</v>
      </c>
      <c r="F37" s="1058">
        <f>SUMIF(修正!A45:A56,G2,修正!F45:F56)</f>
        <v>0.25</v>
      </c>
      <c r="G37" s="1047">
        <f ca="1">ROUND(IF(E2="工业",C37*$M$39,C37*$M$38),0)</f>
        <v>1073</v>
      </c>
      <c r="H37" s="1047">
        <f t="shared" si="8"/>
        <v>0</v>
      </c>
      <c r="I37" s="1047">
        <f t="shared" ca="1" si="9"/>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7">
        <f ca="1">ROUND(D5*C19*C41*C24*F38,0)</f>
        <v>0</v>
      </c>
      <c r="D38" s="1524"/>
      <c r="E38" s="1047">
        <f t="shared" ca="1" si="7"/>
        <v>0</v>
      </c>
      <c r="F38" s="1058">
        <f>SUMIF(修正!A45:A56,G2,修正!G45:G56)</f>
        <v>0.25</v>
      </c>
      <c r="G38" s="1047">
        <f ca="1">ROUND(IF(E2="工业",C38*$M$39,C38*$M$38),0)</f>
        <v>0</v>
      </c>
      <c r="H38" s="1047">
        <f t="shared" si="8"/>
        <v>0</v>
      </c>
      <c r="I38" s="1047">
        <f t="shared" ca="1" si="9"/>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0">
        <f ca="1">ROUND(D5*C19*C41*C24*F39,0)</f>
        <v>0</v>
      </c>
      <c r="D39" s="1525"/>
      <c r="E39" s="1050">
        <f t="shared" ca="1" si="7"/>
        <v>0</v>
      </c>
      <c r="F39" s="1060">
        <f>SUMIF(修正!A45:A56,G2,修正!H45:H56)</f>
        <v>0.2</v>
      </c>
      <c r="G39" s="1050">
        <f ca="1">ROUND(IF(E2="工业",C39*$M$39,C39*$M$38),0)</f>
        <v>0</v>
      </c>
      <c r="H39" s="1050">
        <f t="shared" si="8"/>
        <v>0</v>
      </c>
      <c r="I39" s="1050">
        <f t="shared" ca="1" si="9"/>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8" t="s">
        <v>2979</v>
      </c>
      <c r="C41" s="839">
        <f ca="1">ROUND(POWER(1+E41,H41-G41)*(POWER(1+E41,G41)-1)/(POWER(1+E41,H41)-1),4)</f>
        <v>0</v>
      </c>
      <c r="D41" s="378" t="s">
        <v>2977</v>
      </c>
      <c r="E41" s="3147">
        <f ca="1">G20</f>
        <v>0.05</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1"/>
      <c r="H44" s="2386"/>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4.5" hidden="1" customHeight="1">
      <c r="A45" s="2387" t="s">
        <v>1007</v>
      </c>
      <c r="B45" s="2388">
        <f>1+E47</f>
        <v>1</v>
      </c>
      <c r="C45" s="2389"/>
      <c r="D45" s="2390"/>
      <c r="E45" s="2391"/>
      <c r="F45" s="2392"/>
      <c r="G45" s="2386"/>
      <c r="H45" s="2386"/>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hidden="1">
      <c r="A46" s="1062" t="s">
        <v>1008</v>
      </c>
      <c r="B46" s="2372" t="s">
        <v>1009</v>
      </c>
      <c r="C46" s="2393" t="s">
        <v>1010</v>
      </c>
      <c r="D46" s="2394" t="s">
        <v>1011</v>
      </c>
      <c r="E46" s="2395" t="s">
        <v>1013</v>
      </c>
      <c r="F46" s="2396" t="s">
        <v>2249</v>
      </c>
      <c r="G46" s="2394" t="s">
        <v>1014</v>
      </c>
      <c r="H46" s="2378" t="s">
        <v>2417</v>
      </c>
      <c r="I46" s="2394" t="s">
        <v>1012</v>
      </c>
      <c r="J46" s="2397" t="s">
        <v>1015</v>
      </c>
      <c r="K46" s="2397" t="s">
        <v>1016</v>
      </c>
      <c r="L46" s="2397" t="s">
        <v>1017</v>
      </c>
      <c r="M46" s="2397" t="s">
        <v>1018</v>
      </c>
      <c r="N46" s="2397"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hidden="1">
      <c r="A47" s="1062" t="s">
        <v>1020</v>
      </c>
      <c r="B47" s="2375" t="str">
        <f>估价对象房地状况!C16</f>
        <v>估价对象位于XX商圈，周边商业氛围成熟，人流量大，商业繁华度好</v>
      </c>
      <c r="C47" s="1049"/>
      <c r="D47" s="2381">
        <f t="shared" ref="D47:D55" si="10">SUMIF($J$46:$N$46,C47,J47:N47)</f>
        <v>0</v>
      </c>
      <c r="E47" s="2399">
        <f>ROUND(SUM(D47:D55),4)</f>
        <v>0</v>
      </c>
      <c r="F47" s="2400" t="str">
        <f>IF(E2="商业",SUMIF(L1:L12,G2,N1:N12),"——")</f>
        <v>——</v>
      </c>
      <c r="G47" s="2379"/>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hidden="1">
      <c r="A48" s="1062" t="s">
        <v>1021</v>
      </c>
      <c r="B48" s="2372" t="str">
        <f>估价对象房地状况!C18</f>
        <v>估价对象周边道路状况、公共交通通达情况、停车便捷程度，综合评价交通便捷度较好</v>
      </c>
      <c r="C48" s="1049"/>
      <c r="D48" s="2381">
        <f t="shared" si="10"/>
        <v>0</v>
      </c>
      <c r="E48" s="2402"/>
      <c r="F48" s="2400"/>
      <c r="G48" s="2379"/>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hidden="1">
      <c r="A49" s="1062" t="s">
        <v>1022</v>
      </c>
      <c r="B49" s="2372" t="str">
        <f>估价对象房地状况!C19</f>
        <v>较一致</v>
      </c>
      <c r="C49" s="1049"/>
      <c r="D49" s="2381">
        <f t="shared" si="10"/>
        <v>0</v>
      </c>
      <c r="E49" s="2402"/>
      <c r="F49" s="2400"/>
      <c r="G49" s="2379"/>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hidden="1">
      <c r="A50" s="1062" t="s">
        <v>1023</v>
      </c>
      <c r="B50" s="3047" t="s">
        <v>2928</v>
      </c>
      <c r="C50" s="1049"/>
      <c r="D50" s="2381">
        <f t="shared" si="10"/>
        <v>0</v>
      </c>
      <c r="E50" s="2402"/>
      <c r="F50" s="2400"/>
      <c r="G50" s="2379"/>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hidden="1">
      <c r="A51" s="1062" t="s">
        <v>1024</v>
      </c>
      <c r="B51" s="2372" t="str">
        <f>估价对象房地状况!C24</f>
        <v>城市次干道-来广营东路</v>
      </c>
      <c r="C51" s="1049"/>
      <c r="D51" s="2381">
        <f t="shared" si="10"/>
        <v>0</v>
      </c>
      <c r="E51" s="2402"/>
      <c r="F51" s="2400"/>
      <c r="G51" s="2379"/>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hidden="1">
      <c r="A52" s="1062" t="s">
        <v>1025</v>
      </c>
      <c r="B52" s="3046" t="s">
        <v>2927</v>
      </c>
      <c r="C52" s="1049"/>
      <c r="D52" s="2381">
        <f t="shared" si="10"/>
        <v>0</v>
      </c>
      <c r="E52" s="2402"/>
      <c r="F52" s="2400"/>
      <c r="G52" s="2379"/>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hidden="1">
      <c r="A53" s="2403" t="s">
        <v>1026</v>
      </c>
      <c r="B53" s="2373" t="str">
        <f>估价对象房地状况!C21</f>
        <v>估价对象所在区域公共配套设施较齐备</v>
      </c>
      <c r="C53" s="1049"/>
      <c r="D53" s="2381">
        <f t="shared" si="10"/>
        <v>0</v>
      </c>
      <c r="E53" s="2402"/>
      <c r="F53" s="2400"/>
      <c r="G53" s="2379"/>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hidden="1">
      <c r="A54" s="2403" t="s">
        <v>1027</v>
      </c>
      <c r="B54" s="2372" t="str">
        <f>估价对象房地状况!C22</f>
        <v>估价对象所在区域基础设施水平较高</v>
      </c>
      <c r="C54" s="1049"/>
      <c r="D54" s="2381">
        <f t="shared" si="10"/>
        <v>0</v>
      </c>
      <c r="E54" s="2402"/>
      <c r="F54" s="2400"/>
      <c r="G54" s="2379"/>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hidden="1" thickBot="1">
      <c r="A55" s="2404" t="s">
        <v>1028</v>
      </c>
      <c r="B55" s="2376" t="str">
        <f>估价对象房地状况!C20</f>
        <v>区域自然环境较好；人文环境一般；综合评价环境状况较好</v>
      </c>
      <c r="C55" s="1049"/>
      <c r="D55" s="2381">
        <f t="shared" si="10"/>
        <v>0</v>
      </c>
      <c r="E55" s="2406"/>
      <c r="F55" s="2400"/>
      <c r="G55" s="2379"/>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hidden="1">
      <c r="A56" s="2387" t="s">
        <v>1029</v>
      </c>
      <c r="B56" s="2388">
        <f>1+E58</f>
        <v>1</v>
      </c>
      <c r="C56" s="2407"/>
      <c r="D56" s="2390"/>
      <c r="E56" s="2391"/>
      <c r="F56" s="2392"/>
      <c r="G56" s="2386"/>
      <c r="H56" s="2386"/>
      <c r="I56" s="2386"/>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hidden="1">
      <c r="A57" s="1062" t="s">
        <v>1008</v>
      </c>
      <c r="B57" s="2372"/>
      <c r="C57" s="2393" t="s">
        <v>1010</v>
      </c>
      <c r="D57" s="2394" t="s">
        <v>1011</v>
      </c>
      <c r="E57" s="2395" t="s">
        <v>1013</v>
      </c>
      <c r="F57" s="2396" t="s">
        <v>2250</v>
      </c>
      <c r="G57" s="2394" t="s">
        <v>1014</v>
      </c>
      <c r="H57" s="2378" t="s">
        <v>2417</v>
      </c>
      <c r="I57" s="2394" t="s">
        <v>1012</v>
      </c>
      <c r="J57" s="2397" t="s">
        <v>1015</v>
      </c>
      <c r="K57" s="2397" t="s">
        <v>1016</v>
      </c>
      <c r="L57" s="2397" t="s">
        <v>1017</v>
      </c>
      <c r="M57" s="2397" t="s">
        <v>1018</v>
      </c>
      <c r="N57" s="2397"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hidden="1">
      <c r="A58" s="1062" t="s">
        <v>1030</v>
      </c>
      <c r="B58" s="2375" t="str">
        <f>估价对象房地状况!C17</f>
        <v>估价对象位于XX商圈，周边办公楼项目较多，入驻率高，办公集聚程度较好</v>
      </c>
      <c r="C58" s="1049"/>
      <c r="D58" s="2381">
        <f t="shared" ref="D58:D66" si="15">SUMIF($J$57:$N$57,C58,J58:N58)</f>
        <v>0</v>
      </c>
      <c r="E58" s="2399">
        <f>ROUND(SUM(D58:D66),4)</f>
        <v>0</v>
      </c>
      <c r="F58" s="2400" t="str">
        <f>IF(E2="办公",SUMIF(L1:L12,G2,N1:N12),"——")</f>
        <v>——</v>
      </c>
      <c r="G58" s="2379"/>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hidden="1">
      <c r="A59" s="1062" t="s">
        <v>1021</v>
      </c>
      <c r="B59" s="2372" t="str">
        <f>估价对象房地状况!C18</f>
        <v>估价对象周边道路状况、公共交通通达情况、停车便捷程度，综合评价交通便捷度较好</v>
      </c>
      <c r="C59" s="1049"/>
      <c r="D59" s="2381">
        <f t="shared" si="15"/>
        <v>0</v>
      </c>
      <c r="E59" s="2402"/>
      <c r="F59" s="2400"/>
      <c r="G59" s="2379"/>
      <c r="H59" s="2380"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hidden="1">
      <c r="A60" s="1062" t="s">
        <v>1022</v>
      </c>
      <c r="B60" s="2372" t="str">
        <f>估价对象房地状况!C19</f>
        <v>较一致</v>
      </c>
      <c r="C60" s="1049"/>
      <c r="D60" s="2381">
        <f t="shared" si="15"/>
        <v>0</v>
      </c>
      <c r="E60" s="2402"/>
      <c r="F60" s="2400"/>
      <c r="G60" s="2379"/>
      <c r="H60" s="2380"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hidden="1">
      <c r="A61" s="1062" t="s">
        <v>1023</v>
      </c>
      <c r="B61" s="3047" t="s">
        <v>2929</v>
      </c>
      <c r="C61" s="1049"/>
      <c r="D61" s="2381">
        <f t="shared" si="15"/>
        <v>0</v>
      </c>
      <c r="E61" s="2402"/>
      <c r="F61" s="2400"/>
      <c r="G61" s="2379"/>
      <c r="H61" s="2380"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hidden="1">
      <c r="A62" s="1062" t="s">
        <v>1024</v>
      </c>
      <c r="B62" s="2372" t="str">
        <f>估价对象房地状况!C24</f>
        <v>城市次干道-来广营东路</v>
      </c>
      <c r="C62" s="1049"/>
      <c r="D62" s="2381">
        <f t="shared" si="15"/>
        <v>0</v>
      </c>
      <c r="E62" s="2402"/>
      <c r="F62" s="2400"/>
      <c r="G62" s="2379"/>
      <c r="H62" s="2380"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hidden="1">
      <c r="A63" s="1062" t="s">
        <v>1025</v>
      </c>
      <c r="B63" s="3046" t="s">
        <v>2927</v>
      </c>
      <c r="C63" s="1049"/>
      <c r="D63" s="2381">
        <f t="shared" si="15"/>
        <v>0</v>
      </c>
      <c r="E63" s="2402"/>
      <c r="F63" s="2400"/>
      <c r="G63" s="2379"/>
      <c r="H63" s="2380"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hidden="1">
      <c r="A64" s="1062" t="s">
        <v>1026</v>
      </c>
      <c r="B64" s="2373" t="str">
        <f>估价对象房地状况!C21</f>
        <v>估价对象所在区域公共配套设施较齐备</v>
      </c>
      <c r="C64" s="1049"/>
      <c r="D64" s="2381">
        <f t="shared" si="15"/>
        <v>0</v>
      </c>
      <c r="E64" s="2402"/>
      <c r="F64" s="2400"/>
      <c r="G64" s="2379"/>
      <c r="H64" s="2380"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hidden="1">
      <c r="A65" s="1062" t="s">
        <v>1027</v>
      </c>
      <c r="B65" s="2373" t="str">
        <f>估价对象房地状况!C22</f>
        <v>估价对象所在区域基础设施水平较高</v>
      </c>
      <c r="C65" s="1049"/>
      <c r="D65" s="2381">
        <f t="shared" si="15"/>
        <v>0</v>
      </c>
      <c r="E65" s="2402"/>
      <c r="F65" s="2400"/>
      <c r="G65" s="2379"/>
      <c r="H65" s="2380"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hidden="1" thickBot="1">
      <c r="A66" s="2404" t="s">
        <v>1028</v>
      </c>
      <c r="B66" s="2377" t="str">
        <f>估价对象房地状况!C20</f>
        <v>区域自然环境较好；人文环境一般；综合评价环境状况较好</v>
      </c>
      <c r="C66" s="1049"/>
      <c r="D66" s="2381">
        <f t="shared" si="15"/>
        <v>0</v>
      </c>
      <c r="E66" s="2406"/>
      <c r="F66" s="2400"/>
      <c r="G66" s="2379"/>
      <c r="H66" s="2380"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7" t="s">
        <v>1031</v>
      </c>
      <c r="B67" s="2388">
        <f>1+E69</f>
        <v>1.0538000000000001</v>
      </c>
      <c r="C67" s="2407"/>
      <c r="D67" s="2390"/>
      <c r="E67" s="2391"/>
      <c r="F67" s="2392"/>
      <c r="G67" s="2386"/>
      <c r="H67" s="2386"/>
      <c r="I67" s="2386"/>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1008</v>
      </c>
      <c r="B68" s="2372"/>
      <c r="C68" s="2393" t="s">
        <v>1010</v>
      </c>
      <c r="D68" s="2394" t="s">
        <v>1011</v>
      </c>
      <c r="E68" s="2395" t="s">
        <v>1013</v>
      </c>
      <c r="F68" s="2396" t="s">
        <v>2251</v>
      </c>
      <c r="G68" s="2394" t="s">
        <v>1014</v>
      </c>
      <c r="H68" s="2378" t="s">
        <v>2417</v>
      </c>
      <c r="I68" s="2394" t="s">
        <v>1012</v>
      </c>
      <c r="J68" s="2397" t="s">
        <v>1015</v>
      </c>
      <c r="K68" s="2397" t="s">
        <v>1016</v>
      </c>
      <c r="L68" s="2397" t="s">
        <v>1017</v>
      </c>
      <c r="M68" s="2397" t="s">
        <v>1018</v>
      </c>
      <c r="N68" s="2397"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5.25" customHeight="1">
      <c r="A69" s="1062" t="s">
        <v>1032</v>
      </c>
      <c r="B69" s="2375" t="str">
        <f>估价对象房地状况!C15</f>
        <v>估价对象周边居住用地比例较大、居住小区规模和社区发展完善程度较好，综合评价居住社区成熟度较好</v>
      </c>
      <c r="C69" s="1154" t="s">
        <v>3112</v>
      </c>
      <c r="D69" s="2381">
        <f t="shared" ref="D69:D77" si="20">SUMIF($J$68:$N$68,C69,J69:N69)</f>
        <v>6.7000000000000002E-3</v>
      </c>
      <c r="E69" s="2399">
        <f>ROUND(SUM(D69:D77),4)</f>
        <v>5.3800000000000001E-2</v>
      </c>
      <c r="F69" s="2400">
        <f>IF(E2="住宅",SUMIF(L1:L12,G2,N1:N12),"——")</f>
        <v>9.7000000000000003E-2</v>
      </c>
      <c r="G69" s="3188">
        <v>6.7000000000000002E-3</v>
      </c>
      <c r="H69" s="2425">
        <f t="shared" ref="H69:H77" si="21">IFERROR(ROUNDDOWN($F$69*I69/2,4),"——")</f>
        <v>6.7000000000000002E-3</v>
      </c>
      <c r="I69" s="2398">
        <v>0.14000000000000001</v>
      </c>
      <c r="J69" s="2401">
        <f t="shared" ref="J69:J77" si="22">K69+$G69</f>
        <v>1.34E-2</v>
      </c>
      <c r="K69" s="2401">
        <f t="shared" ref="K69:K77" si="23">$L69+$G69</f>
        <v>6.7000000000000002E-3</v>
      </c>
      <c r="L69" s="2401">
        <v>0</v>
      </c>
      <c r="M69" s="2401">
        <f t="shared" ref="M69:N77" si="24">L69-$G69</f>
        <v>-6.7000000000000002E-3</v>
      </c>
      <c r="N69" s="2401">
        <f t="shared" si="24"/>
        <v>-1.34E-2</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1033</v>
      </c>
      <c r="B70" s="2372" t="str">
        <f>估价对象房地状况!C18</f>
        <v>估价对象周边道路状况、公共交通通达情况、停车便捷程度，综合评价交通便捷度较好</v>
      </c>
      <c r="C70" s="1154" t="s">
        <v>3112</v>
      </c>
      <c r="D70" s="2381">
        <f t="shared" si="20"/>
        <v>1.4500000000000001E-2</v>
      </c>
      <c r="E70" s="2408"/>
      <c r="F70" s="2409"/>
      <c r="G70" s="3188">
        <v>1.4500000000000001E-2</v>
      </c>
      <c r="H70" s="2425">
        <f t="shared" si="21"/>
        <v>1.4500000000000001E-2</v>
      </c>
      <c r="I70" s="2398">
        <v>0.3</v>
      </c>
      <c r="J70" s="2401">
        <f t="shared" si="22"/>
        <v>2.9000000000000001E-2</v>
      </c>
      <c r="K70" s="2401">
        <f t="shared" si="23"/>
        <v>1.4500000000000001E-2</v>
      </c>
      <c r="L70" s="2401">
        <v>0</v>
      </c>
      <c r="M70" s="2401">
        <f t="shared" si="24"/>
        <v>-1.4500000000000001E-2</v>
      </c>
      <c r="N70" s="2401">
        <f t="shared" si="24"/>
        <v>-2.9000000000000001E-2</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1022</v>
      </c>
      <c r="B71" s="2372" t="str">
        <f>估价对象房地状况!C19</f>
        <v>较一致</v>
      </c>
      <c r="C71" s="1154" t="s">
        <v>3112</v>
      </c>
      <c r="D71" s="2381">
        <f t="shared" si="20"/>
        <v>3.8E-3</v>
      </c>
      <c r="E71" s="2408"/>
      <c r="F71" s="2409"/>
      <c r="G71" s="3188">
        <v>3.8E-3</v>
      </c>
      <c r="H71" s="2425">
        <f t="shared" si="21"/>
        <v>3.8E-3</v>
      </c>
      <c r="I71" s="2398">
        <v>0.08</v>
      </c>
      <c r="J71" s="2401">
        <f t="shared" si="22"/>
        <v>7.6E-3</v>
      </c>
      <c r="K71" s="2401">
        <f t="shared" si="23"/>
        <v>3.8E-3</v>
      </c>
      <c r="L71" s="2401">
        <v>0</v>
      </c>
      <c r="M71" s="2401">
        <f t="shared" si="24"/>
        <v>-3.8E-3</v>
      </c>
      <c r="N71" s="2401">
        <f t="shared" si="24"/>
        <v>-7.6E-3</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1034</v>
      </c>
      <c r="B72" s="2372" t="str">
        <f>估价对象房地状况!C24</f>
        <v>城市次干道-来广营东路</v>
      </c>
      <c r="C72" s="1154" t="s">
        <v>3112</v>
      </c>
      <c r="D72" s="2381">
        <f t="shared" si="20"/>
        <v>1.9E-3</v>
      </c>
      <c r="E72" s="2408"/>
      <c r="F72" s="2409"/>
      <c r="G72" s="3188">
        <v>1.9E-3</v>
      </c>
      <c r="H72" s="2425">
        <f t="shared" si="21"/>
        <v>1.9E-3</v>
      </c>
      <c r="I72" s="2398">
        <v>0.04</v>
      </c>
      <c r="J72" s="2401">
        <f t="shared" si="22"/>
        <v>3.8E-3</v>
      </c>
      <c r="K72" s="2401">
        <f t="shared" si="23"/>
        <v>1.9E-3</v>
      </c>
      <c r="L72" s="2401">
        <v>0</v>
      </c>
      <c r="M72" s="2401">
        <f t="shared" si="24"/>
        <v>-1.9E-3</v>
      </c>
      <c r="N72" s="2401">
        <f t="shared" si="24"/>
        <v>-3.8E-3</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1026</v>
      </c>
      <c r="B73" s="2373" t="str">
        <f>估价对象房地状况!C21</f>
        <v>估价对象所在区域公共配套设施较齐备</v>
      </c>
      <c r="C73" s="1154" t="s">
        <v>3112</v>
      </c>
      <c r="D73" s="2381">
        <f t="shared" si="20"/>
        <v>3.8E-3</v>
      </c>
      <c r="E73" s="2408"/>
      <c r="F73" s="2409"/>
      <c r="G73" s="3188">
        <v>3.8E-3</v>
      </c>
      <c r="H73" s="2425">
        <f t="shared" si="21"/>
        <v>3.8E-3</v>
      </c>
      <c r="I73" s="2398">
        <v>0.08</v>
      </c>
      <c r="J73" s="2401">
        <f t="shared" si="22"/>
        <v>7.6E-3</v>
      </c>
      <c r="K73" s="2401">
        <f t="shared" si="23"/>
        <v>3.8E-3</v>
      </c>
      <c r="L73" s="2401">
        <v>0</v>
      </c>
      <c r="M73" s="2401">
        <f t="shared" si="24"/>
        <v>-3.8E-3</v>
      </c>
      <c r="N73" s="2401">
        <f t="shared" si="24"/>
        <v>-7.6E-3</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1027</v>
      </c>
      <c r="B74" s="2373" t="str">
        <f>估价对象房地状况!C22</f>
        <v>估价对象所在区域基础设施水平较高</v>
      </c>
      <c r="C74" s="1154" t="s">
        <v>3113</v>
      </c>
      <c r="D74" s="2381">
        <f t="shared" si="20"/>
        <v>1.1599999999999999E-2</v>
      </c>
      <c r="E74" s="2408"/>
      <c r="F74" s="2409"/>
      <c r="G74" s="3188">
        <v>5.7999999999999996E-3</v>
      </c>
      <c r="H74" s="2425">
        <f t="shared" si="21"/>
        <v>5.7999999999999996E-3</v>
      </c>
      <c r="I74" s="2398">
        <v>0.12</v>
      </c>
      <c r="J74" s="2401">
        <f t="shared" si="22"/>
        <v>1.1599999999999999E-2</v>
      </c>
      <c r="K74" s="2401">
        <f t="shared" si="23"/>
        <v>5.7999999999999996E-3</v>
      </c>
      <c r="L74" s="2401">
        <v>0</v>
      </c>
      <c r="M74" s="2401">
        <f t="shared" si="24"/>
        <v>-5.7999999999999996E-3</v>
      </c>
      <c r="N74" s="2401">
        <f t="shared" si="24"/>
        <v>-1.1599999999999999E-2</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1025</v>
      </c>
      <c r="B75" s="3046" t="s">
        <v>2927</v>
      </c>
      <c r="C75" s="1154" t="s">
        <v>3112</v>
      </c>
      <c r="D75" s="2381">
        <f t="shared" si="20"/>
        <v>2.3999999999999998E-3</v>
      </c>
      <c r="E75" s="2408"/>
      <c r="F75" s="2409"/>
      <c r="G75" s="3188">
        <v>2.3999999999999998E-3</v>
      </c>
      <c r="H75" s="2425">
        <f t="shared" si="21"/>
        <v>2.3999999999999998E-3</v>
      </c>
      <c r="I75" s="2398">
        <v>0.05</v>
      </c>
      <c r="J75" s="2401">
        <f t="shared" si="22"/>
        <v>4.7999999999999996E-3</v>
      </c>
      <c r="K75" s="2401">
        <f t="shared" si="23"/>
        <v>2.3999999999999998E-3</v>
      </c>
      <c r="L75" s="2401">
        <v>0</v>
      </c>
      <c r="M75" s="2401">
        <f t="shared" si="24"/>
        <v>-2.3999999999999998E-3</v>
      </c>
      <c r="N75" s="2401">
        <f t="shared" si="24"/>
        <v>-4.7999999999999996E-3</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1028</v>
      </c>
      <c r="B76" s="2375" t="str">
        <f>估价对象房地状况!C20</f>
        <v>区域自然环境较好；人文环境一般；综合评价环境状况较好</v>
      </c>
      <c r="C76" s="1154" t="s">
        <v>3112</v>
      </c>
      <c r="D76" s="2381">
        <f t="shared" si="20"/>
        <v>7.1999999999999998E-3</v>
      </c>
      <c r="E76" s="2408"/>
      <c r="F76" s="2409"/>
      <c r="G76" s="3188">
        <v>7.1999999999999998E-3</v>
      </c>
      <c r="H76" s="2425">
        <f t="shared" si="21"/>
        <v>7.1999999999999998E-3</v>
      </c>
      <c r="I76" s="2398">
        <v>0.15</v>
      </c>
      <c r="J76" s="2401">
        <f t="shared" si="22"/>
        <v>1.44E-2</v>
      </c>
      <c r="K76" s="2401">
        <f t="shared" si="23"/>
        <v>7.1999999999999998E-3</v>
      </c>
      <c r="L76" s="2401">
        <v>0</v>
      </c>
      <c r="M76" s="2401">
        <f t="shared" si="24"/>
        <v>-7.1999999999999998E-3</v>
      </c>
      <c r="N76" s="2401">
        <f t="shared" si="24"/>
        <v>-1.44E-2</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4" t="s">
        <v>1035</v>
      </c>
      <c r="B77" s="1835"/>
      <c r="C77" s="1154" t="s">
        <v>3112</v>
      </c>
      <c r="D77" s="2381">
        <f t="shared" si="20"/>
        <v>1.9E-3</v>
      </c>
      <c r="E77" s="2410"/>
      <c r="F77" s="2409"/>
      <c r="G77" s="3188">
        <v>1.9E-3</v>
      </c>
      <c r="H77" s="2425">
        <f t="shared" si="21"/>
        <v>1.9E-3</v>
      </c>
      <c r="I77" s="2405">
        <v>0.04</v>
      </c>
      <c r="J77" s="2401">
        <f t="shared" si="22"/>
        <v>3.8E-3</v>
      </c>
      <c r="K77" s="2401">
        <f t="shared" si="23"/>
        <v>1.9E-3</v>
      </c>
      <c r="L77" s="2401">
        <v>0</v>
      </c>
      <c r="M77" s="2401">
        <f t="shared" si="24"/>
        <v>-1.9E-3</v>
      </c>
      <c r="N77" s="2401">
        <f t="shared" si="24"/>
        <v>-3.8E-3</v>
      </c>
      <c r="AC77" s="1401"/>
      <c r="AD77" s="1400"/>
      <c r="AJ77" s="1399"/>
      <c r="AN77" s="1400"/>
    </row>
    <row r="78" spans="1:40" ht="15">
      <c r="A78" s="2387" t="s">
        <v>1036</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1008</v>
      </c>
      <c r="B79" s="2372"/>
      <c r="C79" s="2393" t="s">
        <v>1010</v>
      </c>
      <c r="D79" s="2394" t="s">
        <v>1011</v>
      </c>
      <c r="E79" s="2395" t="s">
        <v>1013</v>
      </c>
      <c r="F79" s="2396" t="s">
        <v>2252</v>
      </c>
      <c r="G79" s="2394" t="s">
        <v>1014</v>
      </c>
      <c r="H79" s="2378" t="s">
        <v>2417</v>
      </c>
      <c r="I79" s="2394" t="s">
        <v>1012</v>
      </c>
      <c r="J79" s="2397" t="s">
        <v>1015</v>
      </c>
      <c r="K79" s="2397" t="s">
        <v>1016</v>
      </c>
      <c r="L79" s="2397" t="s">
        <v>1017</v>
      </c>
      <c r="M79" s="2397" t="s">
        <v>1018</v>
      </c>
      <c r="N79" s="2397" t="s">
        <v>1019</v>
      </c>
      <c r="AC79" s="1401"/>
      <c r="AD79" s="1400"/>
      <c r="AJ79" s="1399"/>
      <c r="AN79" s="1400"/>
    </row>
    <row r="80" spans="1:40" ht="24">
      <c r="A80" s="1062" t="s">
        <v>1037</v>
      </c>
      <c r="B80" s="2372">
        <f>估价对象房地状况!G15</f>
        <v>0</v>
      </c>
      <c r="C80" s="1049"/>
      <c r="D80" s="2381">
        <f t="shared" ref="D80:D87" si="25">SUMIF($J$79:$N$79,C80,J80:N80)</f>
        <v>0</v>
      </c>
      <c r="E80" s="2399">
        <f>ROUND(SUM(D80:D87),4)</f>
        <v>0</v>
      </c>
      <c r="F80" s="2400" t="str">
        <f>IF(E2="工业",SUMIF(L1:L12,G2,N1:N12),"——")</f>
        <v>——</v>
      </c>
      <c r="G80" s="2379"/>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14.25">
      <c r="A81" s="1062" t="s">
        <v>1033</v>
      </c>
      <c r="B81" s="2372">
        <f>估价对象房地状况!G16</f>
        <v>0</v>
      </c>
      <c r="C81" s="1049"/>
      <c r="D81" s="2381">
        <f t="shared" si="25"/>
        <v>0</v>
      </c>
      <c r="E81" s="2408"/>
      <c r="F81" s="2409"/>
      <c r="G81" s="2379"/>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1022</v>
      </c>
      <c r="B82" s="2372">
        <f>估价对象房地状况!G17</f>
        <v>0</v>
      </c>
      <c r="C82" s="1049"/>
      <c r="D82" s="2381">
        <f t="shared" si="25"/>
        <v>0</v>
      </c>
      <c r="E82" s="2408"/>
      <c r="F82" s="2409"/>
      <c r="G82" s="2379"/>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4.25">
      <c r="A83" s="1062" t="s">
        <v>1034</v>
      </c>
      <c r="B83" s="2372">
        <f>估价对象房地状况!G22</f>
        <v>0</v>
      </c>
      <c r="C83" s="1049"/>
      <c r="D83" s="2381">
        <f t="shared" si="25"/>
        <v>0</v>
      </c>
      <c r="E83" s="2408"/>
      <c r="F83" s="2409"/>
      <c r="G83" s="2379"/>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1026</v>
      </c>
      <c r="B84" s="2373">
        <f>估价对象房地状况!G19</f>
        <v>0</v>
      </c>
      <c r="C84" s="1049"/>
      <c r="D84" s="2381">
        <f t="shared" si="25"/>
        <v>0</v>
      </c>
      <c r="E84" s="2408"/>
      <c r="F84" s="2409"/>
      <c r="G84" s="2379"/>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1027</v>
      </c>
      <c r="B85" s="2373">
        <f>估价对象房地状况!G20</f>
        <v>0</v>
      </c>
      <c r="C85" s="1049"/>
      <c r="D85" s="2381">
        <f t="shared" si="25"/>
        <v>0</v>
      </c>
      <c r="E85" s="2408"/>
      <c r="F85" s="2409"/>
      <c r="G85" s="2379"/>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24">
      <c r="A86" s="1062" t="s">
        <v>1025</v>
      </c>
      <c r="B86" s="3046" t="s">
        <v>2927</v>
      </c>
      <c r="C86" s="1049"/>
      <c r="D86" s="2381">
        <f t="shared" si="25"/>
        <v>0</v>
      </c>
      <c r="E86" s="2408"/>
      <c r="F86" s="2409"/>
      <c r="G86" s="2379"/>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15" thickBot="1">
      <c r="A87" s="2404" t="s">
        <v>1038</v>
      </c>
      <c r="B87" s="2374">
        <f>估价对象房地状况!G18</f>
        <v>0</v>
      </c>
      <c r="C87" s="1049"/>
      <c r="D87" s="2381">
        <f t="shared" si="25"/>
        <v>0</v>
      </c>
      <c r="E87" s="2410"/>
      <c r="F87" s="2409"/>
      <c r="G87" s="2379"/>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5" t="s">
        <v>1633</v>
      </c>
      <c r="B90" s="3425"/>
      <c r="C90" s="3425"/>
      <c r="D90" s="3425"/>
      <c r="E90" s="3425"/>
      <c r="F90" s="3425"/>
      <c r="G90" s="3425"/>
      <c r="H90" s="3425"/>
      <c r="I90" s="3425"/>
      <c r="J90" s="3425"/>
      <c r="K90" s="2413"/>
      <c r="L90" s="2413"/>
      <c r="M90" s="2413"/>
      <c r="N90" s="2413"/>
    </row>
    <row r="91" spans="1:40">
      <c r="A91" s="3426" t="s">
        <v>1443</v>
      </c>
      <c r="B91" s="3426" t="s">
        <v>1634</v>
      </c>
      <c r="C91" s="1135" t="s">
        <v>1635</v>
      </c>
      <c r="D91" s="1136"/>
      <c r="E91" s="1136"/>
      <c r="F91" s="1136"/>
      <c r="G91" s="1136"/>
      <c r="H91" s="1136"/>
      <c r="I91" s="1136"/>
      <c r="J91" s="1137"/>
      <c r="K91" s="1129"/>
      <c r="L91" s="1129"/>
      <c r="M91" s="1129"/>
      <c r="N91" s="1129"/>
    </row>
    <row r="92" spans="1:40">
      <c r="A92" s="3426"/>
      <c r="B92" s="342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3"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4"/>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35"/>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33" t="s">
        <v>1637</v>
      </c>
      <c r="B101" s="1142" t="s">
        <v>906</v>
      </c>
      <c r="C101" s="1143">
        <f>$G$3</f>
        <v>1.1000000000000001</v>
      </c>
      <c r="D101" s="1143">
        <f t="shared" ref="D101:N101" si="31">$G$3</f>
        <v>1.1000000000000001</v>
      </c>
      <c r="E101" s="1143">
        <f t="shared" si="31"/>
        <v>1.1000000000000001</v>
      </c>
      <c r="F101" s="1143">
        <f t="shared" si="31"/>
        <v>1.1000000000000001</v>
      </c>
      <c r="G101" s="1143">
        <f t="shared" si="31"/>
        <v>1.1000000000000001</v>
      </c>
      <c r="H101" s="1143">
        <f t="shared" si="31"/>
        <v>1.1000000000000001</v>
      </c>
      <c r="I101" s="1143">
        <f t="shared" si="31"/>
        <v>1.1000000000000001</v>
      </c>
      <c r="J101" s="1143">
        <f t="shared" si="31"/>
        <v>1.1000000000000001</v>
      </c>
      <c r="K101" s="1143">
        <f t="shared" si="31"/>
        <v>1.1000000000000001</v>
      </c>
      <c r="L101" s="1143">
        <f t="shared" si="31"/>
        <v>1.1000000000000001</v>
      </c>
      <c r="M101" s="1143">
        <f t="shared" si="31"/>
        <v>1.1000000000000001</v>
      </c>
      <c r="N101" s="1143">
        <f t="shared" si="31"/>
        <v>1.1000000000000001</v>
      </c>
    </row>
    <row r="102" spans="1:14">
      <c r="A102" s="3434"/>
      <c r="B102" s="1138">
        <v>1</v>
      </c>
      <c r="C102" s="1139">
        <f>1.9362/C101</f>
        <v>1.7601818181818181</v>
      </c>
      <c r="D102" s="1139">
        <f>1.9362/D101</f>
        <v>1.7601818181818181</v>
      </c>
      <c r="E102" s="1139">
        <f>1.8629/E101</f>
        <v>1.6935454545454545</v>
      </c>
      <c r="F102" s="1139">
        <f>1.8629/F101</f>
        <v>1.6935454545454545</v>
      </c>
      <c r="G102" s="1139">
        <f>1.8629/G101</f>
        <v>1.6935454545454545</v>
      </c>
      <c r="H102" s="1139">
        <f>1.8629/H101</f>
        <v>1.6935454545454545</v>
      </c>
      <c r="I102" s="1139">
        <f>1.8629/I101</f>
        <v>1.6935454545454545</v>
      </c>
      <c r="J102" s="1139">
        <f>1.942/J101</f>
        <v>1.7654545454545452</v>
      </c>
      <c r="K102" s="1139">
        <f>1.942/K101</f>
        <v>1.7654545454545452</v>
      </c>
      <c r="L102" s="1139">
        <f>1.942/L101</f>
        <v>1.7654545454545452</v>
      </c>
      <c r="M102" s="1139">
        <f>1.942/M101</f>
        <v>1.7654545454545452</v>
      </c>
      <c r="N102" s="1139">
        <f>1.942/N101</f>
        <v>1.7654545454545452</v>
      </c>
    </row>
    <row r="103" spans="1:14">
      <c r="A103" s="3434"/>
      <c r="B103" s="1138">
        <v>2</v>
      </c>
      <c r="C103" s="1139">
        <f>1.4198/C101</f>
        <v>1.2907272727272725</v>
      </c>
      <c r="D103" s="1139">
        <f>1.4198/D101</f>
        <v>1.2907272727272725</v>
      </c>
      <c r="E103" s="1139">
        <f>1.3372/E101</f>
        <v>1.2156363636363634</v>
      </c>
      <c r="F103" s="1139">
        <f>1.3372/F101</f>
        <v>1.2156363636363634</v>
      </c>
      <c r="G103" s="1139">
        <f>1.3372/G101</f>
        <v>1.2156363636363634</v>
      </c>
      <c r="H103" s="1139">
        <f>1.3372/H101</f>
        <v>1.2156363636363634</v>
      </c>
      <c r="I103" s="1139">
        <f>1.3372/I101</f>
        <v>1.2156363636363634</v>
      </c>
      <c r="J103" s="1139">
        <f>1.2799/J101</f>
        <v>1.1635454545454544</v>
      </c>
      <c r="K103" s="1139">
        <f>1.2799/K101</f>
        <v>1.1635454545454544</v>
      </c>
      <c r="L103" s="1139">
        <f>1.2799/L101</f>
        <v>1.1635454545454544</v>
      </c>
      <c r="M103" s="1139">
        <f>1.2799/M101</f>
        <v>1.1635454545454544</v>
      </c>
      <c r="N103" s="1139">
        <f>1.2799/N101</f>
        <v>1.1635454545454544</v>
      </c>
    </row>
    <row r="104" spans="1:14">
      <c r="A104" s="3434"/>
      <c r="B104" s="1138">
        <v>3</v>
      </c>
      <c r="C104" s="1139">
        <f>1.1594/C101</f>
        <v>1.0539999999999998</v>
      </c>
      <c r="D104" s="1139">
        <f>1.1594/D101</f>
        <v>1.0539999999999998</v>
      </c>
      <c r="E104" s="1139">
        <f>1.0788/E101</f>
        <v>0.98072727272727267</v>
      </c>
      <c r="F104" s="1139">
        <f>1.0788/F101</f>
        <v>0.98072727272727267</v>
      </c>
      <c r="G104" s="1139">
        <f>1.0788/G101</f>
        <v>0.98072727272727267</v>
      </c>
      <c r="H104" s="1139">
        <f>1.0788/H101</f>
        <v>0.98072727272727267</v>
      </c>
      <c r="I104" s="1139">
        <f>1.0788/I101</f>
        <v>0.98072727272727267</v>
      </c>
      <c r="J104" s="1139">
        <f>1.0072/J101</f>
        <v>0.91563636363636369</v>
      </c>
      <c r="K104" s="1139">
        <f>1.0072/K101</f>
        <v>0.91563636363636369</v>
      </c>
      <c r="L104" s="1139">
        <f>1.0072/L101</f>
        <v>0.91563636363636369</v>
      </c>
      <c r="M104" s="1139">
        <f>1.0072/M101</f>
        <v>0.91563636363636369</v>
      </c>
      <c r="N104" s="1139">
        <f>1.0072/N101</f>
        <v>0.91563636363636369</v>
      </c>
    </row>
    <row r="105" spans="1:14">
      <c r="A105" s="3434"/>
      <c r="B105" s="1138">
        <v>4</v>
      </c>
      <c r="C105" s="1139">
        <f>0.9622/C101</f>
        <v>0.87472727272727269</v>
      </c>
      <c r="D105" s="1139">
        <f>0.9622/D101</f>
        <v>0.87472727272727269</v>
      </c>
      <c r="E105" s="1139">
        <f>0.8656/E101</f>
        <v>0.78690909090909089</v>
      </c>
      <c r="F105" s="1139">
        <f>0.8656/F101</f>
        <v>0.78690909090909089</v>
      </c>
      <c r="G105" s="1139">
        <f>0.8656/G101</f>
        <v>0.78690909090909089</v>
      </c>
      <c r="H105" s="1139">
        <f>0.8656/H101</f>
        <v>0.78690909090909089</v>
      </c>
      <c r="I105" s="1139">
        <f>0.8656/I101</f>
        <v>0.78690909090909089</v>
      </c>
      <c r="J105" s="1139">
        <f>0.7525/J101</f>
        <v>0.68409090909090897</v>
      </c>
      <c r="K105" s="1139">
        <f>0.7525/K101</f>
        <v>0.68409090909090897</v>
      </c>
      <c r="L105" s="1139">
        <f>0.7525/L101</f>
        <v>0.68409090909090897</v>
      </c>
      <c r="M105" s="1139">
        <f>0.7525/M101</f>
        <v>0.68409090909090897</v>
      </c>
      <c r="N105" s="1139">
        <f>0.7525/N101</f>
        <v>0.68409090909090897</v>
      </c>
    </row>
    <row r="106" spans="1:14">
      <c r="A106" s="3434"/>
      <c r="B106" s="1138">
        <v>5</v>
      </c>
      <c r="C106" s="1139">
        <f>0.8417/C101</f>
        <v>0.76518181818181807</v>
      </c>
      <c r="D106" s="1139">
        <f>0.8417/D101</f>
        <v>0.76518181818181807</v>
      </c>
      <c r="E106" s="1139">
        <f>0.7371/E101</f>
        <v>0.67009090909090907</v>
      </c>
      <c r="F106" s="1139">
        <f>0.7371/F101</f>
        <v>0.67009090909090907</v>
      </c>
      <c r="G106" s="1139">
        <f>0.7371/G101</f>
        <v>0.67009090909090907</v>
      </c>
      <c r="H106" s="1139">
        <f>0.7371/H101</f>
        <v>0.67009090909090907</v>
      </c>
      <c r="I106" s="1139">
        <f>0.7371/I101</f>
        <v>0.67009090909090907</v>
      </c>
      <c r="J106" s="1139">
        <f>0.5659/J101</f>
        <v>0.51445454545454539</v>
      </c>
      <c r="K106" s="1139">
        <f>0.5659/K101</f>
        <v>0.51445454545454539</v>
      </c>
      <c r="L106" s="1139">
        <f>0.5659/L101</f>
        <v>0.51445454545454539</v>
      </c>
      <c r="M106" s="1139">
        <f>0.5659/M101</f>
        <v>0.51445454545454539</v>
      </c>
      <c r="N106" s="1139">
        <f>0.5659/N101</f>
        <v>0.51445454545454539</v>
      </c>
    </row>
    <row r="107" spans="1:14">
      <c r="A107" s="3434"/>
      <c r="B107" s="1138">
        <v>6</v>
      </c>
      <c r="C107" s="1139">
        <f>0.7608/C101</f>
        <v>0.6916363636363636</v>
      </c>
      <c r="D107" s="1139">
        <f>0.7608/D101</f>
        <v>0.6916363636363636</v>
      </c>
      <c r="E107" s="1139">
        <f>0.6482/E101</f>
        <v>0.58927272727272717</v>
      </c>
      <c r="F107" s="1139">
        <f>0.6482/F101</f>
        <v>0.58927272727272717</v>
      </c>
      <c r="G107" s="1139">
        <f>0.6482/G101</f>
        <v>0.58927272727272717</v>
      </c>
      <c r="H107" s="1139">
        <f>0.6482/H101</f>
        <v>0.58927272727272717</v>
      </c>
      <c r="I107" s="1139">
        <f>0.6482/I101</f>
        <v>0.58927272727272717</v>
      </c>
      <c r="J107" s="1139">
        <f>0.4525/J101</f>
        <v>0.41136363636363632</v>
      </c>
      <c r="K107" s="1139">
        <f>0.4525/K101</f>
        <v>0.41136363636363632</v>
      </c>
      <c r="L107" s="1139">
        <f>0.4525/L101</f>
        <v>0.41136363636363632</v>
      </c>
      <c r="M107" s="1139">
        <f>0.4525/M101</f>
        <v>0.41136363636363632</v>
      </c>
      <c r="N107" s="1139">
        <f>0.4525/N101</f>
        <v>0.41136363636363632</v>
      </c>
    </row>
    <row r="108" spans="1:14">
      <c r="A108" s="3434"/>
      <c r="B108" s="3436"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35"/>
      <c r="B109" s="3437"/>
      <c r="C109" s="1141">
        <f>(-0.163*(C108^2)-0.59*C108+7617)*(10^(-4))/C101</f>
        <v>0.69245454545454543</v>
      </c>
      <c r="D109" s="1141">
        <f>(-0.163*(D108^2)-0.59*D108+7617)*(10^(-4))/D101</f>
        <v>0.69245454545454543</v>
      </c>
      <c r="E109" s="1141">
        <f>(-0.161*(E108^2)-7.509*E108+6533)*(10^(-4))/E101</f>
        <v>0.59390909090909083</v>
      </c>
      <c r="F109" s="1141">
        <f>(-0.161*(F108^2)-7.509*F108+6533)*(10^(-4))/F101</f>
        <v>0.59390909090909083</v>
      </c>
      <c r="G109" s="1141">
        <f>(-0.161*(G108^2)-7.509*G108+6533)*(10^(-4))/G101</f>
        <v>0.59390909090909083</v>
      </c>
      <c r="H109" s="1141">
        <f>(-0.161*(H108^2)-7.509*H108+6533)*(10^(-4))/H101</f>
        <v>0.59390909090909083</v>
      </c>
      <c r="I109" s="1141">
        <f>(-0.161*(I108^2)-7.509*I108+6533)*(10^(-4))/I101</f>
        <v>0.59390909090909083</v>
      </c>
      <c r="J109" s="1141">
        <f>(-0.214*(J108^2)-21.991*J108+4665)*(10^(-4))/J101</f>
        <v>0.42409090909090907</v>
      </c>
      <c r="K109" s="1141">
        <f>(-0.214*(K108^2)-21.991*K108+4665)*(10^(-4))/K101</f>
        <v>0.42409090909090907</v>
      </c>
      <c r="L109" s="1141">
        <f>(-0.214*(L108^2)-21.991*L108+4665)*(10^(-4))/L101</f>
        <v>0.42409090909090907</v>
      </c>
      <c r="M109" s="1141">
        <f>(-0.214*(M108^2)-21.991*M108+4665)*(10^(-4))/M101</f>
        <v>0.42409090909090907</v>
      </c>
      <c r="N109" s="1141">
        <f>(-0.214*(N108^2)-21.991*N108+4665)*(10^(-4))/N101</f>
        <v>0.42409090909090907</v>
      </c>
    </row>
    <row r="110" spans="1:14">
      <c r="A110" s="3419" t="s">
        <v>1639</v>
      </c>
      <c r="B110" s="3419"/>
      <c r="C110" s="3419"/>
      <c r="D110" s="3419"/>
      <c r="E110" s="3419"/>
      <c r="F110" s="3419"/>
      <c r="G110" s="3419"/>
      <c r="H110" s="3419"/>
      <c r="I110" s="3419"/>
      <c r="J110" s="3419"/>
      <c r="K110" s="2411"/>
      <c r="L110" s="2411"/>
      <c r="M110" s="2411"/>
      <c r="N110" s="2411"/>
    </row>
    <row r="112" spans="1:14" ht="12.75" thickBot="1"/>
    <row r="113" spans="1:13" ht="25.5" thickBot="1">
      <c r="A113" s="1015" t="s">
        <v>896</v>
      </c>
      <c r="B113" s="2414">
        <f>G3</f>
        <v>1.1000000000000001</v>
      </c>
      <c r="C113" s="1016" t="s">
        <v>897</v>
      </c>
      <c r="D113" s="1017">
        <f>SUMPRODUCT((A115:A118=F113)*(B114:M114=H113)*B115:M118)</f>
        <v>0.86599999999999999</v>
      </c>
      <c r="E113" s="1018" t="s">
        <v>898</v>
      </c>
      <c r="F113" s="1019" t="str">
        <f>E2</f>
        <v>住宅</v>
      </c>
      <c r="G113" s="1018" t="s">
        <v>899</v>
      </c>
      <c r="H113" s="1019" t="str">
        <f>G2</f>
        <v>五级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0.92320000000000002</v>
      </c>
      <c r="C115" s="1029">
        <f>B115</f>
        <v>0.92320000000000002</v>
      </c>
      <c r="D115" s="1029">
        <f>ROUND(0.8331-0.0109*B113,4)</f>
        <v>0.82110000000000005</v>
      </c>
      <c r="E115" s="1029">
        <f>D115</f>
        <v>0.82110000000000005</v>
      </c>
      <c r="F115" s="1029">
        <f>E115</f>
        <v>0.82110000000000005</v>
      </c>
      <c r="G115" s="1029">
        <f>F115</f>
        <v>0.82110000000000005</v>
      </c>
      <c r="H115" s="1029">
        <f>G115</f>
        <v>0.82110000000000005</v>
      </c>
      <c r="I115" s="1029">
        <f>ROUND(0.689-0.0155*B113,4)</f>
        <v>0.67200000000000004</v>
      </c>
      <c r="J115" s="1029">
        <f t="shared" ref="J115:M118" si="33">I115</f>
        <v>0.67200000000000004</v>
      </c>
      <c r="K115" s="1029">
        <f t="shared" si="33"/>
        <v>0.67200000000000004</v>
      </c>
      <c r="L115" s="1029">
        <f t="shared" si="33"/>
        <v>0.67200000000000004</v>
      </c>
      <c r="M115" s="1030">
        <f t="shared" si="33"/>
        <v>0.67200000000000004</v>
      </c>
    </row>
    <row r="116" spans="1:13" ht="12.75">
      <c r="A116" s="1028" t="s">
        <v>901</v>
      </c>
      <c r="B116" s="1029">
        <f>ROUND(0.949-0.012*B113,4)</f>
        <v>0.93579999999999997</v>
      </c>
      <c r="C116" s="1029">
        <f>B116</f>
        <v>0.93579999999999997</v>
      </c>
      <c r="D116" s="1029">
        <f>ROUND(0.8567-0.013*B113,4)</f>
        <v>0.84240000000000004</v>
      </c>
      <c r="E116" s="1029">
        <f t="shared" ref="E116:H117" si="34">D116</f>
        <v>0.84240000000000004</v>
      </c>
      <c r="F116" s="1029">
        <f t="shared" si="34"/>
        <v>0.84240000000000004</v>
      </c>
      <c r="G116" s="1029">
        <f t="shared" si="34"/>
        <v>0.84240000000000004</v>
      </c>
      <c r="H116" s="1029">
        <f t="shared" si="34"/>
        <v>0.84240000000000004</v>
      </c>
      <c r="I116" s="1029">
        <f>ROUND(0.7694-0.014*B113,4)</f>
        <v>0.754</v>
      </c>
      <c r="J116" s="1029">
        <f t="shared" si="33"/>
        <v>0.754</v>
      </c>
      <c r="K116" s="1029">
        <f t="shared" si="33"/>
        <v>0.754</v>
      </c>
      <c r="L116" s="1029">
        <f t="shared" si="33"/>
        <v>0.754</v>
      </c>
      <c r="M116" s="1030">
        <f t="shared" si="33"/>
        <v>0.754</v>
      </c>
    </row>
    <row r="117" spans="1:13" ht="12.75">
      <c r="A117" s="1031" t="s">
        <v>902</v>
      </c>
      <c r="B117" s="1029">
        <f>ROUND(0.8808-0.006*B113,4)</f>
        <v>0.87419999999999998</v>
      </c>
      <c r="C117" s="1029">
        <f>B117</f>
        <v>0.87419999999999998</v>
      </c>
      <c r="D117" s="1029">
        <f>ROUND(0.8748-0.008*B113,4)</f>
        <v>0.86599999999999999</v>
      </c>
      <c r="E117" s="1029">
        <f t="shared" si="34"/>
        <v>0.86599999999999999</v>
      </c>
      <c r="F117" s="1029">
        <f t="shared" si="34"/>
        <v>0.86599999999999999</v>
      </c>
      <c r="G117" s="1029">
        <f t="shared" si="34"/>
        <v>0.86599999999999999</v>
      </c>
      <c r="H117" s="1029">
        <f t="shared" si="34"/>
        <v>0.86599999999999999</v>
      </c>
      <c r="I117" s="1029">
        <f>ROUND(0.7412-0.0095*B113,4)</f>
        <v>0.73080000000000001</v>
      </c>
      <c r="J117" s="1029">
        <f t="shared" si="33"/>
        <v>0.73080000000000001</v>
      </c>
      <c r="K117" s="1029">
        <f t="shared" si="33"/>
        <v>0.73080000000000001</v>
      </c>
      <c r="L117" s="1029">
        <f t="shared" si="33"/>
        <v>0.73080000000000001</v>
      </c>
      <c r="M117" s="1030">
        <f t="shared" si="33"/>
        <v>0.73080000000000001</v>
      </c>
    </row>
    <row r="118" spans="1:13" ht="13.5" thickBot="1">
      <c r="A118" s="1032" t="s">
        <v>903</v>
      </c>
      <c r="B118" s="1033">
        <f>ROUND(0.7275-0.01*B113,4)</f>
        <v>0.71650000000000003</v>
      </c>
      <c r="C118" s="1033">
        <f>B118</f>
        <v>0.71650000000000003</v>
      </c>
      <c r="D118" s="1033">
        <f>ROUND(0.7043-0.012*B113,4)</f>
        <v>0.69110000000000005</v>
      </c>
      <c r="E118" s="1033">
        <f>D118</f>
        <v>0.69110000000000005</v>
      </c>
      <c r="F118" s="1033">
        <f>E118</f>
        <v>0.69110000000000005</v>
      </c>
      <c r="G118" s="1033">
        <f>ROUND(0.6299-0.0122*B113,4)</f>
        <v>0.61650000000000005</v>
      </c>
      <c r="H118" s="1033">
        <f>G118</f>
        <v>0.61650000000000005</v>
      </c>
      <c r="I118" s="1033">
        <f>ROUND(0.5667-0.0136*B113,4)</f>
        <v>0.55169999999999997</v>
      </c>
      <c r="J118" s="1033">
        <f t="shared" si="33"/>
        <v>0.55169999999999997</v>
      </c>
      <c r="K118" s="1033">
        <f t="shared" si="33"/>
        <v>0.55169999999999997</v>
      </c>
      <c r="L118" s="1033">
        <f t="shared" si="33"/>
        <v>0.55169999999999997</v>
      </c>
      <c r="M118" s="1034">
        <f t="shared" si="33"/>
        <v>0.55169999999999997</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8" priority="6" stopIfTrue="1" operator="notEqual">
      <formula>"——"</formula>
    </cfRule>
  </conditionalFormatting>
  <conditionalFormatting sqref="F58">
    <cfRule type="cellIs" dxfId="107" priority="5" stopIfTrue="1" operator="notEqual">
      <formula>"——"</formula>
    </cfRule>
  </conditionalFormatting>
  <conditionalFormatting sqref="F69">
    <cfRule type="cellIs" dxfId="106" priority="4" stopIfTrue="1" operator="notEqual">
      <formula>"——"</formula>
    </cfRule>
  </conditionalFormatting>
  <conditionalFormatting sqref="F80">
    <cfRule type="cellIs" dxfId="105" priority="3" stopIfTrue="1" operator="notEqual">
      <formula>"——"</formula>
    </cfRule>
  </conditionalFormatting>
  <conditionalFormatting sqref="H58:H66 H47:H55 H69:H77 H80:H87">
    <cfRule type="cellIs" dxfId="104" priority="2" operator="notEqual">
      <formula>"——"</formula>
    </cfRule>
  </conditionalFormatting>
  <conditionalFormatting sqref="G69:G7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9"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26" t="s">
        <v>1007</v>
      </c>
      <c r="B18" s="1149" t="s">
        <v>1446</v>
      </c>
      <c r="C18" s="1126" t="s">
        <v>1447</v>
      </c>
      <c r="D18" s="1127"/>
      <c r="E18" s="1149">
        <v>1</v>
      </c>
      <c r="F18" s="1128" t="s">
        <v>1448</v>
      </c>
      <c r="G18" s="1129"/>
      <c r="H18" s="1100"/>
      <c r="I18" s="1100"/>
    </row>
    <row r="19" spans="1:9" s="1584" customFormat="1" ht="19.5" customHeight="1">
      <c r="A19" s="3426"/>
      <c r="B19" s="3426" t="s">
        <v>1449</v>
      </c>
      <c r="C19" s="1126" t="s">
        <v>1450</v>
      </c>
      <c r="D19" s="1127"/>
      <c r="E19" s="1149">
        <v>0.9</v>
      </c>
      <c r="F19" s="1128" t="s">
        <v>1451</v>
      </c>
      <c r="G19" s="1129"/>
      <c r="H19" s="1100"/>
      <c r="I19" s="1100"/>
    </row>
    <row r="20" spans="1:9" s="1584" customFormat="1" ht="19.5" customHeight="1">
      <c r="A20" s="3426"/>
      <c r="B20" s="3426"/>
      <c r="C20" s="1126" t="s">
        <v>1452</v>
      </c>
      <c r="D20" s="1127"/>
      <c r="E20" s="1149">
        <v>1.1000000000000001</v>
      </c>
      <c r="F20" s="1128" t="s">
        <v>1453</v>
      </c>
      <c r="G20" s="1129"/>
      <c r="H20" s="1100"/>
      <c r="I20" s="1100"/>
    </row>
    <row r="21" spans="1:9" s="1584" customFormat="1" ht="19.5" customHeight="1">
      <c r="A21" s="3426"/>
      <c r="B21" s="3426"/>
      <c r="C21" s="1126" t="s">
        <v>1454</v>
      </c>
      <c r="D21" s="1127"/>
      <c r="E21" s="1149">
        <v>0.8</v>
      </c>
      <c r="F21" s="1128" t="s">
        <v>1455</v>
      </c>
      <c r="G21" s="1129"/>
      <c r="H21" s="1100"/>
      <c r="I21" s="1100"/>
    </row>
    <row r="22" spans="1:9" s="1584" customFormat="1" ht="19.5" customHeight="1">
      <c r="A22" s="3426"/>
      <c r="B22" s="3426"/>
      <c r="C22" s="1126" t="s">
        <v>1456</v>
      </c>
      <c r="D22" s="1127"/>
      <c r="E22" s="1149">
        <v>0.5</v>
      </c>
      <c r="F22" s="1128"/>
      <c r="G22" s="1129"/>
      <c r="H22" s="1100"/>
      <c r="I22" s="1100"/>
    </row>
    <row r="23" spans="1:9" s="1584" customFormat="1" ht="19.5" customHeight="1">
      <c r="A23" s="3426" t="s">
        <v>1029</v>
      </c>
      <c r="B23" s="1149" t="s">
        <v>1446</v>
      </c>
      <c r="C23" s="1126" t="s">
        <v>1457</v>
      </c>
      <c r="D23" s="1127"/>
      <c r="E23" s="1149">
        <v>1</v>
      </c>
      <c r="F23" s="1128" t="s">
        <v>1458</v>
      </c>
      <c r="G23" s="1129"/>
      <c r="H23" s="1100"/>
      <c r="I23" s="1100"/>
    </row>
    <row r="24" spans="1:9" s="1584" customFormat="1" ht="19.5" customHeight="1">
      <c r="A24" s="3426"/>
      <c r="B24" s="3426" t="s">
        <v>1449</v>
      </c>
      <c r="C24" s="1126" t="s">
        <v>1459</v>
      </c>
      <c r="D24" s="1127"/>
      <c r="E24" s="1149">
        <v>0.5</v>
      </c>
      <c r="F24" s="1128"/>
      <c r="G24" s="1129"/>
      <c r="H24" s="1100"/>
      <c r="I24" s="1100"/>
    </row>
    <row r="25" spans="1:9" s="1584" customFormat="1" ht="19.5" customHeight="1">
      <c r="A25" s="3426"/>
      <c r="B25" s="3426"/>
      <c r="C25" s="1126" t="s">
        <v>1460</v>
      </c>
      <c r="D25" s="1127"/>
      <c r="E25" s="1149">
        <v>1.1000000000000001</v>
      </c>
      <c r="F25" s="1128"/>
      <c r="G25" s="1129"/>
      <c r="H25" s="1100"/>
      <c r="I25" s="1100"/>
    </row>
    <row r="26" spans="1:9" s="1584" customFormat="1" ht="19.5" customHeight="1">
      <c r="A26" s="3426"/>
      <c r="B26" s="3426"/>
      <c r="C26" s="1126" t="s">
        <v>1461</v>
      </c>
      <c r="D26" s="1127"/>
      <c r="E26" s="1149">
        <v>1.1000000000000001</v>
      </c>
      <c r="F26" s="1128"/>
      <c r="G26" s="1129"/>
      <c r="H26" s="1100"/>
      <c r="I26" s="1100"/>
    </row>
    <row r="27" spans="1:9" s="1584" customFormat="1" ht="19.5" customHeight="1">
      <c r="A27" s="3426"/>
      <c r="B27" s="3426"/>
      <c r="C27" s="1126" t="s">
        <v>1462</v>
      </c>
      <c r="D27" s="1127"/>
      <c r="E27" s="1149">
        <v>0.9</v>
      </c>
      <c r="F27" s="1128" t="s">
        <v>1463</v>
      </c>
      <c r="G27" s="1129"/>
      <c r="H27" s="1100"/>
      <c r="I27" s="1100"/>
    </row>
    <row r="28" spans="1:9" s="1584" customFormat="1" ht="19.5" customHeight="1">
      <c r="A28" s="3426"/>
      <c r="B28" s="3426"/>
      <c r="C28" s="1126" t="s">
        <v>1464</v>
      </c>
      <c r="D28" s="1127"/>
      <c r="E28" s="1149">
        <v>0.9</v>
      </c>
      <c r="F28" s="1128" t="s">
        <v>1465</v>
      </c>
      <c r="G28" s="1129"/>
      <c r="H28" s="1100"/>
      <c r="I28" s="1100"/>
    </row>
    <row r="29" spans="1:9" s="1584" customFormat="1" ht="19.5" customHeight="1">
      <c r="A29" s="3426"/>
      <c r="B29" s="3426"/>
      <c r="C29" s="1126" t="s">
        <v>1466</v>
      </c>
      <c r="D29" s="1127"/>
      <c r="E29" s="1149">
        <v>0.9</v>
      </c>
      <c r="F29" s="1128" t="s">
        <v>1467</v>
      </c>
      <c r="G29" s="1129"/>
      <c r="H29" s="1100"/>
      <c r="I29" s="1100"/>
    </row>
    <row r="30" spans="1:9" s="1584" customFormat="1" ht="19.5" customHeight="1">
      <c r="A30" s="3426"/>
      <c r="B30" s="3426"/>
      <c r="C30" s="1126" t="s">
        <v>1468</v>
      </c>
      <c r="D30" s="1127"/>
      <c r="E30" s="1149">
        <v>0.9</v>
      </c>
      <c r="F30" s="1128" t="s">
        <v>1469</v>
      </c>
      <c r="G30" s="1129"/>
      <c r="H30" s="1100"/>
      <c r="I30" s="1100"/>
    </row>
    <row r="31" spans="1:9" s="1584" customFormat="1" ht="19.5" customHeight="1">
      <c r="A31" s="3426"/>
      <c r="B31" s="3426"/>
      <c r="C31" s="1126" t="s">
        <v>1470</v>
      </c>
      <c r="D31" s="1127"/>
      <c r="E31" s="1149">
        <v>0.8</v>
      </c>
      <c r="F31" s="1128" t="s">
        <v>1471</v>
      </c>
      <c r="G31" s="1129"/>
      <c r="H31" s="1100"/>
      <c r="I31" s="1100"/>
    </row>
    <row r="32" spans="1:9" s="1584" customFormat="1" ht="19.5" customHeight="1">
      <c r="A32" s="3426"/>
      <c r="B32" s="3426"/>
      <c r="C32" s="1126" t="s">
        <v>1472</v>
      </c>
      <c r="D32" s="1127"/>
      <c r="E32" s="1149">
        <v>0.8</v>
      </c>
      <c r="F32" s="1128" t="s">
        <v>1473</v>
      </c>
      <c r="G32" s="1129"/>
      <c r="H32" s="1100"/>
      <c r="I32" s="1100"/>
    </row>
    <row r="33" spans="1:9" s="1584" customFormat="1" ht="19.5" customHeight="1">
      <c r="A33" s="3426" t="s">
        <v>1474</v>
      </c>
      <c r="B33" s="1149" t="s">
        <v>1446</v>
      </c>
      <c r="C33" s="1126" t="s">
        <v>1475</v>
      </c>
      <c r="D33" s="1127"/>
      <c r="E33" s="1149">
        <v>1</v>
      </c>
      <c r="F33" s="1128" t="s">
        <v>1476</v>
      </c>
      <c r="G33" s="1129"/>
      <c r="H33" s="1100"/>
      <c r="I33" s="1100"/>
    </row>
    <row r="34" spans="1:9" s="1584" customFormat="1" ht="19.5" customHeight="1">
      <c r="A34" s="3426"/>
      <c r="B34" s="1149" t="s">
        <v>1449</v>
      </c>
      <c r="C34" s="1126" t="s">
        <v>1477</v>
      </c>
      <c r="D34" s="1127"/>
      <c r="E34" s="1149">
        <v>1.5</v>
      </c>
      <c r="F34" s="1128" t="s">
        <v>1478</v>
      </c>
      <c r="G34" s="1129"/>
      <c r="H34" s="1100"/>
      <c r="I34" s="1100"/>
    </row>
    <row r="35" spans="1:9" s="1584" customFormat="1" ht="19.5" customHeight="1">
      <c r="A35" s="3426" t="s">
        <v>1432</v>
      </c>
      <c r="B35" s="1149" t="s">
        <v>1446</v>
      </c>
      <c r="C35" s="1126" t="s">
        <v>1479</v>
      </c>
      <c r="D35" s="1127"/>
      <c r="E35" s="1149">
        <v>1</v>
      </c>
      <c r="F35" s="1128" t="s">
        <v>1480</v>
      </c>
      <c r="G35" s="1129"/>
      <c r="H35" s="1100"/>
      <c r="I35" s="1100"/>
    </row>
    <row r="36" spans="1:9" s="1584" customFormat="1" ht="19.5" customHeight="1">
      <c r="A36" s="3426"/>
      <c r="B36" s="3426" t="s">
        <v>1449</v>
      </c>
      <c r="C36" s="1126" t="s">
        <v>1481</v>
      </c>
      <c r="D36" s="1127"/>
      <c r="E36" s="1149">
        <v>1</v>
      </c>
      <c r="F36" s="1128" t="s">
        <v>1482</v>
      </c>
      <c r="G36" s="1129"/>
      <c r="H36" s="1100"/>
      <c r="I36" s="1100"/>
    </row>
    <row r="37" spans="1:9" s="1584" customFormat="1" ht="19.5" customHeight="1">
      <c r="A37" s="3426"/>
      <c r="B37" s="3426"/>
      <c r="C37" s="1126" t="s">
        <v>1483</v>
      </c>
      <c r="D37" s="1127"/>
      <c r="E37" s="1149">
        <v>1.5</v>
      </c>
      <c r="F37" s="1128" t="s">
        <v>1484</v>
      </c>
      <c r="G37" s="1129"/>
      <c r="H37" s="1100"/>
      <c r="I37" s="1100"/>
    </row>
    <row r="38" spans="1:9" s="1584" customFormat="1" ht="19.5" customHeight="1">
      <c r="A38" s="3426"/>
      <c r="B38" s="3426"/>
      <c r="C38" s="1126" t="s">
        <v>1485</v>
      </c>
      <c r="D38" s="1127"/>
      <c r="E38" s="1149">
        <v>1</v>
      </c>
      <c r="F38" s="1128" t="s">
        <v>1486</v>
      </c>
      <c r="G38" s="1129"/>
      <c r="H38" s="1100"/>
      <c r="I38" s="1100"/>
    </row>
    <row r="39" spans="1:9" s="1584" customFormat="1" ht="19.5" customHeight="1">
      <c r="A39" s="3426"/>
      <c r="B39" s="3426"/>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26" t="s">
        <v>1501</v>
      </c>
      <c r="C61" s="1063" t="s">
        <v>1502</v>
      </c>
      <c r="D61" s="1063" t="s">
        <v>1503</v>
      </c>
      <c r="E61" s="1134">
        <v>0.5</v>
      </c>
      <c r="F61" s="1149">
        <v>80</v>
      </c>
      <c r="H61" s="1100">
        <f>SUMIF(C59:C119,基准地价!C8,E59:E119)</f>
        <v>0</v>
      </c>
    </row>
    <row r="62" spans="1:8" s="1100" customFormat="1" ht="24">
      <c r="A62" s="1149">
        <v>2</v>
      </c>
      <c r="B62" s="3426"/>
      <c r="C62" s="1063" t="s">
        <v>1504</v>
      </c>
      <c r="D62" s="1063" t="s">
        <v>1505</v>
      </c>
      <c r="E62" s="1134">
        <v>0.5</v>
      </c>
      <c r="F62" s="1149">
        <v>80</v>
      </c>
    </row>
    <row r="63" spans="1:8" s="1100" customFormat="1" ht="36">
      <c r="A63" s="1149">
        <v>3</v>
      </c>
      <c r="B63" s="3426"/>
      <c r="C63" s="1063" t="s">
        <v>1506</v>
      </c>
      <c r="D63" s="1063" t="s">
        <v>1507</v>
      </c>
      <c r="E63" s="1134">
        <v>0.5</v>
      </c>
      <c r="F63" s="1149">
        <v>80</v>
      </c>
    </row>
    <row r="64" spans="1:8" s="1100" customFormat="1" ht="36">
      <c r="A64" s="1149">
        <v>4</v>
      </c>
      <c r="B64" s="3426"/>
      <c r="C64" s="1063" t="s">
        <v>1508</v>
      </c>
      <c r="D64" s="1063" t="s">
        <v>1509</v>
      </c>
      <c r="E64" s="1134">
        <v>0.4</v>
      </c>
      <c r="F64" s="1149">
        <v>60</v>
      </c>
    </row>
    <row r="65" spans="1:6" s="1100" customFormat="1" ht="36">
      <c r="A65" s="1149">
        <v>5</v>
      </c>
      <c r="B65" s="3426"/>
      <c r="C65" s="1063" t="s">
        <v>1510</v>
      </c>
      <c r="D65" s="1063" t="s">
        <v>1511</v>
      </c>
      <c r="E65" s="1134">
        <v>0.2</v>
      </c>
      <c r="F65" s="1149">
        <v>30</v>
      </c>
    </row>
    <row r="66" spans="1:6" s="1100" customFormat="1" ht="36">
      <c r="A66" s="1149">
        <v>6</v>
      </c>
      <c r="B66" s="3426"/>
      <c r="C66" s="1063" t="s">
        <v>1512</v>
      </c>
      <c r="D66" s="1063" t="s">
        <v>1513</v>
      </c>
      <c r="E66" s="1134">
        <v>0.3</v>
      </c>
      <c r="F66" s="1149">
        <v>50</v>
      </c>
    </row>
    <row r="67" spans="1:6" s="1100" customFormat="1" ht="36">
      <c r="A67" s="1149">
        <v>7</v>
      </c>
      <c r="B67" s="3426"/>
      <c r="C67" s="1063" t="s">
        <v>1514</v>
      </c>
      <c r="D67" s="1063" t="s">
        <v>1515</v>
      </c>
      <c r="E67" s="1134">
        <v>0.2</v>
      </c>
      <c r="F67" s="1149">
        <v>30</v>
      </c>
    </row>
    <row r="68" spans="1:6" s="1100" customFormat="1" ht="36">
      <c r="A68" s="1149">
        <v>8</v>
      </c>
      <c r="B68" s="3426"/>
      <c r="C68" s="1063" t="s">
        <v>1516</v>
      </c>
      <c r="D68" s="1063" t="s">
        <v>1517</v>
      </c>
      <c r="E68" s="1134">
        <v>0.2</v>
      </c>
      <c r="F68" s="1149">
        <v>30</v>
      </c>
    </row>
    <row r="69" spans="1:6" s="1100" customFormat="1" ht="36">
      <c r="A69" s="1149">
        <v>9</v>
      </c>
      <c r="B69" s="3426"/>
      <c r="C69" s="1063" t="s">
        <v>1518</v>
      </c>
      <c r="D69" s="1063" t="s">
        <v>1519</v>
      </c>
      <c r="E69" s="1134">
        <v>0.2</v>
      </c>
      <c r="F69" s="1149">
        <v>30</v>
      </c>
    </row>
    <row r="70" spans="1:6" s="1100" customFormat="1" ht="48">
      <c r="A70" s="1149">
        <v>10</v>
      </c>
      <c r="B70" s="3426"/>
      <c r="C70" s="1063" t="s">
        <v>1520</v>
      </c>
      <c r="D70" s="1063" t="s">
        <v>1521</v>
      </c>
      <c r="E70" s="1134">
        <v>0.2</v>
      </c>
      <c r="F70" s="1149">
        <v>30</v>
      </c>
    </row>
    <row r="71" spans="1:6" s="1100" customFormat="1" ht="48">
      <c r="A71" s="1149">
        <v>11</v>
      </c>
      <c r="B71" s="3426"/>
      <c r="C71" s="1063" t="s">
        <v>1522</v>
      </c>
      <c r="D71" s="1063" t="s">
        <v>1523</v>
      </c>
      <c r="E71" s="1134">
        <v>0.2</v>
      </c>
      <c r="F71" s="1149">
        <v>30</v>
      </c>
    </row>
    <row r="72" spans="1:6" s="1100" customFormat="1" ht="36">
      <c r="A72" s="1149">
        <v>12</v>
      </c>
      <c r="B72" s="3426"/>
      <c r="C72" s="1063" t="s">
        <v>1524</v>
      </c>
      <c r="D72" s="1063" t="s">
        <v>1525</v>
      </c>
      <c r="E72" s="1134">
        <v>0.5</v>
      </c>
      <c r="F72" s="1149">
        <v>80</v>
      </c>
    </row>
    <row r="73" spans="1:6" s="1100" customFormat="1" ht="24">
      <c r="A73" s="1149">
        <v>13</v>
      </c>
      <c r="B73" s="3426"/>
      <c r="C73" s="1063" t="s">
        <v>1526</v>
      </c>
      <c r="D73" s="1063" t="s">
        <v>1527</v>
      </c>
      <c r="E73" s="1134">
        <v>0.4</v>
      </c>
      <c r="F73" s="1149">
        <v>60</v>
      </c>
    </row>
    <row r="74" spans="1:6" s="1100" customFormat="1" ht="24">
      <c r="A74" s="1149">
        <v>14</v>
      </c>
      <c r="B74" s="3426"/>
      <c r="C74" s="1063" t="s">
        <v>1528</v>
      </c>
      <c r="D74" s="1063" t="s">
        <v>1529</v>
      </c>
      <c r="E74" s="1134">
        <v>0.2</v>
      </c>
      <c r="F74" s="1149">
        <v>30</v>
      </c>
    </row>
    <row r="75" spans="1:6" s="1100" customFormat="1" ht="24">
      <c r="A75" s="1149">
        <v>15</v>
      </c>
      <c r="B75" s="3426"/>
      <c r="C75" s="1063" t="s">
        <v>1530</v>
      </c>
      <c r="D75" s="1063" t="s">
        <v>1531</v>
      </c>
      <c r="E75" s="1134">
        <v>0.2</v>
      </c>
      <c r="F75" s="1149">
        <v>30</v>
      </c>
    </row>
    <row r="76" spans="1:6" s="1100" customFormat="1" ht="24">
      <c r="A76" s="1149">
        <v>16</v>
      </c>
      <c r="B76" s="3426" t="s">
        <v>1532</v>
      </c>
      <c r="C76" s="1063" t="s">
        <v>1533</v>
      </c>
      <c r="D76" s="1063" t="s">
        <v>1534</v>
      </c>
      <c r="E76" s="1134">
        <v>0.5</v>
      </c>
      <c r="F76" s="1149">
        <v>80</v>
      </c>
    </row>
    <row r="77" spans="1:6" s="1100" customFormat="1" ht="24">
      <c r="A77" s="1149">
        <v>17</v>
      </c>
      <c r="B77" s="3426"/>
      <c r="C77" s="1063" t="s">
        <v>1535</v>
      </c>
      <c r="D77" s="1063" t="s">
        <v>1536</v>
      </c>
      <c r="E77" s="1134">
        <v>0.5</v>
      </c>
      <c r="F77" s="1149">
        <v>80</v>
      </c>
    </row>
    <row r="78" spans="1:6" s="1100" customFormat="1" ht="24">
      <c r="A78" s="1149">
        <v>18</v>
      </c>
      <c r="B78" s="3426"/>
      <c r="C78" s="1063" t="s">
        <v>1537</v>
      </c>
      <c r="D78" s="1063" t="s">
        <v>1538</v>
      </c>
      <c r="E78" s="1134">
        <v>0.2</v>
      </c>
      <c r="F78" s="1149">
        <v>30</v>
      </c>
    </row>
    <row r="79" spans="1:6" s="1100" customFormat="1" ht="24">
      <c r="A79" s="1149">
        <v>19</v>
      </c>
      <c r="B79" s="3426"/>
      <c r="C79" s="1063" t="s">
        <v>1539</v>
      </c>
      <c r="D79" s="1063" t="s">
        <v>1540</v>
      </c>
      <c r="E79" s="1134">
        <v>0.5</v>
      </c>
      <c r="F79" s="1149">
        <v>80</v>
      </c>
    </row>
    <row r="80" spans="1:6" s="1100" customFormat="1" ht="36">
      <c r="A80" s="1149">
        <v>20</v>
      </c>
      <c r="B80" s="3426"/>
      <c r="C80" s="1063" t="s">
        <v>1541</v>
      </c>
      <c r="D80" s="1063" t="s">
        <v>1542</v>
      </c>
      <c r="E80" s="1134">
        <v>0.2</v>
      </c>
      <c r="F80" s="1149">
        <v>30</v>
      </c>
    </row>
    <row r="81" spans="1:6" s="1100" customFormat="1" ht="36">
      <c r="A81" s="1149">
        <v>21</v>
      </c>
      <c r="B81" s="3426"/>
      <c r="C81" s="1063" t="s">
        <v>1543</v>
      </c>
      <c r="D81" s="1063" t="s">
        <v>1544</v>
      </c>
      <c r="E81" s="1134">
        <v>0.2</v>
      </c>
      <c r="F81" s="1149">
        <v>30</v>
      </c>
    </row>
    <row r="82" spans="1:6" s="1100" customFormat="1" ht="48">
      <c r="A82" s="1149">
        <v>22</v>
      </c>
      <c r="B82" s="3426"/>
      <c r="C82" s="1063" t="s">
        <v>1545</v>
      </c>
      <c r="D82" s="1063" t="s">
        <v>1546</v>
      </c>
      <c r="E82" s="1134">
        <v>0.2</v>
      </c>
      <c r="F82" s="1149">
        <v>30</v>
      </c>
    </row>
    <row r="83" spans="1:6" s="1100" customFormat="1" ht="48">
      <c r="A83" s="1149">
        <v>23</v>
      </c>
      <c r="B83" s="3426"/>
      <c r="C83" s="1063" t="s">
        <v>1547</v>
      </c>
      <c r="D83" s="1063" t="s">
        <v>1548</v>
      </c>
      <c r="E83" s="1134">
        <v>0.2</v>
      </c>
      <c r="F83" s="1149">
        <v>30</v>
      </c>
    </row>
    <row r="84" spans="1:6" s="1100" customFormat="1" ht="36">
      <c r="A84" s="1149">
        <v>24</v>
      </c>
      <c r="B84" s="3426"/>
      <c r="C84" s="1063" t="s">
        <v>1549</v>
      </c>
      <c r="D84" s="1063" t="s">
        <v>1550</v>
      </c>
      <c r="E84" s="1134">
        <v>0.2</v>
      </c>
      <c r="F84" s="1149">
        <v>30</v>
      </c>
    </row>
    <row r="85" spans="1:6" s="1100" customFormat="1" ht="36">
      <c r="A85" s="1149">
        <v>25</v>
      </c>
      <c r="B85" s="3426"/>
      <c r="C85" s="1063" t="s">
        <v>1551</v>
      </c>
      <c r="D85" s="1063" t="s">
        <v>1552</v>
      </c>
      <c r="E85" s="1134">
        <v>0.5</v>
      </c>
      <c r="F85" s="1149">
        <v>80</v>
      </c>
    </row>
    <row r="86" spans="1:6" s="1100" customFormat="1" ht="36">
      <c r="A86" s="1149">
        <v>26</v>
      </c>
      <c r="B86" s="3426"/>
      <c r="C86" s="1063" t="s">
        <v>1553</v>
      </c>
      <c r="D86" s="1063" t="s">
        <v>1554</v>
      </c>
      <c r="E86" s="1134">
        <v>0.2</v>
      </c>
      <c r="F86" s="1149">
        <v>30</v>
      </c>
    </row>
    <row r="87" spans="1:6" s="1100" customFormat="1" ht="36">
      <c r="A87" s="1149">
        <v>27</v>
      </c>
      <c r="B87" s="3426"/>
      <c r="C87" s="1063" t="s">
        <v>1555</v>
      </c>
      <c r="D87" s="1063" t="s">
        <v>1556</v>
      </c>
      <c r="E87" s="1134">
        <v>0.2</v>
      </c>
      <c r="F87" s="1149">
        <v>30</v>
      </c>
    </row>
    <row r="88" spans="1:6" s="1100" customFormat="1" ht="36">
      <c r="A88" s="1149">
        <v>28</v>
      </c>
      <c r="B88" s="3426"/>
      <c r="C88" s="1063" t="s">
        <v>1557</v>
      </c>
      <c r="D88" s="1063" t="s">
        <v>1558</v>
      </c>
      <c r="E88" s="1134">
        <v>0.2</v>
      </c>
      <c r="F88" s="1149">
        <v>30</v>
      </c>
    </row>
    <row r="89" spans="1:6" s="1100" customFormat="1" ht="24">
      <c r="A89" s="1149">
        <v>29</v>
      </c>
      <c r="B89" s="3426"/>
      <c r="C89" s="1063" t="s">
        <v>1559</v>
      </c>
      <c r="D89" s="1063" t="s">
        <v>1560</v>
      </c>
      <c r="E89" s="1134">
        <v>0.2</v>
      </c>
      <c r="F89" s="1149">
        <v>30</v>
      </c>
    </row>
    <row r="90" spans="1:6" s="1100" customFormat="1" ht="24">
      <c r="A90" s="1149">
        <v>30</v>
      </c>
      <c r="B90" s="3426"/>
      <c r="C90" s="1063" t="s">
        <v>1561</v>
      </c>
      <c r="D90" s="1063" t="s">
        <v>1562</v>
      </c>
      <c r="E90" s="1134">
        <v>0.2</v>
      </c>
      <c r="F90" s="1149">
        <v>30</v>
      </c>
    </row>
    <row r="91" spans="1:6" s="1100" customFormat="1" ht="36">
      <c r="A91" s="1149">
        <v>31</v>
      </c>
      <c r="B91" s="3426"/>
      <c r="C91" s="1063" t="s">
        <v>1563</v>
      </c>
      <c r="D91" s="1063" t="s">
        <v>1564</v>
      </c>
      <c r="E91" s="1134">
        <v>0.2</v>
      </c>
      <c r="F91" s="1149">
        <v>30</v>
      </c>
    </row>
    <row r="92" spans="1:6" s="1100" customFormat="1" ht="24">
      <c r="A92" s="1149">
        <v>32</v>
      </c>
      <c r="B92" s="3426" t="s">
        <v>1565</v>
      </c>
      <c r="C92" s="1149" t="s">
        <v>1566</v>
      </c>
      <c r="D92" s="1063" t="s">
        <v>1567</v>
      </c>
      <c r="E92" s="1134">
        <v>0.2</v>
      </c>
      <c r="F92" s="1149">
        <v>30</v>
      </c>
    </row>
    <row r="93" spans="1:6" s="1100" customFormat="1" ht="36">
      <c r="A93" s="1149">
        <v>33</v>
      </c>
      <c r="B93" s="3426"/>
      <c r="C93" s="1149" t="s">
        <v>1568</v>
      </c>
      <c r="D93" s="1063" t="s">
        <v>1569</v>
      </c>
      <c r="E93" s="1134">
        <v>0.2</v>
      </c>
      <c r="F93" s="1149">
        <v>30</v>
      </c>
    </row>
    <row r="94" spans="1:6" s="1100" customFormat="1" ht="48">
      <c r="A94" s="1149">
        <v>34</v>
      </c>
      <c r="B94" s="3426"/>
      <c r="C94" s="1149" t="s">
        <v>1570</v>
      </c>
      <c r="D94" s="1063" t="s">
        <v>1571</v>
      </c>
      <c r="E94" s="1134">
        <v>0.2</v>
      </c>
      <c r="F94" s="1149">
        <v>30</v>
      </c>
    </row>
    <row r="95" spans="1:6" s="1100" customFormat="1" ht="36">
      <c r="A95" s="1149">
        <v>35</v>
      </c>
      <c r="B95" s="3426"/>
      <c r="C95" s="1149" t="s">
        <v>1572</v>
      </c>
      <c r="D95" s="1063" t="s">
        <v>1573</v>
      </c>
      <c r="E95" s="1134">
        <v>0.2</v>
      </c>
      <c r="F95" s="1149">
        <v>30</v>
      </c>
    </row>
    <row r="96" spans="1:6" s="1100" customFormat="1" ht="48">
      <c r="A96" s="1149">
        <v>36</v>
      </c>
      <c r="B96" s="3426"/>
      <c r="C96" s="1063" t="s">
        <v>1574</v>
      </c>
      <c r="D96" s="1063" t="s">
        <v>1575</v>
      </c>
      <c r="E96" s="1134">
        <v>0.2</v>
      </c>
      <c r="F96" s="1149">
        <v>30</v>
      </c>
    </row>
    <row r="97" spans="1:6" s="1100" customFormat="1" ht="36">
      <c r="A97" s="1149">
        <v>37</v>
      </c>
      <c r="B97" s="3426"/>
      <c r="C97" s="1149" t="s">
        <v>1576</v>
      </c>
      <c r="D97" s="1063" t="s">
        <v>1577</v>
      </c>
      <c r="E97" s="1134">
        <v>0.2</v>
      </c>
      <c r="F97" s="1149">
        <v>30</v>
      </c>
    </row>
    <row r="98" spans="1:6" s="1100" customFormat="1" ht="36">
      <c r="A98" s="1149">
        <v>38</v>
      </c>
      <c r="B98" s="3426"/>
      <c r="C98" s="1149" t="s">
        <v>1578</v>
      </c>
      <c r="D98" s="1063" t="s">
        <v>1579</v>
      </c>
      <c r="E98" s="1134">
        <v>0.2</v>
      </c>
      <c r="F98" s="1149">
        <v>30</v>
      </c>
    </row>
    <row r="99" spans="1:6" s="1100" customFormat="1" ht="36">
      <c r="A99" s="1149">
        <v>39</v>
      </c>
      <c r="B99" s="3426" t="s">
        <v>1580</v>
      </c>
      <c r="C99" s="1149" t="s">
        <v>1581</v>
      </c>
      <c r="D99" s="1063" t="s">
        <v>1582</v>
      </c>
      <c r="E99" s="1134">
        <v>0.3</v>
      </c>
      <c r="F99" s="1149">
        <v>50</v>
      </c>
    </row>
    <row r="100" spans="1:6" s="1100" customFormat="1" ht="24">
      <c r="A100" s="1149">
        <v>40</v>
      </c>
      <c r="B100" s="3426"/>
      <c r="C100" s="1149" t="s">
        <v>1583</v>
      </c>
      <c r="D100" s="1063" t="s">
        <v>1584</v>
      </c>
      <c r="E100" s="1134">
        <v>0.2</v>
      </c>
      <c r="F100" s="1149">
        <v>30</v>
      </c>
    </row>
    <row r="101" spans="1:6" s="1100" customFormat="1" ht="36">
      <c r="A101" s="1149">
        <v>41</v>
      </c>
      <c r="B101" s="342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26" t="s">
        <v>1595</v>
      </c>
      <c r="C105" s="1149" t="s">
        <v>1596</v>
      </c>
      <c r="D105" s="1063" t="s">
        <v>1597</v>
      </c>
      <c r="E105" s="1134">
        <v>0.2</v>
      </c>
      <c r="F105" s="1149">
        <v>30</v>
      </c>
    </row>
    <row r="106" spans="1:6" s="1100" customFormat="1" ht="36">
      <c r="A106" s="1149">
        <v>46</v>
      </c>
      <c r="B106" s="3426"/>
      <c r="C106" s="1149" t="s">
        <v>1598</v>
      </c>
      <c r="D106" s="1063" t="s">
        <v>1599</v>
      </c>
      <c r="E106" s="1134">
        <v>0.2</v>
      </c>
      <c r="F106" s="1149">
        <v>30</v>
      </c>
    </row>
    <row r="107" spans="1:6" s="1100" customFormat="1" ht="36">
      <c r="A107" s="1149">
        <v>47</v>
      </c>
      <c r="B107" s="3426" t="s">
        <v>1600</v>
      </c>
      <c r="C107" s="1149" t="s">
        <v>1601</v>
      </c>
      <c r="D107" s="1063" t="s">
        <v>1602</v>
      </c>
      <c r="E107" s="1134">
        <v>0.3</v>
      </c>
      <c r="F107" s="1149">
        <v>50</v>
      </c>
    </row>
    <row r="108" spans="1:6" s="1100" customFormat="1" ht="36">
      <c r="A108" s="1149">
        <v>48</v>
      </c>
      <c r="B108" s="342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26" t="s">
        <v>1611</v>
      </c>
      <c r="C111" s="1149" t="s">
        <v>1612</v>
      </c>
      <c r="D111" s="1063" t="s">
        <v>1613</v>
      </c>
      <c r="E111" s="1134">
        <v>0.2</v>
      </c>
      <c r="F111" s="1149">
        <v>30</v>
      </c>
    </row>
    <row r="112" spans="1:6" s="1100" customFormat="1" ht="24">
      <c r="A112" s="1149">
        <v>52</v>
      </c>
      <c r="B112" s="3426"/>
      <c r="C112" s="1149" t="s">
        <v>1614</v>
      </c>
      <c r="D112" s="1063" t="s">
        <v>1615</v>
      </c>
      <c r="E112" s="1134">
        <v>0.2</v>
      </c>
      <c r="F112" s="1149">
        <v>30</v>
      </c>
    </row>
    <row r="113" spans="1:14" s="1100" customFormat="1" ht="24">
      <c r="A113" s="1149">
        <v>53</v>
      </c>
      <c r="B113" s="342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26" t="s">
        <v>1624</v>
      </c>
      <c r="C116" s="1149" t="s">
        <v>1625</v>
      </c>
      <c r="D116" s="1063" t="s">
        <v>1626</v>
      </c>
      <c r="E116" s="1134">
        <v>0.2</v>
      </c>
      <c r="F116" s="1149">
        <v>30</v>
      </c>
    </row>
    <row r="117" spans="1:14" ht="36">
      <c r="A117" s="1149">
        <v>57</v>
      </c>
      <c r="B117" s="342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25" t="s">
        <v>1633</v>
      </c>
      <c r="B121" s="3425"/>
      <c r="C121" s="3425"/>
      <c r="D121" s="3425"/>
      <c r="E121" s="3425"/>
      <c r="F121" s="3425"/>
      <c r="G121" s="3425"/>
      <c r="H121" s="3425"/>
      <c r="I121" s="3425"/>
      <c r="J121" s="342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0" t="s">
        <v>1039</v>
      </c>
      <c r="B1" s="3440"/>
      <c r="C1" s="3440"/>
      <c r="D1" s="3440"/>
      <c r="E1" s="3440"/>
      <c r="F1" s="344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1" t="s">
        <v>1052</v>
      </c>
      <c r="B2" s="3441"/>
      <c r="C2" s="3441"/>
      <c r="D2" s="3441"/>
      <c r="E2" s="3441"/>
      <c r="F2" s="344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11080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2421</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2422</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1.2542</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4" t="s">
        <v>2078</v>
      </c>
      <c r="B1" s="3444"/>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1096</v>
      </c>
      <c r="B6" s="1844" t="s">
        <v>2087</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2088</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2089</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2090</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2091</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2092</v>
      </c>
      <c r="C72" s="1854"/>
      <c r="D72" s="1854"/>
      <c r="E72" s="1854"/>
      <c r="F72" s="1846">
        <v>0.05</v>
      </c>
    </row>
    <row r="73" spans="1:6" ht="14.25" thickBot="1">
      <c r="A73" s="1840" t="s">
        <v>925</v>
      </c>
      <c r="B73" s="1844" t="s">
        <v>2093</v>
      </c>
      <c r="C73" s="1854"/>
      <c r="D73" s="1854"/>
      <c r="E73" s="1854"/>
      <c r="F73" s="1846">
        <v>0.05</v>
      </c>
    </row>
    <row r="74" spans="1:6" ht="14.25" thickBot="1">
      <c r="A74" s="1840" t="s">
        <v>925</v>
      </c>
      <c r="B74" s="1844" t="s">
        <v>2094</v>
      </c>
      <c r="C74" s="1854"/>
      <c r="D74" s="1854"/>
      <c r="E74" s="1854"/>
      <c r="F74" s="1846">
        <v>0.05</v>
      </c>
    </row>
    <row r="75" spans="1:6" ht="14.25" thickBot="1">
      <c r="A75" s="1848" t="s">
        <v>925</v>
      </c>
      <c r="B75" s="1855" t="s">
        <v>2095</v>
      </c>
      <c r="C75" s="1851"/>
      <c r="D75" s="1851"/>
      <c r="E75" s="1851"/>
      <c r="F75" s="1856">
        <v>0.05</v>
      </c>
    </row>
    <row r="76" spans="1:6" ht="14.25" thickBot="1">
      <c r="A76" s="1840" t="s">
        <v>1407</v>
      </c>
      <c r="B76" s="1841" t="s">
        <v>2096</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2097</v>
      </c>
      <c r="C102" s="1854"/>
      <c r="D102" s="1854"/>
      <c r="E102" s="1854"/>
      <c r="F102" s="1846">
        <v>0.05</v>
      </c>
    </row>
    <row r="103" spans="1:6" ht="24.75" thickBot="1">
      <c r="A103" s="1840" t="s">
        <v>1407</v>
      </c>
      <c r="B103" s="1844" t="s">
        <v>2098</v>
      </c>
      <c r="C103" s="1854"/>
      <c r="D103" s="1854"/>
      <c r="E103" s="1854"/>
      <c r="F103" s="1846">
        <v>0.05</v>
      </c>
    </row>
    <row r="104" spans="1:6" ht="14.25" thickBot="1">
      <c r="A104" s="1840" t="s">
        <v>1407</v>
      </c>
      <c r="B104" s="1844" t="s">
        <v>2099</v>
      </c>
      <c r="C104" s="1854"/>
      <c r="D104" s="1854"/>
      <c r="E104" s="1854"/>
      <c r="F104" s="1846">
        <v>0.05</v>
      </c>
    </row>
    <row r="105" spans="1:6" ht="14.25" thickBot="1">
      <c r="A105" s="1840" t="s">
        <v>1407</v>
      </c>
      <c r="B105" s="1844" t="s">
        <v>2100</v>
      </c>
      <c r="C105" s="1854"/>
      <c r="D105" s="1854"/>
      <c r="E105" s="1854"/>
      <c r="F105" s="1846">
        <v>0.05</v>
      </c>
    </row>
    <row r="106" spans="1:6" ht="14.25" thickBot="1">
      <c r="A106" s="1840" t="s">
        <v>1407</v>
      </c>
      <c r="B106" s="1844" t="s">
        <v>2101</v>
      </c>
      <c r="C106" s="1854"/>
      <c r="D106" s="1854"/>
      <c r="E106" s="1854"/>
      <c r="F106" s="1846">
        <v>0.05</v>
      </c>
    </row>
    <row r="107" spans="1:6" ht="24.75" thickBot="1">
      <c r="A107" s="1840" t="s">
        <v>1407</v>
      </c>
      <c r="B107" s="1844" t="s">
        <v>2102</v>
      </c>
      <c r="C107" s="1854"/>
      <c r="D107" s="1854"/>
      <c r="E107" s="1854"/>
      <c r="F107" s="1846">
        <v>0.05</v>
      </c>
    </row>
    <row r="108" spans="1:6" ht="24.75" thickBot="1">
      <c r="A108" s="1840" t="s">
        <v>1407</v>
      </c>
      <c r="B108" s="1844" t="s">
        <v>2103</v>
      </c>
      <c r="C108" s="1854"/>
      <c r="D108" s="1854"/>
      <c r="E108" s="1854"/>
      <c r="F108" s="1846">
        <v>0.05</v>
      </c>
    </row>
    <row r="109" spans="1:6" ht="24.75" thickBot="1">
      <c r="A109" s="1848" t="s">
        <v>1407</v>
      </c>
      <c r="B109" s="1855" t="s">
        <v>2104</v>
      </c>
      <c r="C109" s="1851"/>
      <c r="D109" s="1851"/>
      <c r="E109" s="1851"/>
      <c r="F109" s="1856">
        <v>0.05</v>
      </c>
    </row>
    <row r="110" spans="1:6" ht="14.25" thickBot="1">
      <c r="A110" s="1840" t="s">
        <v>1409</v>
      </c>
      <c r="B110" s="1841" t="s">
        <v>2105</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2106</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2107</v>
      </c>
      <c r="C138" s="1845">
        <v>0.105</v>
      </c>
      <c r="D138" s="1845">
        <v>0.125</v>
      </c>
      <c r="E138" s="1845">
        <v>0.112</v>
      </c>
      <c r="F138" s="1853"/>
    </row>
    <row r="139" spans="1:6" ht="14.25" thickBot="1">
      <c r="A139" s="1840" t="s">
        <v>1409</v>
      </c>
      <c r="B139" s="1844" t="s">
        <v>2108</v>
      </c>
      <c r="C139" s="1845">
        <v>0.127</v>
      </c>
      <c r="D139" s="1845">
        <v>0.127</v>
      </c>
      <c r="E139" s="1845">
        <v>0.122</v>
      </c>
      <c r="F139" s="1846">
        <v>0.13</v>
      </c>
    </row>
    <row r="140" spans="1:6" ht="14.25" thickBot="1">
      <c r="A140" s="1840" t="s">
        <v>1409</v>
      </c>
      <c r="B140" s="1844" t="s">
        <v>2109</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2110</v>
      </c>
      <c r="C144" s="1858">
        <v>0.126</v>
      </c>
      <c r="D144" s="1858">
        <v>0.126</v>
      </c>
      <c r="E144" s="1858">
        <v>0.121</v>
      </c>
      <c r="F144" s="1853"/>
    </row>
    <row r="145" spans="1:6" ht="14.25" thickBot="1">
      <c r="A145" s="1848" t="s">
        <v>1409</v>
      </c>
      <c r="B145" s="1859" t="s">
        <v>2111</v>
      </c>
      <c r="C145" s="1860"/>
      <c r="D145" s="1860"/>
      <c r="E145" s="1860"/>
      <c r="F145" s="1861">
        <v>0.05</v>
      </c>
    </row>
    <row r="146" spans="1:6" ht="24.75" thickBot="1">
      <c r="A146" s="1862" t="s">
        <v>1409</v>
      </c>
      <c r="B146" s="1847" t="s">
        <v>2112</v>
      </c>
      <c r="C146" s="1854"/>
      <c r="D146" s="1854"/>
      <c r="E146" s="1854"/>
      <c r="F146" s="1863">
        <v>0.05</v>
      </c>
    </row>
    <row r="147" spans="1:6" ht="24.75" thickBot="1">
      <c r="A147" s="1840" t="s">
        <v>1409</v>
      </c>
      <c r="B147" s="1844" t="s">
        <v>2113</v>
      </c>
      <c r="C147" s="1854"/>
      <c r="D147" s="1854"/>
      <c r="E147" s="1854"/>
      <c r="F147" s="1846">
        <v>0.05</v>
      </c>
    </row>
    <row r="148" spans="1:6" ht="24.75" thickBot="1">
      <c r="A148" s="1840" t="s">
        <v>1409</v>
      </c>
      <c r="B148" s="1844" t="s">
        <v>2114</v>
      </c>
      <c r="C148" s="1854"/>
      <c r="D148" s="1854"/>
      <c r="E148" s="1854"/>
      <c r="F148" s="1846">
        <v>0.05</v>
      </c>
    </row>
    <row r="149" spans="1:6" ht="24.75" thickBot="1">
      <c r="A149" s="1840" t="s">
        <v>1409</v>
      </c>
      <c r="B149" s="1844" t="s">
        <v>2115</v>
      </c>
      <c r="C149" s="1854"/>
      <c r="D149" s="1854"/>
      <c r="E149" s="1854"/>
      <c r="F149" s="1846">
        <v>0.05</v>
      </c>
    </row>
    <row r="150" spans="1:6" ht="24.75" thickBot="1">
      <c r="A150" s="1840" t="s">
        <v>1409</v>
      </c>
      <c r="B150" s="1844" t="s">
        <v>2116</v>
      </c>
      <c r="C150" s="1854"/>
      <c r="D150" s="1854"/>
      <c r="E150" s="1854"/>
      <c r="F150" s="1846">
        <v>0.05</v>
      </c>
    </row>
    <row r="151" spans="1:6" ht="24.75" thickBot="1">
      <c r="A151" s="1840" t="s">
        <v>1409</v>
      </c>
      <c r="B151" s="1844" t="s">
        <v>2117</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2118</v>
      </c>
      <c r="C153" s="1854"/>
      <c r="D153" s="1854"/>
      <c r="E153" s="1854"/>
      <c r="F153" s="1846">
        <v>0.05</v>
      </c>
    </row>
    <row r="154" spans="1:6" ht="14.25" thickBot="1">
      <c r="A154" s="1840" t="s">
        <v>1409</v>
      </c>
      <c r="B154" s="1844" t="s">
        <v>2119</v>
      </c>
      <c r="C154" s="1854"/>
      <c r="D154" s="1854"/>
      <c r="E154" s="1854"/>
      <c r="F154" s="1846">
        <v>0.05</v>
      </c>
    </row>
    <row r="155" spans="1:6" ht="24.75" thickBot="1">
      <c r="A155" s="1840" t="s">
        <v>1409</v>
      </c>
      <c r="B155" s="1844" t="s">
        <v>2120</v>
      </c>
      <c r="C155" s="1854"/>
      <c r="D155" s="1854"/>
      <c r="E155" s="1854"/>
      <c r="F155" s="1846">
        <v>0.05</v>
      </c>
    </row>
    <row r="156" spans="1:6" ht="24.75" thickBot="1">
      <c r="A156" s="1840" t="s">
        <v>1409</v>
      </c>
      <c r="B156" s="1844" t="s">
        <v>2121</v>
      </c>
      <c r="C156" s="1854"/>
      <c r="D156" s="1854"/>
      <c r="E156" s="1854"/>
      <c r="F156" s="1846">
        <v>0.05</v>
      </c>
    </row>
    <row r="157" spans="1:6" ht="14.25" thickBot="1">
      <c r="A157" s="1848" t="s">
        <v>1409</v>
      </c>
      <c r="B157" s="1855" t="s">
        <v>2122</v>
      </c>
      <c r="C157" s="1851"/>
      <c r="D157" s="1851"/>
      <c r="E157" s="1851"/>
      <c r="F157" s="1856">
        <v>0.05</v>
      </c>
    </row>
    <row r="158" spans="1:6" ht="14.25" thickBot="1">
      <c r="A158" s="1840" t="s">
        <v>1411</v>
      </c>
      <c r="B158" s="1841" t="s">
        <v>2123</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2124</v>
      </c>
      <c r="C171" s="1845">
        <v>0.127</v>
      </c>
      <c r="D171" s="1845">
        <v>0.126</v>
      </c>
      <c r="E171" s="1845">
        <v>0.126</v>
      </c>
      <c r="F171" s="1846">
        <v>0.11799999999999999</v>
      </c>
    </row>
    <row r="172" spans="1:6" ht="14.25" thickBot="1">
      <c r="A172" s="1840" t="s">
        <v>1411</v>
      </c>
      <c r="B172" s="1844" t="s">
        <v>2125</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2126</v>
      </c>
      <c r="C174" s="1845">
        <v>0.13</v>
      </c>
      <c r="D174" s="1845">
        <v>0.13</v>
      </c>
      <c r="E174" s="1845">
        <v>0.13</v>
      </c>
      <c r="F174" s="1846">
        <v>0.13</v>
      </c>
    </row>
    <row r="175" spans="1:6" ht="14.25" thickBot="1">
      <c r="A175" s="1840" t="s">
        <v>1411</v>
      </c>
      <c r="B175" s="1844" t="s">
        <v>2127</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2128</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2129</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2130</v>
      </c>
      <c r="C185" s="1845">
        <v>0.127</v>
      </c>
      <c r="D185" s="1845">
        <v>0.127</v>
      </c>
      <c r="E185" s="1845">
        <v>0.128</v>
      </c>
      <c r="F185" s="1846">
        <v>0.13</v>
      </c>
    </row>
    <row r="186" spans="1:6" ht="24.75" thickBot="1">
      <c r="A186" s="1840" t="s">
        <v>1411</v>
      </c>
      <c r="B186" s="1844" t="s">
        <v>2131</v>
      </c>
      <c r="C186" s="1854"/>
      <c r="D186" s="1854"/>
      <c r="E186" s="1854"/>
      <c r="F186" s="1846">
        <v>0.05</v>
      </c>
    </row>
    <row r="187" spans="1:6" ht="14.25" thickBot="1">
      <c r="A187" s="1840" t="s">
        <v>1411</v>
      </c>
      <c r="B187" s="1844" t="s">
        <v>2132</v>
      </c>
      <c r="C187" s="1854"/>
      <c r="D187" s="1854"/>
      <c r="E187" s="1854"/>
      <c r="F187" s="1846">
        <v>0.05</v>
      </c>
    </row>
    <row r="188" spans="1:6" ht="14.25" thickBot="1">
      <c r="A188" s="1840" t="s">
        <v>1411</v>
      </c>
      <c r="B188" s="1844" t="s">
        <v>2133</v>
      </c>
      <c r="C188" s="1854"/>
      <c r="D188" s="1854"/>
      <c r="E188" s="1854"/>
      <c r="F188" s="1846">
        <v>0.05</v>
      </c>
    </row>
    <row r="189" spans="1:6" ht="24.75" thickBot="1">
      <c r="A189" s="1840" t="s">
        <v>1411</v>
      </c>
      <c r="B189" s="1844" t="s">
        <v>2134</v>
      </c>
      <c r="C189" s="1854"/>
      <c r="D189" s="1854"/>
      <c r="E189" s="1854"/>
      <c r="F189" s="1846">
        <v>0.05</v>
      </c>
    </row>
    <row r="190" spans="1:6" ht="24.75" thickBot="1">
      <c r="A190" s="1840" t="s">
        <v>1411</v>
      </c>
      <c r="B190" s="1844" t="s">
        <v>2135</v>
      </c>
      <c r="C190" s="1854"/>
      <c r="D190" s="1854"/>
      <c r="E190" s="1854"/>
      <c r="F190" s="1846">
        <v>0.05</v>
      </c>
    </row>
    <row r="191" spans="1:6" ht="24.75" thickBot="1">
      <c r="A191" s="1840" t="s">
        <v>1411</v>
      </c>
      <c r="B191" s="1844" t="s">
        <v>2136</v>
      </c>
      <c r="C191" s="1854"/>
      <c r="D191" s="1854"/>
      <c r="E191" s="1854"/>
      <c r="F191" s="1846">
        <v>0.05</v>
      </c>
    </row>
    <row r="192" spans="1:6" ht="24.75" thickBot="1">
      <c r="A192" s="1840" t="s">
        <v>1411</v>
      </c>
      <c r="B192" s="1844" t="s">
        <v>2137</v>
      </c>
      <c r="C192" s="1854"/>
      <c r="D192" s="1854"/>
      <c r="E192" s="1854"/>
      <c r="F192" s="1846">
        <v>0.05</v>
      </c>
    </row>
    <row r="193" spans="1:6" ht="24.75" thickBot="1">
      <c r="A193" s="1840" t="s">
        <v>1411</v>
      </c>
      <c r="B193" s="1844" t="s">
        <v>2138</v>
      </c>
      <c r="C193" s="1854"/>
      <c r="D193" s="1854"/>
      <c r="E193" s="1854"/>
      <c r="F193" s="1846">
        <v>0.05</v>
      </c>
    </row>
    <row r="194" spans="1:6" ht="24.75" thickBot="1">
      <c r="A194" s="1840" t="s">
        <v>1411</v>
      </c>
      <c r="B194" s="1844" t="s">
        <v>2139</v>
      </c>
      <c r="C194" s="1854"/>
      <c r="D194" s="1854"/>
      <c r="E194" s="1854"/>
      <c r="F194" s="1846">
        <v>0.05</v>
      </c>
    </row>
    <row r="195" spans="1:6" ht="14.25" thickBot="1">
      <c r="A195" s="1840" t="s">
        <v>1411</v>
      </c>
      <c r="B195" s="1844" t="s">
        <v>2140</v>
      </c>
      <c r="C195" s="1854"/>
      <c r="D195" s="1854"/>
      <c r="E195" s="1854"/>
      <c r="F195" s="1846">
        <v>0.05</v>
      </c>
    </row>
    <row r="196" spans="1:6" ht="24.75" thickBot="1">
      <c r="A196" s="1840" t="s">
        <v>1411</v>
      </c>
      <c r="B196" s="1844" t="s">
        <v>2141</v>
      </c>
      <c r="C196" s="1854"/>
      <c r="D196" s="1854"/>
      <c r="E196" s="1854"/>
      <c r="F196" s="1846">
        <v>0.05</v>
      </c>
    </row>
    <row r="197" spans="1:6" ht="24.75" thickBot="1">
      <c r="A197" s="1840" t="s">
        <v>1411</v>
      </c>
      <c r="B197" s="1844" t="s">
        <v>2142</v>
      </c>
      <c r="C197" s="1854"/>
      <c r="D197" s="1854"/>
      <c r="E197" s="1854"/>
      <c r="F197" s="1846">
        <v>0.05</v>
      </c>
    </row>
    <row r="198" spans="1:6" ht="24.75" thickBot="1">
      <c r="A198" s="1840" t="s">
        <v>1411</v>
      </c>
      <c r="B198" s="1844" t="s">
        <v>2143</v>
      </c>
      <c r="C198" s="1854"/>
      <c r="D198" s="1854"/>
      <c r="E198" s="1854"/>
      <c r="F198" s="1846">
        <v>0.05</v>
      </c>
    </row>
    <row r="199" spans="1:6" ht="24.75" thickBot="1">
      <c r="A199" s="1840" t="s">
        <v>1411</v>
      </c>
      <c r="B199" s="1844" t="s">
        <v>2144</v>
      </c>
      <c r="C199" s="1854"/>
      <c r="D199" s="1854"/>
      <c r="E199" s="1854"/>
      <c r="F199" s="1846">
        <v>0.05</v>
      </c>
    </row>
    <row r="200" spans="1:6" ht="24.75" thickBot="1">
      <c r="A200" s="1840" t="s">
        <v>1411</v>
      </c>
      <c r="B200" s="1844" t="s">
        <v>2145</v>
      </c>
      <c r="C200" s="1854"/>
      <c r="D200" s="1854"/>
      <c r="E200" s="1854"/>
      <c r="F200" s="1846">
        <v>0.05</v>
      </c>
    </row>
    <row r="201" spans="1:6" ht="24.75" thickBot="1">
      <c r="A201" s="1840" t="s">
        <v>1411</v>
      </c>
      <c r="B201" s="1844" t="s">
        <v>2146</v>
      </c>
      <c r="C201" s="1854"/>
      <c r="D201" s="1854"/>
      <c r="E201" s="1854"/>
      <c r="F201" s="1846">
        <v>0.05</v>
      </c>
    </row>
    <row r="202" spans="1:6" ht="24.75" thickBot="1">
      <c r="A202" s="1840" t="s">
        <v>1411</v>
      </c>
      <c r="B202" s="1844" t="s">
        <v>2147</v>
      </c>
      <c r="C202" s="1854"/>
      <c r="D202" s="1854"/>
      <c r="E202" s="1854"/>
      <c r="F202" s="1846">
        <v>0.05</v>
      </c>
    </row>
    <row r="203" spans="1:6" ht="24.75" thickBot="1">
      <c r="A203" s="1840" t="s">
        <v>1411</v>
      </c>
      <c r="B203" s="1844" t="s">
        <v>2148</v>
      </c>
      <c r="C203" s="1854"/>
      <c r="D203" s="1854"/>
      <c r="E203" s="1854"/>
      <c r="F203" s="1846">
        <v>0.05</v>
      </c>
    </row>
    <row r="204" spans="1:6" ht="14.25" thickBot="1">
      <c r="A204" s="1840" t="s">
        <v>1411</v>
      </c>
      <c r="B204" s="1844" t="s">
        <v>2149</v>
      </c>
      <c r="C204" s="1854"/>
      <c r="D204" s="1854"/>
      <c r="E204" s="1854"/>
      <c r="F204" s="1846">
        <v>0.05</v>
      </c>
    </row>
    <row r="205" spans="1:6" ht="14.25" thickBot="1">
      <c r="A205" s="1848" t="s">
        <v>1411</v>
      </c>
      <c r="B205" s="1855" t="s">
        <v>2150</v>
      </c>
      <c r="C205" s="1851"/>
      <c r="D205" s="1851"/>
      <c r="E205" s="1851"/>
      <c r="F205" s="1856">
        <v>0.05</v>
      </c>
    </row>
    <row r="206" spans="1:6" ht="14.25" thickBot="1">
      <c r="A206" s="1840" t="s">
        <v>1413</v>
      </c>
      <c r="B206" s="1841" t="s">
        <v>2151</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2152</v>
      </c>
      <c r="C210" s="1845">
        <v>0.15</v>
      </c>
      <c r="D210" s="1845">
        <v>0.15</v>
      </c>
      <c r="E210" s="1845">
        <v>0.15</v>
      </c>
      <c r="F210" s="1846">
        <v>0.13800000000000001</v>
      </c>
    </row>
    <row r="211" spans="1:6" ht="14.25" thickBot="1">
      <c r="A211" s="1840" t="s">
        <v>1413</v>
      </c>
      <c r="B211" s="1844" t="s">
        <v>2153</v>
      </c>
      <c r="C211" s="1845">
        <v>0.13700000000000001</v>
      </c>
      <c r="D211" s="1845">
        <v>0.13500000000000001</v>
      </c>
      <c r="E211" s="1845">
        <v>0.13600000000000001</v>
      </c>
      <c r="F211" s="1846">
        <v>0.1</v>
      </c>
    </row>
    <row r="212" spans="1:6" ht="14.25" thickBot="1">
      <c r="A212" s="1840" t="s">
        <v>1413</v>
      </c>
      <c r="B212" s="1844" t="s">
        <v>2154</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2155</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2156</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2157</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2158</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2159</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2160</v>
      </c>
      <c r="C231" s="1845">
        <v>0.128</v>
      </c>
      <c r="D231" s="1845">
        <v>0.125</v>
      </c>
      <c r="E231" s="1845">
        <v>0.13200000000000001</v>
      </c>
      <c r="F231" s="1853"/>
    </row>
    <row r="232" spans="1:6" ht="14.25" thickBot="1">
      <c r="A232" s="1840" t="s">
        <v>1413</v>
      </c>
      <c r="B232" s="1844" t="s">
        <v>2161</v>
      </c>
      <c r="C232" s="1845">
        <v>0.14499999999999999</v>
      </c>
      <c r="D232" s="1845">
        <v>0.14399999999999999</v>
      </c>
      <c r="E232" s="1845">
        <v>0.14599999999999999</v>
      </c>
      <c r="F232" s="1846">
        <v>0.13800000000000001</v>
      </c>
    </row>
    <row r="233" spans="1:6" ht="14.25" thickBot="1">
      <c r="A233" s="1840" t="s">
        <v>1413</v>
      </c>
      <c r="B233" s="1844" t="s">
        <v>2162</v>
      </c>
      <c r="C233" s="1845">
        <v>0.14499999999999999</v>
      </c>
      <c r="D233" s="1845">
        <v>0.14299999999999999</v>
      </c>
      <c r="E233" s="1845">
        <v>0.14199999999999999</v>
      </c>
      <c r="F233" s="1853"/>
    </row>
    <row r="234" spans="1:6" ht="14.25" thickBot="1">
      <c r="A234" s="1840" t="s">
        <v>1413</v>
      </c>
      <c r="B234" s="1844" t="s">
        <v>2163</v>
      </c>
      <c r="C234" s="1845">
        <v>0.14000000000000001</v>
      </c>
      <c r="D234" s="1845">
        <v>0.14000000000000001</v>
      </c>
      <c r="E234" s="1845">
        <v>0.14399999999999999</v>
      </c>
      <c r="F234" s="1853"/>
    </row>
    <row r="235" spans="1:6" ht="14.25" thickBot="1">
      <c r="A235" s="1840" t="s">
        <v>1413</v>
      </c>
      <c r="B235" s="1844" t="s">
        <v>2164</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2165</v>
      </c>
      <c r="C237" s="1854"/>
      <c r="D237" s="1854"/>
      <c r="E237" s="1854"/>
      <c r="F237" s="1846">
        <v>0.05</v>
      </c>
    </row>
    <row r="238" spans="1:6" ht="24.75" thickBot="1">
      <c r="A238" s="1840" t="s">
        <v>1413</v>
      </c>
      <c r="B238" s="1844" t="s">
        <v>2166</v>
      </c>
      <c r="C238" s="1854"/>
      <c r="D238" s="1854"/>
      <c r="E238" s="1854"/>
      <c r="F238" s="1846">
        <v>0.05</v>
      </c>
    </row>
    <row r="239" spans="1:6" ht="24.75" thickBot="1">
      <c r="A239" s="1840" t="s">
        <v>1413</v>
      </c>
      <c r="B239" s="1844" t="s">
        <v>2167</v>
      </c>
      <c r="C239" s="1854"/>
      <c r="D239" s="1854"/>
      <c r="E239" s="1854"/>
      <c r="F239" s="1846">
        <v>0.05</v>
      </c>
    </row>
    <row r="240" spans="1:6" ht="24.75" thickBot="1">
      <c r="A240" s="1840" t="s">
        <v>1413</v>
      </c>
      <c r="B240" s="1844" t="s">
        <v>2168</v>
      </c>
      <c r="C240" s="1854"/>
      <c r="D240" s="1854"/>
      <c r="E240" s="1854"/>
      <c r="F240" s="1846">
        <v>0.05</v>
      </c>
    </row>
    <row r="241" spans="1:6" ht="24.75" thickBot="1">
      <c r="A241" s="1840" t="s">
        <v>1413</v>
      </c>
      <c r="B241" s="1844" t="s">
        <v>2169</v>
      </c>
      <c r="C241" s="1854"/>
      <c r="D241" s="1854"/>
      <c r="E241" s="1854"/>
      <c r="F241" s="1846">
        <v>0.05</v>
      </c>
    </row>
    <row r="242" spans="1:6" ht="24.75" thickBot="1">
      <c r="A242" s="1840" t="s">
        <v>1413</v>
      </c>
      <c r="B242" s="1844" t="s">
        <v>2170</v>
      </c>
      <c r="C242" s="1854"/>
      <c r="D242" s="1854"/>
      <c r="E242" s="1854"/>
      <c r="F242" s="1846">
        <v>0.05</v>
      </c>
    </row>
    <row r="243" spans="1:6" ht="24.75" thickBot="1">
      <c r="A243" s="1840" t="s">
        <v>1413</v>
      </c>
      <c r="B243" s="1844" t="s">
        <v>2171</v>
      </c>
      <c r="C243" s="1854"/>
      <c r="D243" s="1854"/>
      <c r="E243" s="1854"/>
      <c r="F243" s="1846">
        <v>0.05</v>
      </c>
    </row>
    <row r="244" spans="1:6" ht="24.75" thickBot="1">
      <c r="A244" s="1848" t="s">
        <v>1413</v>
      </c>
      <c r="B244" s="1855" t="s">
        <v>2172</v>
      </c>
      <c r="C244" s="1851"/>
      <c r="D244" s="1851"/>
      <c r="E244" s="1851"/>
      <c r="F244" s="1856">
        <v>0.05</v>
      </c>
    </row>
    <row r="245" spans="1:6" ht="14.25" thickBot="1">
      <c r="A245" s="1840" t="s">
        <v>1415</v>
      </c>
      <c r="B245" s="1841" t="s">
        <v>2173</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2174</v>
      </c>
      <c r="C247" s="1845">
        <v>0.15</v>
      </c>
      <c r="D247" s="1845">
        <v>0.15</v>
      </c>
      <c r="E247" s="1845">
        <v>0.15</v>
      </c>
      <c r="F247" s="1846">
        <v>0.15</v>
      </c>
    </row>
    <row r="248" spans="1:6" ht="14.25" thickBot="1">
      <c r="A248" s="1840" t="s">
        <v>1415</v>
      </c>
      <c r="B248" s="1844" t="s">
        <v>2175</v>
      </c>
      <c r="C248" s="1845">
        <v>0.15</v>
      </c>
      <c r="D248" s="1845">
        <v>0.15</v>
      </c>
      <c r="E248" s="1845">
        <v>0.15</v>
      </c>
      <c r="F248" s="1846">
        <v>0.14000000000000001</v>
      </c>
    </row>
    <row r="249" spans="1:6" ht="14.25" thickBot="1">
      <c r="A249" s="1840" t="s">
        <v>1415</v>
      </c>
      <c r="B249" s="1844" t="s">
        <v>2176</v>
      </c>
      <c r="C249" s="1845">
        <v>0.15</v>
      </c>
      <c r="D249" s="1845">
        <v>0.14899999999999999</v>
      </c>
      <c r="E249" s="1845">
        <v>0.15</v>
      </c>
      <c r="F249" s="1846">
        <v>0.1</v>
      </c>
    </row>
    <row r="250" spans="1:6" ht="14.25" thickBot="1">
      <c r="A250" s="1840" t="s">
        <v>1415</v>
      </c>
      <c r="B250" s="1844" t="s">
        <v>2177</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2178</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2179</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2180</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2181</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2182</v>
      </c>
      <c r="C273" s="1845">
        <v>0.14199999999999999</v>
      </c>
      <c r="D273" s="1845">
        <v>0.14299999999999999</v>
      </c>
      <c r="E273" s="1845">
        <v>0.15</v>
      </c>
      <c r="F273" s="1846">
        <v>0.1</v>
      </c>
    </row>
    <row r="274" spans="1:6" ht="14.25" thickBot="1">
      <c r="A274" s="1840" t="s">
        <v>1415</v>
      </c>
      <c r="B274" s="1844" t="s">
        <v>2183</v>
      </c>
      <c r="C274" s="1845">
        <v>0.14799999999999999</v>
      </c>
      <c r="D274" s="1845">
        <v>0.14799999999999999</v>
      </c>
      <c r="E274" s="1845">
        <v>0.15</v>
      </c>
      <c r="F274" s="1846">
        <v>6.7000000000000004E-2</v>
      </c>
    </row>
    <row r="275" spans="1:6" ht="14.25" thickBot="1">
      <c r="A275" s="1840" t="s">
        <v>1415</v>
      </c>
      <c r="B275" s="1844" t="s">
        <v>2184</v>
      </c>
      <c r="C275" s="1845">
        <v>0.15</v>
      </c>
      <c r="D275" s="1845">
        <v>0.15</v>
      </c>
      <c r="E275" s="1845">
        <v>0.15</v>
      </c>
      <c r="F275" s="1846">
        <v>0.15</v>
      </c>
    </row>
    <row r="276" spans="1:6" ht="14.25" thickBot="1">
      <c r="A276" s="1840" t="s">
        <v>1415</v>
      </c>
      <c r="B276" s="1844" t="s">
        <v>2185</v>
      </c>
      <c r="C276" s="1845">
        <v>0.14499999999999999</v>
      </c>
      <c r="D276" s="1845">
        <v>0.14299999999999999</v>
      </c>
      <c r="E276" s="1845">
        <v>0.15</v>
      </c>
      <c r="F276" s="1846">
        <v>5.8999999999999997E-2</v>
      </c>
    </row>
    <row r="277" spans="1:6" ht="14.25" thickBot="1">
      <c r="A277" s="1840" t="s">
        <v>1415</v>
      </c>
      <c r="B277" s="1844" t="s">
        <v>2186</v>
      </c>
      <c r="C277" s="1845">
        <v>0.15</v>
      </c>
      <c r="D277" s="1845">
        <v>0.15</v>
      </c>
      <c r="E277" s="1845">
        <v>0.15</v>
      </c>
      <c r="F277" s="1846">
        <v>0.121</v>
      </c>
    </row>
    <row r="278" spans="1:6" ht="14.25" thickBot="1">
      <c r="A278" s="1840" t="s">
        <v>1415</v>
      </c>
      <c r="B278" s="1844" t="s">
        <v>2187</v>
      </c>
      <c r="C278" s="1845">
        <v>0.15</v>
      </c>
      <c r="D278" s="1845">
        <v>0.15</v>
      </c>
      <c r="E278" s="1845">
        <v>0.15</v>
      </c>
      <c r="F278" s="1846">
        <v>0.13800000000000001</v>
      </c>
    </row>
    <row r="279" spans="1:6" ht="24.75" thickBot="1">
      <c r="A279" s="1840" t="s">
        <v>1415</v>
      </c>
      <c r="B279" s="1844" t="s">
        <v>2188</v>
      </c>
      <c r="C279" s="1854"/>
      <c r="D279" s="1854"/>
      <c r="E279" s="1854"/>
      <c r="F279" s="1846">
        <v>0.05</v>
      </c>
    </row>
    <row r="280" spans="1:6" ht="24.75" thickBot="1">
      <c r="A280" s="1840" t="s">
        <v>1415</v>
      </c>
      <c r="B280" s="1844" t="s">
        <v>2189</v>
      </c>
      <c r="C280" s="1854"/>
      <c r="D280" s="1854"/>
      <c r="E280" s="1854"/>
      <c r="F280" s="1846">
        <v>0.05</v>
      </c>
    </row>
    <row r="281" spans="1:6" ht="24.75" thickBot="1">
      <c r="A281" s="1840" t="s">
        <v>1415</v>
      </c>
      <c r="B281" s="1844" t="s">
        <v>2190</v>
      </c>
      <c r="C281" s="1854"/>
      <c r="D281" s="1854"/>
      <c r="E281" s="1854"/>
      <c r="F281" s="1846">
        <v>0.05</v>
      </c>
    </row>
    <row r="282" spans="1:6" ht="24.75" thickBot="1">
      <c r="A282" s="1840" t="s">
        <v>1415</v>
      </c>
      <c r="B282" s="1844" t="s">
        <v>2191</v>
      </c>
      <c r="C282" s="1854"/>
      <c r="D282" s="1854"/>
      <c r="E282" s="1854"/>
      <c r="F282" s="1846">
        <v>0.05</v>
      </c>
    </row>
    <row r="283" spans="1:6" ht="24.75" thickBot="1">
      <c r="A283" s="1840" t="s">
        <v>1415</v>
      </c>
      <c r="B283" s="1844" t="s">
        <v>2192</v>
      </c>
      <c r="C283" s="1854"/>
      <c r="D283" s="1854"/>
      <c r="E283" s="1854"/>
      <c r="F283" s="1846">
        <v>0.05</v>
      </c>
    </row>
    <row r="284" spans="1:6" ht="24.75" thickBot="1">
      <c r="A284" s="1840" t="s">
        <v>1415</v>
      </c>
      <c r="B284" s="1844" t="s">
        <v>2193</v>
      </c>
      <c r="C284" s="1854"/>
      <c r="D284" s="1854"/>
      <c r="E284" s="1854"/>
      <c r="F284" s="1846">
        <v>0.05</v>
      </c>
    </row>
    <row r="285" spans="1:6" ht="24.75" thickBot="1">
      <c r="A285" s="1840" t="s">
        <v>1415</v>
      </c>
      <c r="B285" s="1844" t="s">
        <v>2194</v>
      </c>
      <c r="C285" s="1854"/>
      <c r="D285" s="1854"/>
      <c r="E285" s="1854"/>
      <c r="F285" s="1846">
        <v>0.05</v>
      </c>
    </row>
    <row r="286" spans="1:6" ht="24.75" thickBot="1">
      <c r="A286" s="1840" t="s">
        <v>1415</v>
      </c>
      <c r="B286" s="1844" t="s">
        <v>2195</v>
      </c>
      <c r="C286" s="1854"/>
      <c r="D286" s="1854"/>
      <c r="E286" s="1854"/>
      <c r="F286" s="1846">
        <v>0.05</v>
      </c>
    </row>
    <row r="287" spans="1:6" ht="24.75" thickBot="1">
      <c r="A287" s="1840" t="s">
        <v>1415</v>
      </c>
      <c r="B287" s="1844" t="s">
        <v>2196</v>
      </c>
      <c r="C287" s="1854"/>
      <c r="D287" s="1854"/>
      <c r="E287" s="1854"/>
      <c r="F287" s="1846">
        <v>0.05</v>
      </c>
    </row>
    <row r="288" spans="1:6" ht="24.75" thickBot="1">
      <c r="A288" s="1840" t="s">
        <v>1415</v>
      </c>
      <c r="B288" s="1844" t="s">
        <v>2197</v>
      </c>
      <c r="C288" s="1854"/>
      <c r="D288" s="1854"/>
      <c r="E288" s="1854"/>
      <c r="F288" s="1846">
        <v>0.05</v>
      </c>
    </row>
    <row r="289" spans="1:6" ht="24.75" thickBot="1">
      <c r="A289" s="1848" t="s">
        <v>1415</v>
      </c>
      <c r="B289" s="1855" t="s">
        <v>2198</v>
      </c>
      <c r="C289" s="1851"/>
      <c r="D289" s="1851"/>
      <c r="E289" s="1851"/>
      <c r="F289" s="1856">
        <v>0.05</v>
      </c>
    </row>
    <row r="290" spans="1:6" ht="14.25" thickBot="1">
      <c r="A290" s="1840" t="s">
        <v>1419</v>
      </c>
      <c r="B290" s="1841" t="s">
        <v>2199</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2200</v>
      </c>
      <c r="C292" s="1845">
        <v>0.15</v>
      </c>
      <c r="D292" s="1845">
        <v>0.15</v>
      </c>
      <c r="E292" s="1845">
        <v>0.15</v>
      </c>
      <c r="F292" s="1846">
        <v>0.14699999999999999</v>
      </c>
    </row>
    <row r="293" spans="1:6" ht="14.25" thickBot="1">
      <c r="A293" s="1840" t="s">
        <v>1419</v>
      </c>
      <c r="B293" s="1844" t="s">
        <v>2201</v>
      </c>
      <c r="C293" s="1854"/>
      <c r="D293" s="1854"/>
      <c r="E293" s="1854"/>
      <c r="F293" s="1846">
        <v>0.1</v>
      </c>
    </row>
    <row r="294" spans="1:6" ht="14.25" thickBot="1">
      <c r="A294" s="1840" t="s">
        <v>1419</v>
      </c>
      <c r="B294" s="1844" t="s">
        <v>2202</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2203</v>
      </c>
      <c r="C296" s="1845">
        <v>0.15</v>
      </c>
      <c r="D296" s="1845">
        <v>0.15</v>
      </c>
      <c r="E296" s="1845">
        <v>0.15</v>
      </c>
      <c r="F296" s="1846">
        <v>0.15</v>
      </c>
    </row>
    <row r="297" spans="1:6" ht="14.25" thickBot="1">
      <c r="A297" s="1840" t="s">
        <v>1419</v>
      </c>
      <c r="B297" s="1844" t="s">
        <v>2204</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2205</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2206</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2207</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2208</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2209</v>
      </c>
      <c r="C310" s="1845">
        <v>0.15</v>
      </c>
      <c r="D310" s="1845">
        <v>0.15</v>
      </c>
      <c r="E310" s="1845">
        <v>0.15</v>
      </c>
      <c r="F310" s="1846">
        <v>0.13700000000000001</v>
      </c>
    </row>
    <row r="311" spans="1:6" ht="14.25" thickBot="1">
      <c r="A311" s="1840" t="s">
        <v>1419</v>
      </c>
      <c r="B311" s="1844" t="s">
        <v>2210</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2211</v>
      </c>
      <c r="C313" s="1845">
        <v>0.15</v>
      </c>
      <c r="D313" s="1845">
        <v>0.15</v>
      </c>
      <c r="E313" s="1845">
        <v>0.15</v>
      </c>
      <c r="F313" s="1846">
        <v>0.15</v>
      </c>
    </row>
    <row r="314" spans="1:6" ht="24.75" thickBot="1">
      <c r="A314" s="1840" t="s">
        <v>1419</v>
      </c>
      <c r="B314" s="1844" t="s">
        <v>2212</v>
      </c>
      <c r="C314" s="1854"/>
      <c r="D314" s="1854"/>
      <c r="E314" s="1854"/>
      <c r="F314" s="1846">
        <v>0.05</v>
      </c>
    </row>
    <row r="315" spans="1:6" ht="24.75" thickBot="1">
      <c r="A315" s="1840" t="s">
        <v>1419</v>
      </c>
      <c r="B315" s="1844" t="s">
        <v>2213</v>
      </c>
      <c r="C315" s="1854"/>
      <c r="D315" s="1854"/>
      <c r="E315" s="1854"/>
      <c r="F315" s="1846">
        <v>0.05</v>
      </c>
    </row>
    <row r="316" spans="1:6" ht="24.75" thickBot="1">
      <c r="A316" s="1848" t="s">
        <v>1419</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1107</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1176</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1196</v>
      </c>
      <c r="C328" s="1845">
        <v>0.15</v>
      </c>
      <c r="D328" s="1845">
        <v>0.15</v>
      </c>
      <c r="E328" s="1845">
        <v>0.15</v>
      </c>
      <c r="F328" s="1846">
        <v>0.14099999999999999</v>
      </c>
    </row>
    <row r="329" spans="1:6" ht="14.25" thickBot="1">
      <c r="A329" s="1840" t="s">
        <v>2215</v>
      </c>
      <c r="B329" s="1844" t="s">
        <v>1206</v>
      </c>
      <c r="C329" s="1845">
        <v>0.15</v>
      </c>
      <c r="D329" s="1845">
        <v>0.15</v>
      </c>
      <c r="E329" s="1845">
        <v>0.15</v>
      </c>
      <c r="F329" s="1846">
        <v>0.15</v>
      </c>
    </row>
    <row r="330" spans="1:6" ht="14.25" thickBot="1">
      <c r="A330" s="1840" t="s">
        <v>2215</v>
      </c>
      <c r="B330" s="1844" t="s">
        <v>1216</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1236</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1256</v>
      </c>
      <c r="C334" s="1845">
        <v>0.15</v>
      </c>
      <c r="D334" s="1845">
        <v>0.15</v>
      </c>
      <c r="E334" s="1845">
        <v>0.15</v>
      </c>
      <c r="F334" s="1846">
        <v>0.15</v>
      </c>
    </row>
    <row r="335" spans="1:6" ht="14.25" thickBot="1">
      <c r="A335" s="1840" t="s">
        <v>2215</v>
      </c>
      <c r="B335" s="1844" t="s">
        <v>1266</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1284</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47" t="s">
        <v>2575</v>
      </c>
      <c r="C1" s="3447"/>
      <c r="D1" s="3447"/>
      <c r="E1" s="3447"/>
      <c r="F1" s="3447"/>
      <c r="G1" s="3446" t="s">
        <v>2576</v>
      </c>
      <c r="H1" s="3446"/>
      <c r="I1" s="3446"/>
      <c r="J1" s="3446"/>
      <c r="K1" s="3446"/>
      <c r="L1" s="3446"/>
      <c r="N1" s="3446" t="s">
        <v>2577</v>
      </c>
      <c r="O1" s="3446"/>
      <c r="P1" s="3446"/>
      <c r="Q1" s="3446"/>
      <c r="R1" s="2617"/>
      <c r="S1" s="3446" t="s">
        <v>2578</v>
      </c>
      <c r="T1" s="3446"/>
      <c r="U1" s="3446"/>
      <c r="V1" s="3446"/>
      <c r="X1" s="3445" t="s">
        <v>2638</v>
      </c>
      <c r="Y1" s="3446"/>
      <c r="Z1" s="3446"/>
      <c r="AA1" s="3446"/>
      <c r="AB1" s="3446"/>
      <c r="AD1" s="3445" t="s">
        <v>2642</v>
      </c>
      <c r="AE1" s="3446"/>
      <c r="AF1" s="3446"/>
      <c r="AG1" s="3446"/>
      <c r="AH1" s="3446"/>
    </row>
    <row r="2" spans="1:34" s="2718" customFormat="1" ht="14.25" thickBot="1">
      <c r="B2" s="2726" t="s">
        <v>2579</v>
      </c>
      <c r="C2" s="2726" t="s">
        <v>2640</v>
      </c>
      <c r="D2" s="2719" t="s">
        <v>1644</v>
      </c>
      <c r="E2" s="2719" t="s">
        <v>1949</v>
      </c>
      <c r="F2" s="2726" t="s">
        <v>2641</v>
      </c>
      <c r="G2" s="2722"/>
      <c r="H2" s="2721"/>
      <c r="I2" s="2726" t="s">
        <v>2947</v>
      </c>
      <c r="J2" s="2719" t="s">
        <v>2949</v>
      </c>
      <c r="K2" s="2719" t="s">
        <v>2950</v>
      </c>
      <c r="L2" s="2726" t="s">
        <v>2951</v>
      </c>
      <c r="N2" s="2726" t="s">
        <v>2579</v>
      </c>
      <c r="O2" s="2719" t="s">
        <v>2948</v>
      </c>
      <c r="P2" s="2719" t="s">
        <v>1949</v>
      </c>
      <c r="Q2" s="2726" t="s">
        <v>2641</v>
      </c>
      <c r="R2" s="2720"/>
      <c r="S2" s="2726" t="s">
        <v>2579</v>
      </c>
      <c r="T2" s="2719" t="s">
        <v>2948</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81" customFormat="1" ht="14.25">
      <c r="A3" s="3093" t="s">
        <v>2960</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2983</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2961</v>
      </c>
      <c r="X5" s="3068">
        <f>ROUND(IF(项目基本情况!B7="出让",SUMPRODUCT(PRODUCT(1+N5:N$26)),SUMPRODUCT(PRODUCT(1+N5:N$25))),4)</f>
        <v>1.5189999999999999</v>
      </c>
      <c r="Y5" s="3068">
        <f>ROUND(IF(项目基本情况!B7="出让",SUMPRODUCT(PRODUCT(1+O5:O$26)),SUMPRODUCT(PRODUCT(1+O5:O$25))),4)</f>
        <v>1.3423</v>
      </c>
      <c r="Z5" s="3068">
        <f t="shared" ref="Z5" si="11">Y5</f>
        <v>1.3423</v>
      </c>
      <c r="AA5" s="3068">
        <f>ROUND(IF(项目基本情况!B7="出让",SUMPRODUCT(PRODUCT(1+P5:P$26)),SUMPRODUCT(PRODUCT(1+P5:P$25))),4)</f>
        <v>1.5782</v>
      </c>
      <c r="AB5" s="3068">
        <f>ROUND(IF(项目基本情况!B7="出让",SUMPRODUCT(PRODUCT(1+Q5:Q$26)),SUMPRODUCT(PRODUCT(1+Q5:Q$25))),4)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2984</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2980</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49">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2970</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49"/>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2971</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49"/>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2967</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55"/>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2958</v>
      </c>
      <c r="B11" s="3095">
        <v>439</v>
      </c>
      <c r="C11" s="3095">
        <v>327</v>
      </c>
      <c r="D11" s="3095">
        <f t="shared" si="54"/>
        <v>327</v>
      </c>
      <c r="E11" s="3095">
        <v>627</v>
      </c>
      <c r="F11" s="3096">
        <v>283</v>
      </c>
      <c r="G11" s="3454">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2962</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49"/>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2580</v>
      </c>
      <c r="B13" s="2631">
        <f t="shared" si="66"/>
        <v>419.31181600000002</v>
      </c>
      <c r="C13" s="2631">
        <f t="shared" si="66"/>
        <v>313.95436800000004</v>
      </c>
      <c r="D13" s="2631">
        <f t="shared" si="54"/>
        <v>313.95436800000004</v>
      </c>
      <c r="E13" s="2631">
        <f t="shared" si="67"/>
        <v>596.63028431999999</v>
      </c>
      <c r="F13" s="2631">
        <f t="shared" si="67"/>
        <v>274.74220703999998</v>
      </c>
      <c r="G13" s="3449"/>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2581</v>
      </c>
      <c r="B14" s="2631">
        <f t="shared" si="66"/>
        <v>405.524</v>
      </c>
      <c r="C14" s="2631">
        <f t="shared" si="66"/>
        <v>307.79840000000002</v>
      </c>
      <c r="D14" s="2631">
        <f t="shared" si="54"/>
        <v>307.79840000000002</v>
      </c>
      <c r="E14" s="2631">
        <f t="shared" si="67"/>
        <v>574.67759999999998</v>
      </c>
      <c r="F14" s="2631">
        <f t="shared" si="67"/>
        <v>270.20280000000002</v>
      </c>
      <c r="G14" s="3455"/>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454">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49"/>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449"/>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450"/>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448">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49"/>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449"/>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450"/>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448">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49"/>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449"/>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450"/>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2639</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2582</v>
      </c>
      <c r="B27" s="2623">
        <v>299</v>
      </c>
      <c r="C27" s="2623">
        <v>252</v>
      </c>
      <c r="D27" s="2623">
        <f t="shared" si="76"/>
        <v>252</v>
      </c>
      <c r="E27" s="2623">
        <v>409</v>
      </c>
      <c r="F27" s="2624">
        <v>227</v>
      </c>
      <c r="G27" s="3451">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2583</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52"/>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2584</v>
      </c>
      <c r="B29" s="2631">
        <f t="shared" si="85"/>
        <v>288.2649053828776</v>
      </c>
      <c r="C29" s="2631">
        <f t="shared" si="85"/>
        <v>243.64564425013293</v>
      </c>
      <c r="D29" s="2631">
        <f t="shared" si="76"/>
        <v>243.64564425013293</v>
      </c>
      <c r="E29" s="2631">
        <f t="shared" si="86"/>
        <v>393.31080825986544</v>
      </c>
      <c r="F29" s="2631">
        <f t="shared" si="86"/>
        <v>223.07903790551154</v>
      </c>
      <c r="G29" s="3452"/>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2585</v>
      </c>
      <c r="B30" s="2631">
        <f t="shared" si="85"/>
        <v>282.50186729015837</v>
      </c>
      <c r="C30" s="2631">
        <f t="shared" si="85"/>
        <v>238.09796174155468</v>
      </c>
      <c r="D30" s="2631">
        <f t="shared" si="76"/>
        <v>238.09796174155468</v>
      </c>
      <c r="E30" s="2631">
        <f t="shared" si="86"/>
        <v>385.33438646014054</v>
      </c>
      <c r="F30" s="2631">
        <f t="shared" si="86"/>
        <v>221.55034055567739</v>
      </c>
      <c r="G30" s="3453"/>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2586</v>
      </c>
      <c r="B31" s="2661">
        <v>278</v>
      </c>
      <c r="C31" s="2661">
        <v>234</v>
      </c>
      <c r="D31" s="2661">
        <f t="shared" si="76"/>
        <v>234</v>
      </c>
      <c r="E31" s="2661">
        <v>379</v>
      </c>
      <c r="F31" s="2662">
        <v>220</v>
      </c>
      <c r="G31" s="3448">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2587</v>
      </c>
      <c r="B32" s="2631">
        <f>B31/(1+N31)</f>
        <v>275.49301357645425</v>
      </c>
      <c r="C32" s="2631">
        <f>C31/(1+O31)</f>
        <v>232.41954707985698</v>
      </c>
      <c r="D32" s="2631">
        <f t="shared" si="76"/>
        <v>232.41954707985698</v>
      </c>
      <c r="E32" s="2631">
        <f t="shared" ref="E32:F34" si="87">E31/(1+P31)</f>
        <v>375.32184591008121</v>
      </c>
      <c r="F32" s="2631">
        <f t="shared" si="87"/>
        <v>218.03766105054513</v>
      </c>
      <c r="G32" s="3449"/>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2588</v>
      </c>
      <c r="B33" s="2631">
        <f>B32/(1+N32)</f>
        <v>275.24529281292263</v>
      </c>
      <c r="C33" s="2631">
        <f>C32/(1+O32)</f>
        <v>231.74747938962707</v>
      </c>
      <c r="D33" s="2631">
        <f t="shared" si="76"/>
        <v>231.74747938962707</v>
      </c>
      <c r="E33" s="2631">
        <f t="shared" si="87"/>
        <v>375.35938184826603</v>
      </c>
      <c r="F33" s="2631">
        <f t="shared" si="87"/>
        <v>216.78033510692495</v>
      </c>
      <c r="G33" s="3449"/>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2589</v>
      </c>
      <c r="B34" s="2631">
        <f>B33/(1+N33)</f>
        <v>275.19025476197027</v>
      </c>
      <c r="C34" s="2663">
        <v>232</v>
      </c>
      <c r="D34" s="2663">
        <f t="shared" si="76"/>
        <v>232</v>
      </c>
      <c r="E34" s="2631">
        <f t="shared" si="87"/>
        <v>375.65990977608692</v>
      </c>
      <c r="F34" s="2631">
        <f t="shared" si="87"/>
        <v>214.12518283971252</v>
      </c>
      <c r="G34" s="3450"/>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2590</v>
      </c>
      <c r="B35" s="2623">
        <v>275</v>
      </c>
      <c r="C35" s="2623">
        <v>232</v>
      </c>
      <c r="D35" s="2623">
        <f t="shared" si="76"/>
        <v>232</v>
      </c>
      <c r="E35" s="2623">
        <v>376</v>
      </c>
      <c r="F35" s="2624">
        <v>213</v>
      </c>
      <c r="G35" s="3448">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2591</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49">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2592</v>
      </c>
      <c r="B37" s="2631">
        <f t="shared" si="88"/>
        <v>275.19335084830601</v>
      </c>
      <c r="C37" s="2631">
        <f t="shared" si="88"/>
        <v>230.18088050139744</v>
      </c>
      <c r="D37" s="2631">
        <f t="shared" si="76"/>
        <v>230.18088050139744</v>
      </c>
      <c r="E37" s="2631">
        <f t="shared" si="89"/>
        <v>377.58482925212331</v>
      </c>
      <c r="F37" s="2631">
        <f t="shared" si="89"/>
        <v>210.90687997847917</v>
      </c>
      <c r="G37" s="3449">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2593</v>
      </c>
      <c r="B38" s="2631">
        <f t="shared" si="88"/>
        <v>276.29854502841971</v>
      </c>
      <c r="C38" s="2631">
        <f t="shared" si="88"/>
        <v>229.79023709833027</v>
      </c>
      <c r="D38" s="2631">
        <f t="shared" si="76"/>
        <v>229.79023709833027</v>
      </c>
      <c r="E38" s="2631">
        <f t="shared" si="89"/>
        <v>379.78759731655936</v>
      </c>
      <c r="F38" s="2631">
        <f t="shared" si="89"/>
        <v>211.32953905659235</v>
      </c>
      <c r="G38" s="3450">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2594</v>
      </c>
      <c r="B39" s="2623">
        <v>269</v>
      </c>
      <c r="C39" s="2623">
        <v>221</v>
      </c>
      <c r="D39" s="2623">
        <f t="shared" si="76"/>
        <v>221</v>
      </c>
      <c r="E39" s="2623">
        <v>373</v>
      </c>
      <c r="F39" s="2624">
        <v>196</v>
      </c>
      <c r="G39" s="3448">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2595</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49">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2596</v>
      </c>
      <c r="B41" s="2631">
        <f t="shared" si="90"/>
        <v>242.95398227588385</v>
      </c>
      <c r="C41" s="2631">
        <f t="shared" si="90"/>
        <v>199.59137053614126</v>
      </c>
      <c r="D41" s="2631">
        <f t="shared" si="76"/>
        <v>199.59137053614126</v>
      </c>
      <c r="E41" s="2631">
        <f t="shared" si="91"/>
        <v>335.92189522342125</v>
      </c>
      <c r="F41" s="2631">
        <f t="shared" si="91"/>
        <v>183.10139991109489</v>
      </c>
      <c r="G41" s="3449">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2597</v>
      </c>
      <c r="B42" s="2631">
        <f t="shared" si="90"/>
        <v>232.06990378821649</v>
      </c>
      <c r="C42" s="2631">
        <f t="shared" si="90"/>
        <v>192.74878854286936</v>
      </c>
      <c r="D42" s="2631">
        <f t="shared" si="76"/>
        <v>192.74878854286936</v>
      </c>
      <c r="E42" s="2631">
        <f t="shared" si="91"/>
        <v>319.71247284992984</v>
      </c>
      <c r="F42" s="2631">
        <f t="shared" si="91"/>
        <v>175.67053622862409</v>
      </c>
      <c r="G42" s="3450">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2598</v>
      </c>
      <c r="B43" s="2623">
        <v>220</v>
      </c>
      <c r="C43" s="2623">
        <v>187</v>
      </c>
      <c r="D43" s="2623">
        <f t="shared" si="76"/>
        <v>187</v>
      </c>
      <c r="E43" s="2623">
        <v>301</v>
      </c>
      <c r="F43" s="2624">
        <v>168</v>
      </c>
      <c r="G43" s="3448">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2599</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49">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2600</v>
      </c>
      <c r="B45" s="2631">
        <f t="shared" si="92"/>
        <v>210.630522469011</v>
      </c>
      <c r="C45" s="2631">
        <f t="shared" si="92"/>
        <v>181.69567812247232</v>
      </c>
      <c r="D45" s="2631">
        <f t="shared" si="76"/>
        <v>181.69567812247232</v>
      </c>
      <c r="E45" s="2631">
        <f t="shared" si="93"/>
        <v>286.13517466736738</v>
      </c>
      <c r="F45" s="2631">
        <f t="shared" si="93"/>
        <v>165.47535084591149</v>
      </c>
      <c r="G45" s="3449">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2601</v>
      </c>
      <c r="B46" s="2631">
        <f t="shared" si="92"/>
        <v>208.83454537875372</v>
      </c>
      <c r="C46" s="2631">
        <f t="shared" si="92"/>
        <v>183.77230517090351</v>
      </c>
      <c r="D46" s="2631">
        <f t="shared" si="76"/>
        <v>183.77230517090351</v>
      </c>
      <c r="E46" s="2631">
        <f t="shared" si="93"/>
        <v>281.10342338870947</v>
      </c>
      <c r="F46" s="2631">
        <f t="shared" si="93"/>
        <v>168.97309388942256</v>
      </c>
      <c r="G46" s="3450">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2602</v>
      </c>
      <c r="B47" s="2661">
        <v>214</v>
      </c>
      <c r="C47" s="2661">
        <v>188</v>
      </c>
      <c r="D47" s="2661">
        <f t="shared" si="76"/>
        <v>188</v>
      </c>
      <c r="E47" s="2661">
        <v>289</v>
      </c>
      <c r="F47" s="2662">
        <v>166</v>
      </c>
      <c r="G47" s="3448">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2603</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49">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2604</v>
      </c>
      <c r="B49" s="2631">
        <f t="shared" si="94"/>
        <v>206.31694671589116</v>
      </c>
      <c r="C49" s="2631">
        <f t="shared" si="94"/>
        <v>183.61041121036101</v>
      </c>
      <c r="D49" s="2631">
        <f t="shared" si="76"/>
        <v>183.61041121036101</v>
      </c>
      <c r="E49" s="2631">
        <f t="shared" si="95"/>
        <v>276.66850301795557</v>
      </c>
      <c r="F49" s="2631">
        <f t="shared" si="95"/>
        <v>165.1360938278614</v>
      </c>
      <c r="G49" s="3449">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2605</v>
      </c>
      <c r="B50" s="2664">
        <f t="shared" si="94"/>
        <v>196.62341248059772</v>
      </c>
      <c r="C50" s="2664">
        <f t="shared" si="94"/>
        <v>170.99125648199012</v>
      </c>
      <c r="D50" s="2664">
        <f t="shared" si="76"/>
        <v>170.99125648199012</v>
      </c>
      <c r="E50" s="2664">
        <f t="shared" si="95"/>
        <v>266.07857570490052</v>
      </c>
      <c r="F50" s="2664">
        <f t="shared" si="95"/>
        <v>154.53499328828505</v>
      </c>
      <c r="G50" s="3450">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2606</v>
      </c>
      <c r="B51" s="2623">
        <v>188</v>
      </c>
      <c r="C51" s="2623">
        <v>165</v>
      </c>
      <c r="D51" s="2623">
        <f t="shared" si="76"/>
        <v>165</v>
      </c>
      <c r="E51" s="2623">
        <v>254</v>
      </c>
      <c r="F51" s="2624">
        <v>148</v>
      </c>
      <c r="G51" s="3448">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2607</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49">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2608</v>
      </c>
      <c r="B53" s="2631">
        <f t="shared" si="98"/>
        <v>168.82017748715555</v>
      </c>
      <c r="C53" s="2631">
        <f t="shared" si="98"/>
        <v>148.06267029972753</v>
      </c>
      <c r="D53" s="2631">
        <f t="shared" si="76"/>
        <v>148.06267029972753</v>
      </c>
      <c r="E53" s="2631">
        <f t="shared" si="99"/>
        <v>216.46288379323747</v>
      </c>
      <c r="F53" s="2631">
        <f t="shared" si="99"/>
        <v>134.23529411764704</v>
      </c>
      <c r="G53" s="3449">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2609</v>
      </c>
      <c r="B54" s="2631">
        <f t="shared" si="98"/>
        <v>163.84913591779542</v>
      </c>
      <c r="C54" s="2631">
        <f t="shared" si="98"/>
        <v>145.0283378746594</v>
      </c>
      <c r="D54" s="2631">
        <f t="shared" si="76"/>
        <v>145.0283378746594</v>
      </c>
      <c r="E54" s="2631">
        <f t="shared" si="99"/>
        <v>204.95180722891567</v>
      </c>
      <c r="F54" s="2631">
        <f t="shared" si="99"/>
        <v>125.95920303605313</v>
      </c>
      <c r="G54" s="3450">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2610</v>
      </c>
      <c r="B55" s="2645">
        <v>159</v>
      </c>
      <c r="C55" s="2645">
        <v>141</v>
      </c>
      <c r="D55" s="2645">
        <f t="shared" si="76"/>
        <v>141</v>
      </c>
      <c r="E55" s="2645">
        <v>195</v>
      </c>
      <c r="F55" s="2646">
        <v>122</v>
      </c>
      <c r="G55" s="3448">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2611</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49">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2612</v>
      </c>
      <c r="B57" s="2631">
        <f t="shared" si="102"/>
        <v>146.57412060301507</v>
      </c>
      <c r="C57" s="2631">
        <f t="shared" si="102"/>
        <v>136.46831955922866</v>
      </c>
      <c r="D57" s="2631">
        <f t="shared" si="76"/>
        <v>136.46831955922866</v>
      </c>
      <c r="E57" s="2631">
        <f t="shared" si="103"/>
        <v>166.73864894795128</v>
      </c>
      <c r="F57" s="2631">
        <f t="shared" si="103"/>
        <v>115.05882352941177</v>
      </c>
      <c r="G57" s="3449">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2613</v>
      </c>
      <c r="B58" s="2631">
        <f t="shared" si="102"/>
        <v>144.04145728643215</v>
      </c>
      <c r="C58" s="2631">
        <f t="shared" si="102"/>
        <v>136.12396694214877</v>
      </c>
      <c r="D58" s="2631">
        <f t="shared" si="76"/>
        <v>136.12396694214877</v>
      </c>
      <c r="E58" s="2631">
        <f t="shared" si="103"/>
        <v>158.32225913621264</v>
      </c>
      <c r="F58" s="2631">
        <f t="shared" si="103"/>
        <v>114.04278074866311</v>
      </c>
      <c r="G58" s="3450">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2614</v>
      </c>
      <c r="B59" s="2645">
        <v>138</v>
      </c>
      <c r="C59" s="2645">
        <v>131</v>
      </c>
      <c r="D59" s="2645">
        <f t="shared" si="76"/>
        <v>131</v>
      </c>
      <c r="E59" s="2645">
        <v>155</v>
      </c>
      <c r="F59" s="2646">
        <v>114</v>
      </c>
      <c r="G59" s="3448">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2615</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49">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2616</v>
      </c>
      <c r="B61" s="2631">
        <f t="shared" si="106"/>
        <v>124.29032258064517</v>
      </c>
      <c r="C61" s="2631">
        <f t="shared" si="106"/>
        <v>123.8968609865471</v>
      </c>
      <c r="D61" s="2631">
        <f t="shared" si="76"/>
        <v>123.8968609865471</v>
      </c>
      <c r="E61" s="2631">
        <f t="shared" si="107"/>
        <v>138.00507614213197</v>
      </c>
      <c r="F61" s="2631">
        <f t="shared" si="107"/>
        <v>107.96106557377048</v>
      </c>
      <c r="G61" s="3449">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2617</v>
      </c>
      <c r="B62" s="2631">
        <f t="shared" si="106"/>
        <v>122.57204301075269</v>
      </c>
      <c r="C62" s="2631">
        <f t="shared" si="106"/>
        <v>123.4932735426009</v>
      </c>
      <c r="D62" s="2631">
        <f t="shared" si="76"/>
        <v>123.4932735426009</v>
      </c>
      <c r="E62" s="2631">
        <f t="shared" si="107"/>
        <v>129.82233502538071</v>
      </c>
      <c r="F62" s="2631">
        <f t="shared" si="107"/>
        <v>107.39446721311475</v>
      </c>
      <c r="G62" s="3450">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2618</v>
      </c>
      <c r="B63" s="2661">
        <v>121</v>
      </c>
      <c r="C63" s="2661">
        <v>122</v>
      </c>
      <c r="D63" s="2661">
        <f t="shared" si="76"/>
        <v>122</v>
      </c>
      <c r="E63" s="2661">
        <v>124</v>
      </c>
      <c r="F63" s="2662">
        <v>107</v>
      </c>
      <c r="G63" s="3448">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2619</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49">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2620</v>
      </c>
      <c r="B65" s="2631">
        <f t="shared" si="110"/>
        <v>116.99099099099099</v>
      </c>
      <c r="C65" s="2631">
        <f t="shared" si="110"/>
        <v>118.84848484848486</v>
      </c>
      <c r="D65" s="2631">
        <f t="shared" si="76"/>
        <v>118.84848484848486</v>
      </c>
      <c r="E65" s="2631">
        <f t="shared" si="111"/>
        <v>117.60960960960961</v>
      </c>
      <c r="F65" s="2631">
        <f t="shared" si="111"/>
        <v>104</v>
      </c>
      <c r="G65" s="3449">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2621</v>
      </c>
      <c r="B66" s="2664">
        <f t="shared" si="110"/>
        <v>112.48648648648648</v>
      </c>
      <c r="C66" s="2664">
        <f t="shared" si="110"/>
        <v>115.21212121212122</v>
      </c>
      <c r="D66" s="2664">
        <f t="shared" si="76"/>
        <v>115.21212121212122</v>
      </c>
      <c r="E66" s="2664">
        <f t="shared" si="111"/>
        <v>110.4024024024024</v>
      </c>
      <c r="F66" s="2664">
        <f t="shared" si="111"/>
        <v>104</v>
      </c>
      <c r="G66" s="3450">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2622</v>
      </c>
      <c r="B67" s="2682">
        <v>111</v>
      </c>
      <c r="C67" s="2682">
        <v>114</v>
      </c>
      <c r="D67" s="2682">
        <f t="shared" si="76"/>
        <v>114</v>
      </c>
      <c r="E67" s="2682">
        <v>108</v>
      </c>
      <c r="F67" s="2683">
        <v>104</v>
      </c>
      <c r="G67" s="3448">
        <v>2003</v>
      </c>
      <c r="H67" s="2672">
        <v>4</v>
      </c>
      <c r="I67" s="2684"/>
      <c r="J67" s="2684"/>
      <c r="K67" s="2684"/>
      <c r="L67" s="2684"/>
      <c r="N67" s="2685"/>
      <c r="O67" s="2684"/>
      <c r="P67" s="2684"/>
      <c r="Q67" s="2684"/>
      <c r="S67" s="2685"/>
      <c r="T67" s="2684"/>
      <c r="U67" s="2684"/>
      <c r="V67" s="2684"/>
      <c r="X67" s="2676"/>
      <c r="Y67" s="2676"/>
      <c r="Z67" s="2676"/>
    </row>
    <row r="68" spans="1:26">
      <c r="A68" s="2618" t="s">
        <v>2623</v>
      </c>
      <c r="B68" s="2686">
        <f t="shared" ref="B68:C70" si="112">B69+(B$67-B$71)/4</f>
        <v>109.75</v>
      </c>
      <c r="C68" s="2686">
        <f t="shared" si="112"/>
        <v>112.25</v>
      </c>
      <c r="D68" s="2686">
        <f t="shared" si="76"/>
        <v>112.25</v>
      </c>
      <c r="E68" s="2686">
        <f t="shared" ref="E68:F70" si="113">E69+(E$67-E$71)/4</f>
        <v>107.25</v>
      </c>
      <c r="F68" s="2686">
        <f t="shared" si="113"/>
        <v>103.5</v>
      </c>
      <c r="G68" s="3449">
        <v>2003</v>
      </c>
      <c r="H68" s="2642">
        <v>3</v>
      </c>
      <c r="I68" s="2684"/>
      <c r="J68" s="2684"/>
      <c r="K68" s="2684"/>
      <c r="L68" s="2684"/>
      <c r="X68" s="2676"/>
      <c r="Y68" s="2676"/>
      <c r="Z68" s="2676"/>
    </row>
    <row r="69" spans="1:26">
      <c r="A69" s="2618" t="s">
        <v>2624</v>
      </c>
      <c r="B69" s="2686">
        <f t="shared" si="112"/>
        <v>108.5</v>
      </c>
      <c r="C69" s="2686">
        <f t="shared" si="112"/>
        <v>110.5</v>
      </c>
      <c r="D69" s="2686">
        <f t="shared" si="76"/>
        <v>110.5</v>
      </c>
      <c r="E69" s="2686">
        <f t="shared" si="113"/>
        <v>106.5</v>
      </c>
      <c r="F69" s="2686">
        <f t="shared" si="113"/>
        <v>103</v>
      </c>
      <c r="G69" s="3449">
        <v>2003</v>
      </c>
      <c r="H69" s="2622">
        <v>2</v>
      </c>
      <c r="I69" s="2684"/>
      <c r="J69" s="2684"/>
      <c r="K69" s="2684"/>
      <c r="L69" s="2684"/>
      <c r="X69" s="2676"/>
      <c r="Y69" s="2676"/>
      <c r="Z69" s="2676"/>
    </row>
    <row r="70" spans="1:26" ht="13.5" thickBot="1">
      <c r="A70" s="2618" t="s">
        <v>2625</v>
      </c>
      <c r="B70" s="2686">
        <f t="shared" si="112"/>
        <v>107.25</v>
      </c>
      <c r="C70" s="2686">
        <f t="shared" si="112"/>
        <v>108.75</v>
      </c>
      <c r="D70" s="2686">
        <f t="shared" si="76"/>
        <v>108.75</v>
      </c>
      <c r="E70" s="2686">
        <f t="shared" si="113"/>
        <v>105.75</v>
      </c>
      <c r="F70" s="2686">
        <f t="shared" si="113"/>
        <v>102.5</v>
      </c>
      <c r="G70" s="3450">
        <v>2003</v>
      </c>
      <c r="H70" s="2687">
        <v>1</v>
      </c>
      <c r="I70" s="2684"/>
      <c r="J70" s="2684"/>
      <c r="K70" s="2684"/>
      <c r="L70" s="2684"/>
      <c r="S70" s="2626"/>
      <c r="T70" s="2627"/>
      <c r="U70" s="2627"/>
      <c r="X70" s="2676"/>
      <c r="Y70" s="2676"/>
      <c r="Z70" s="2676"/>
    </row>
    <row r="71" spans="1:26" ht="13.5" thickBot="1">
      <c r="A71" s="2618" t="s">
        <v>2626</v>
      </c>
      <c r="B71" s="2688">
        <v>106</v>
      </c>
      <c r="C71" s="2688">
        <v>107</v>
      </c>
      <c r="D71" s="2688">
        <f t="shared" si="76"/>
        <v>107</v>
      </c>
      <c r="E71" s="2688">
        <v>105</v>
      </c>
      <c r="F71" s="2689">
        <v>102</v>
      </c>
      <c r="G71" s="3448">
        <v>2002</v>
      </c>
      <c r="H71" s="2637">
        <v>4</v>
      </c>
      <c r="I71" s="2684"/>
      <c r="J71" s="2684"/>
      <c r="K71" s="2684"/>
      <c r="L71" s="2684"/>
      <c r="N71" s="2685"/>
      <c r="O71" s="2684"/>
      <c r="P71" s="2684"/>
      <c r="Q71" s="2684"/>
      <c r="S71" s="2685"/>
      <c r="T71" s="2684"/>
      <c r="U71" s="2684"/>
      <c r="V71" s="2684"/>
      <c r="X71" s="2676"/>
      <c r="Y71" s="2676"/>
      <c r="Z71" s="2676"/>
    </row>
    <row r="72" spans="1:26">
      <c r="A72" s="2618" t="s">
        <v>2627</v>
      </c>
      <c r="B72" s="2686">
        <f t="shared" ref="B72:C74" si="114">B73+(B$71-B$75)/4</f>
        <v>105</v>
      </c>
      <c r="C72" s="2686">
        <f t="shared" si="114"/>
        <v>106</v>
      </c>
      <c r="D72" s="2686">
        <f t="shared" si="76"/>
        <v>106</v>
      </c>
      <c r="E72" s="2686">
        <f t="shared" ref="E72:F74" si="115">E73+(E$71-E$75)/4</f>
        <v>104.5</v>
      </c>
      <c r="F72" s="2686">
        <f t="shared" si="115"/>
        <v>101.5</v>
      </c>
      <c r="G72" s="3449">
        <v>2002</v>
      </c>
      <c r="H72" s="2642">
        <v>3</v>
      </c>
      <c r="I72" s="2684"/>
      <c r="J72" s="2684"/>
      <c r="K72" s="2684"/>
      <c r="L72" s="2684"/>
      <c r="X72" s="2676"/>
      <c r="Y72" s="2676"/>
      <c r="Z72" s="2676"/>
    </row>
    <row r="73" spans="1:26">
      <c r="A73" s="2618" t="s">
        <v>2628</v>
      </c>
      <c r="B73" s="2686">
        <f t="shared" si="114"/>
        <v>104</v>
      </c>
      <c r="C73" s="2686">
        <f t="shared" si="114"/>
        <v>105</v>
      </c>
      <c r="D73" s="2686">
        <f t="shared" si="76"/>
        <v>105</v>
      </c>
      <c r="E73" s="2686">
        <f t="shared" si="115"/>
        <v>104</v>
      </c>
      <c r="F73" s="2686">
        <f t="shared" si="115"/>
        <v>101</v>
      </c>
      <c r="G73" s="3449">
        <v>2002</v>
      </c>
      <c r="H73" s="2622">
        <v>2</v>
      </c>
      <c r="I73" s="2684"/>
      <c r="J73" s="2684"/>
      <c r="K73" s="2684"/>
      <c r="L73" s="2684"/>
      <c r="X73" s="2676"/>
      <c r="Y73" s="2676"/>
      <c r="Z73" s="2676"/>
    </row>
    <row r="74" spans="1:26" s="2653" customFormat="1" ht="13.5" thickBot="1">
      <c r="A74" s="2649" t="s">
        <v>2629</v>
      </c>
      <c r="B74" s="2690">
        <f t="shared" si="114"/>
        <v>103</v>
      </c>
      <c r="C74" s="2690">
        <f t="shared" si="114"/>
        <v>104</v>
      </c>
      <c r="D74" s="2690">
        <f t="shared" si="76"/>
        <v>104</v>
      </c>
      <c r="E74" s="2690">
        <f t="shared" si="115"/>
        <v>103.5</v>
      </c>
      <c r="F74" s="2690">
        <f t="shared" si="115"/>
        <v>100.5</v>
      </c>
      <c r="G74" s="3450">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2630</v>
      </c>
      <c r="G77" s="2700"/>
      <c r="N77" s="2700"/>
      <c r="S77" s="2700"/>
    </row>
    <row r="78" spans="1:26" s="2699" customFormat="1">
      <c r="A78" s="2699" t="s">
        <v>2631</v>
      </c>
      <c r="G78" s="2700"/>
      <c r="N78" s="2700"/>
      <c r="S78" s="2700"/>
    </row>
    <row r="79" spans="1:26" s="2699" customFormat="1">
      <c r="A79" s="2699" t="s">
        <v>2632</v>
      </c>
      <c r="G79" s="2700"/>
      <c r="I79" s="2701"/>
      <c r="J79" s="2701"/>
      <c r="K79" s="2701"/>
      <c r="L79" s="2701"/>
      <c r="N79" s="2702"/>
      <c r="O79" s="2701"/>
      <c r="P79" s="2701"/>
      <c r="Q79" s="2701"/>
      <c r="S79" s="2702"/>
      <c r="T79" s="2701"/>
      <c r="U79" s="2701"/>
      <c r="V79" s="2701"/>
    </row>
    <row r="80" spans="1:26" s="2699" customFormat="1">
      <c r="A80" s="2699" t="s">
        <v>2633</v>
      </c>
      <c r="G80" s="2700"/>
      <c r="N80" s="2700"/>
      <c r="S80" s="2700"/>
    </row>
    <row r="87" spans="7:22" ht="13.5" thickBot="1"/>
    <row r="88" spans="7:22">
      <c r="G88" s="2625"/>
      <c r="S88" s="2703" t="s">
        <v>2634</v>
      </c>
      <c r="T88" s="2704" t="s">
        <v>2635</v>
      </c>
      <c r="U88" s="2704" t="s">
        <v>2636</v>
      </c>
      <c r="V88" s="2704" t="s">
        <v>2637</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2940</v>
      </c>
      <c r="B1" s="3055"/>
      <c r="C1" s="3055"/>
      <c r="D1" s="3055"/>
      <c r="E1" s="3055"/>
      <c r="F1" s="3055"/>
    </row>
    <row r="2" spans="1:6" ht="14.25">
      <c r="A2" s="3056" t="s">
        <v>2935</v>
      </c>
      <c r="B2" s="3057">
        <f ca="1">SUMIF(B7:B14,"&lt;&gt;#ref!",B7:B14)</f>
        <v>0</v>
      </c>
      <c r="C2" s="3056" t="s">
        <v>2936</v>
      </c>
      <c r="D2" s="3055"/>
      <c r="E2" s="3055"/>
      <c r="F2" s="3055"/>
    </row>
    <row r="3" spans="1:6" ht="14.25">
      <c r="A3" s="3056" t="s">
        <v>2968</v>
      </c>
      <c r="B3" s="3057" t="e">
        <f ca="1">ROUND(B2*10000/E3,0)</f>
        <v>#DIV/0!</v>
      </c>
      <c r="C3" s="3056" t="s">
        <v>2077</v>
      </c>
      <c r="D3" s="3056" t="s">
        <v>2937</v>
      </c>
      <c r="E3" s="3057">
        <f ca="1">SUMIF(E7:E14,"&lt;&gt;#ref!",E7:E14)</f>
        <v>0</v>
      </c>
      <c r="F3" s="3055"/>
    </row>
    <row r="4" spans="1:6" ht="14.25">
      <c r="A4" s="3056" t="s">
        <v>2944</v>
      </c>
      <c r="B4" s="3057" t="e">
        <f ca="1">ROUND(B2*10000/E4,0)</f>
        <v>#DIV/0!</v>
      </c>
      <c r="C4" s="3056" t="s">
        <v>2077</v>
      </c>
      <c r="D4" s="3056" t="s">
        <v>2945</v>
      </c>
      <c r="E4" s="3057">
        <f ca="1">SUMIF(F7:F14,"&lt;&gt;#ref!",F7:F14)</f>
        <v>0</v>
      </c>
      <c r="F4" s="3055"/>
    </row>
    <row r="5" spans="1:6" ht="14.25">
      <c r="A5" s="3058"/>
      <c r="B5" s="1866"/>
      <c r="C5" s="1866"/>
      <c r="D5" s="1866"/>
      <c r="E5" s="1866"/>
      <c r="F5" s="3055"/>
    </row>
    <row r="6" spans="1:6" ht="28.5">
      <c r="A6" s="3059" t="s">
        <v>2941</v>
      </c>
      <c r="B6" s="3056" t="s">
        <v>2938</v>
      </c>
      <c r="C6" s="3057"/>
      <c r="D6" s="1866"/>
      <c r="E6" s="3056" t="s">
        <v>2939</v>
      </c>
      <c r="F6" s="3056" t="s">
        <v>2943</v>
      </c>
    </row>
    <row r="7" spans="1:6" ht="14.25">
      <c r="A7" s="260" t="s">
        <v>2942</v>
      </c>
      <c r="B7" s="3060">
        <f ca="1">SUMIF(INDIRECT("'"&amp;A7&amp;"'"&amp;"!A:A"),"总价",INDIRECT("'"&amp;A7&amp;"'"&amp;"!B:B"))</f>
        <v>0</v>
      </c>
      <c r="C7" s="3056" t="s">
        <v>2936</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2936</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2936</v>
      </c>
      <c r="D9" s="1866"/>
      <c r="E9" s="3061" t="e">
        <f t="shared" ca="1" si="1"/>
        <v>#REF!</v>
      </c>
      <c r="F9" s="3061" t="e">
        <f t="shared" ca="1" si="2"/>
        <v>#REF!</v>
      </c>
    </row>
    <row r="10" spans="1:6" ht="14.25">
      <c r="A10" s="260"/>
      <c r="B10" s="3060" t="e">
        <f t="shared" ca="1" si="0"/>
        <v>#REF!</v>
      </c>
      <c r="C10" s="3056" t="s">
        <v>2936</v>
      </c>
      <c r="D10" s="1866"/>
      <c r="E10" s="3061" t="e">
        <f t="shared" ca="1" si="1"/>
        <v>#REF!</v>
      </c>
      <c r="F10" s="3061" t="e">
        <f t="shared" ca="1" si="2"/>
        <v>#REF!</v>
      </c>
    </row>
    <row r="11" spans="1:6" ht="14.25">
      <c r="A11" s="260"/>
      <c r="B11" s="3060" t="e">
        <f t="shared" ca="1" si="0"/>
        <v>#REF!</v>
      </c>
      <c r="C11" s="3056" t="s">
        <v>2936</v>
      </c>
      <c r="D11" s="1866"/>
      <c r="E11" s="3061" t="e">
        <f t="shared" ca="1" si="1"/>
        <v>#REF!</v>
      </c>
      <c r="F11" s="3061" t="e">
        <f t="shared" ca="1" si="2"/>
        <v>#REF!</v>
      </c>
    </row>
    <row r="12" spans="1:6" ht="14.25">
      <c r="A12" s="260"/>
      <c r="B12" s="3060" t="e">
        <f t="shared" ca="1" si="0"/>
        <v>#REF!</v>
      </c>
      <c r="C12" s="3056" t="s">
        <v>2936</v>
      </c>
      <c r="D12" s="1866"/>
      <c r="E12" s="3061" t="e">
        <f t="shared" ca="1" si="1"/>
        <v>#REF!</v>
      </c>
      <c r="F12" s="3061" t="e">
        <f t="shared" ca="1" si="2"/>
        <v>#REF!</v>
      </c>
    </row>
    <row r="13" spans="1:6" ht="14.25">
      <c r="A13" s="260"/>
      <c r="B13" s="3060" t="e">
        <f t="shared" ca="1" si="0"/>
        <v>#REF!</v>
      </c>
      <c r="C13" s="3056" t="s">
        <v>2936</v>
      </c>
      <c r="D13" s="1866"/>
      <c r="E13" s="3061" t="e">
        <f t="shared" ca="1" si="1"/>
        <v>#REF!</v>
      </c>
      <c r="F13" s="3061" t="e">
        <f t="shared" ca="1" si="2"/>
        <v>#REF!</v>
      </c>
    </row>
    <row r="14" spans="1:6" ht="14.25">
      <c r="A14" s="3054"/>
      <c r="B14" s="3060" t="e">
        <f t="shared" ca="1" si="0"/>
        <v>#REF!</v>
      </c>
      <c r="C14" s="3056" t="s">
        <v>2936</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-2</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1686</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59" t="s">
        <v>2460</v>
      </c>
      <c r="E7" s="2453"/>
      <c r="F7" s="2454"/>
      <c r="G7" s="1578"/>
      <c r="H7" s="781">
        <v>1</v>
      </c>
      <c r="I7" s="782" t="s">
        <v>2457</v>
      </c>
      <c r="J7" s="53">
        <f ca="1">J8+J12+J14</f>
        <v>0</v>
      </c>
      <c r="K7" s="2459" t="s">
        <v>2460</v>
      </c>
      <c r="L7" s="2453"/>
      <c r="M7" s="2454"/>
    </row>
    <row r="8" spans="1:25" ht="18" customHeight="1">
      <c r="A8" s="1815" t="s">
        <v>1824</v>
      </c>
      <c r="B8" s="3457" t="s">
        <v>2462</v>
      </c>
      <c r="C8" s="1810">
        <f ca="1">ROUND(F8*F10*F9*(1-F11)/10000,0)</f>
        <v>0</v>
      </c>
      <c r="D8" s="1807" t="s">
        <v>2533</v>
      </c>
      <c r="E8" s="61" t="s">
        <v>637</v>
      </c>
      <c r="F8" s="785">
        <f ca="1">INDIRECT("'数据-取费表'!u"&amp;$G$1)</f>
        <v>0</v>
      </c>
      <c r="G8" s="1578"/>
      <c r="H8" s="2467" t="s">
        <v>1824</v>
      </c>
      <c r="I8" s="3457" t="s">
        <v>2462</v>
      </c>
      <c r="J8" s="783">
        <f ca="1">ROUND(M8*M10*M9*(1-M11)/10000,0)</f>
        <v>0</v>
      </c>
      <c r="K8" s="341" t="s">
        <v>2533</v>
      </c>
      <c r="L8" s="784" t="s">
        <v>1738</v>
      </c>
      <c r="M8" s="785">
        <f ca="1">INDIRECT("'数据-取费表'!z"&amp;$G$1)</f>
        <v>0</v>
      </c>
    </row>
    <row r="9" spans="1:25" ht="18" customHeight="1">
      <c r="A9" s="2463"/>
      <c r="B9" s="3458"/>
      <c r="C9" s="1811"/>
      <c r="D9" s="1808"/>
      <c r="E9" s="61" t="s">
        <v>638</v>
      </c>
      <c r="F9" s="785">
        <f ca="1">IF(INDIRECT("'数据-取费表'!ah"&amp;$G$1)="",INDIRECT("'数据-取费表'!k"&amp;$G$1),INDIRECT("'数据-取费表'!ah"&amp;$G$1))</f>
        <v>0</v>
      </c>
      <c r="G9" s="1578"/>
      <c r="H9" s="2452"/>
      <c r="I9" s="3458"/>
      <c r="J9" s="788"/>
      <c r="K9" s="789"/>
      <c r="L9" s="784" t="s">
        <v>1739</v>
      </c>
      <c r="M9" s="785">
        <f ca="1">F9</f>
        <v>0</v>
      </c>
    </row>
    <row r="10" spans="1:25" ht="18" customHeight="1">
      <c r="A10" s="2456"/>
      <c r="B10" s="3459"/>
      <c r="C10" s="1811"/>
      <c r="D10" s="1808"/>
      <c r="E10" s="61" t="s">
        <v>639</v>
      </c>
      <c r="F10" s="785">
        <f ca="1">INDIRECT("'数据-取费表'!ai"&amp;$G$1)</f>
        <v>0</v>
      </c>
      <c r="G10" s="1578"/>
      <c r="H10" s="2452"/>
      <c r="I10" s="3459"/>
      <c r="J10" s="788"/>
      <c r="K10" s="789"/>
      <c r="L10" s="784" t="s">
        <v>1740</v>
      </c>
      <c r="M10" s="785">
        <f ca="1">INDIRECT("'数据-取费表'!ai"&amp;$G$1)</f>
        <v>0</v>
      </c>
    </row>
    <row r="11" spans="1:25" ht="18" customHeight="1">
      <c r="A11" s="786"/>
      <c r="B11" s="3460"/>
      <c r="C11" s="1811"/>
      <c r="D11" s="1808"/>
      <c r="E11" s="61" t="s">
        <v>640</v>
      </c>
      <c r="F11" s="794">
        <f ca="1">INDIRECT("'数据-取费表'!w"&amp;$G$1)</f>
        <v>0</v>
      </c>
      <c r="G11" s="1578"/>
      <c r="H11" s="2468"/>
      <c r="I11" s="3459"/>
      <c r="J11" s="788"/>
      <c r="K11" s="789"/>
      <c r="L11" s="795" t="s">
        <v>1741</v>
      </c>
      <c r="M11" s="796">
        <f ca="1">INDIRECT("'数据-取费表'!ab"&amp;$G$1)</f>
        <v>0</v>
      </c>
    </row>
    <row r="12" spans="1:25" ht="18" customHeight="1">
      <c r="A12" s="1815" t="s">
        <v>1825</v>
      </c>
      <c r="B12" s="2457" t="s">
        <v>2458</v>
      </c>
      <c r="C12" s="799">
        <f ca="1">ROUND(IF(F12="押一",C8/12*F13,IF(F12="押二",C8/12*2*F13,IF(F12="押三",C8/12*3*F13,C13*F13))),0)</f>
        <v>0</v>
      </c>
      <c r="D12" s="2464" t="s">
        <v>2965</v>
      </c>
      <c r="E12" s="2461" t="s">
        <v>2463</v>
      </c>
      <c r="F12" s="2584"/>
      <c r="G12" s="1578"/>
      <c r="H12" s="2524" t="s">
        <v>1825</v>
      </c>
      <c r="I12" s="2529" t="s">
        <v>2458</v>
      </c>
      <c r="J12" s="783">
        <f ca="1">ROUND(IF(M12="押一",J8/12*M13,IF(M12="押二",J8/12*2*M13,IF(M12="押三",J8/12*3*M13,J13*M13))),0)</f>
        <v>0</v>
      </c>
      <c r="K12" s="2464" t="s">
        <v>2965</v>
      </c>
      <c r="L12" s="2461" t="s">
        <v>2463</v>
      </c>
      <c r="M12" s="2584"/>
    </row>
    <row r="13" spans="1:25" ht="18" customHeight="1">
      <c r="A13" s="790"/>
      <c r="B13" s="2458" t="s">
        <v>2572</v>
      </c>
      <c r="C13" s="2462"/>
      <c r="D13" s="789"/>
      <c r="E13" s="2461" t="s">
        <v>2455</v>
      </c>
      <c r="F13" s="796">
        <f ca="1">'数据-取费表'!B39</f>
        <v>1.4999999999999999E-2</v>
      </c>
      <c r="G13" s="1578"/>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8"/>
      <c r="H14" s="2514" t="s">
        <v>2466</v>
      </c>
      <c r="I14" s="2527" t="s">
        <v>2459</v>
      </c>
      <c r="J14" s="2528"/>
      <c r="K14" s="2503"/>
      <c r="L14" s="2504"/>
      <c r="M14" s="2517"/>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2068</v>
      </c>
      <c r="I16" s="2216" t="s">
        <v>2823</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3</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1875</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2" t="s">
        <v>2820</v>
      </c>
      <c r="J27" s="799">
        <f ca="1">J7-J18</f>
        <v>0</v>
      </c>
      <c r="K27" s="1964" t="s">
        <v>700</v>
      </c>
      <c r="L27" s="1966"/>
      <c r="M27" s="820"/>
    </row>
    <row r="28" spans="1:25" ht="18" customHeight="1">
      <c r="A28" s="803" t="s">
        <v>1875</v>
      </c>
      <c r="B28" s="784" t="s">
        <v>2437</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3" t="s">
        <v>1883</v>
      </c>
      <c r="B31" s="2504" t="s">
        <v>2821</v>
      </c>
      <c r="C31" s="2507">
        <f ca="1">ROUND((C21+C22+C25+C28)/(1-F23-C26-C29-C30),0)</f>
        <v>0</v>
      </c>
      <c r="D31" s="2508"/>
      <c r="E31" s="2509"/>
      <c r="F31" s="2510"/>
      <c r="G31" s="1579"/>
      <c r="H31" s="823" t="s">
        <v>1872</v>
      </c>
      <c r="I31" s="2963" t="s">
        <v>2822</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0"/>
      <c r="F32" s="2454"/>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v>
      </c>
      <c r="G36" s="2047"/>
      <c r="H36" s="2050"/>
      <c r="I36" s="3456"/>
      <c r="J36" s="2064"/>
      <c r="K36" s="2065"/>
      <c r="L36" s="2064"/>
      <c r="M36" s="2064"/>
    </row>
    <row r="37" spans="1:18" ht="18" customHeight="1">
      <c r="A37" s="815"/>
      <c r="B37" s="793"/>
      <c r="C37" s="69"/>
      <c r="D37" s="816"/>
      <c r="E37" s="784" t="s">
        <v>674</v>
      </c>
      <c r="F37" s="785">
        <f ca="1">INDIRECT("'数据-取费表'!r"&amp;$G$1)</f>
        <v>0</v>
      </c>
      <c r="G37" s="2047"/>
      <c r="H37" s="2050"/>
      <c r="I37" s="3456"/>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3" t="s">
        <v>1879</v>
      </c>
      <c r="B40" s="2509" t="s">
        <v>666</v>
      </c>
      <c r="C40" s="2507">
        <f ca="1">ROUND(C7*F40,1)</f>
        <v>0</v>
      </c>
      <c r="D40" s="2508" t="s">
        <v>683</v>
      </c>
      <c r="E40" s="2509" t="s">
        <v>649</v>
      </c>
      <c r="F40" s="2505">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1" t="s">
        <v>712</v>
      </c>
      <c r="E43" s="3072" t="s">
        <v>2953</v>
      </c>
      <c r="F43" s="3073">
        <f ca="1">INDIRECT("'数据-取费表'!j"&amp;$G$1)</f>
        <v>0</v>
      </c>
      <c r="G43" s="2047"/>
      <c r="H43" s="2047"/>
      <c r="I43" s="2047"/>
      <c r="J43" s="2047"/>
      <c r="K43" s="2068"/>
      <c r="L43" s="2047"/>
      <c r="M43" s="2047"/>
    </row>
    <row r="44" spans="1:18" ht="18" customHeight="1">
      <c r="A44" s="803" t="s">
        <v>1878</v>
      </c>
      <c r="B44" s="835" t="s">
        <v>713</v>
      </c>
      <c r="C44" s="1352">
        <f ca="1">C42-C43</f>
        <v>0</v>
      </c>
      <c r="D44" s="463" t="s">
        <v>714</v>
      </c>
      <c r="E44" s="464"/>
      <c r="F44" s="465"/>
      <c r="G44" s="2047"/>
      <c r="H44" s="2047"/>
      <c r="I44" s="2047"/>
      <c r="J44" s="2047"/>
      <c r="K44" s="2068"/>
      <c r="L44" s="2047"/>
      <c r="M44" s="2047"/>
    </row>
    <row r="45" spans="1:18" ht="18" customHeight="1">
      <c r="A45" s="803" t="s">
        <v>1879</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4"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7" t="s">
        <v>2343</v>
      </c>
      <c r="J48" s="2345"/>
      <c r="K48" s="3104" t="s">
        <v>2348</v>
      </c>
      <c r="L48" s="3108">
        <f ca="1">INDIRECT("'数据-取费表'!d"&amp;$G$1)</f>
        <v>0</v>
      </c>
      <c r="M48" s="3071"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6"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6"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6" t="s">
        <v>2346</v>
      </c>
      <c r="J51" s="3101">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8" t="s">
        <v>2347</v>
      </c>
      <c r="J52" s="3102">
        <f>IF(J50="",J51,J50+J51-YEAR('数据-取费表'!B3))</f>
        <v>0</v>
      </c>
      <c r="K52" s="3076"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099" t="s">
        <v>2420</v>
      </c>
      <c r="J53" s="2349"/>
      <c r="K53" s="3099" t="s">
        <v>2419</v>
      </c>
      <c r="L53" s="2349"/>
      <c r="O53" s="2365" t="s">
        <v>2385</v>
      </c>
      <c r="P53" s="2363" t="s">
        <v>2386</v>
      </c>
      <c r="Q53" s="2366">
        <f>J53</f>
        <v>0</v>
      </c>
      <c r="R53" s="2367"/>
    </row>
    <row r="54" spans="1:18" s="2044" customFormat="1" ht="29.25" thickBot="1">
      <c r="A54" s="2081"/>
      <c r="I54" s="3100" t="s">
        <v>2969</v>
      </c>
      <c r="J54" s="3103">
        <f ca="1">IF(M48="住宅",MAX(J52,L49-'数据-取费表'!B20),MIN(J52,L49-'数据-取费表'!B20))</f>
        <v>-2</v>
      </c>
      <c r="K54" s="3461"/>
      <c r="L54" s="3462"/>
      <c r="O54" s="2365" t="s">
        <v>2387</v>
      </c>
      <c r="P54" s="2363" t="s">
        <v>2388</v>
      </c>
      <c r="Q54" s="2364">
        <f ca="1">J54</f>
        <v>-2</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5" thickBot="1">
      <c r="A56" s="2081"/>
      <c r="B56" s="2082"/>
      <c r="C56" s="2082"/>
      <c r="I56" s="3112" t="s">
        <v>2354</v>
      </c>
      <c r="J56" s="3051" t="e">
        <f ca="1">ROUND(IF(J48="钢混",J58/J51,1-(1-2%)*(J51-J58)/J51),3)</f>
        <v>#VALUE!</v>
      </c>
      <c r="K56" s="3113" t="s">
        <v>2355</v>
      </c>
      <c r="L56" s="2350"/>
      <c r="O56" s="2368" t="s">
        <v>2410</v>
      </c>
      <c r="P56" s="1578"/>
      <c r="Q56" s="1589"/>
      <c r="R56" s="1578"/>
    </row>
    <row r="57" spans="1:18" s="2044" customFormat="1" ht="43.5" thickBot="1">
      <c r="A57" s="2081"/>
      <c r="B57" s="2082"/>
      <c r="C57" s="2082"/>
      <c r="I57" s="3114" t="s">
        <v>2356</v>
      </c>
      <c r="J57" s="3124" t="s">
        <v>1678</v>
      </c>
      <c r="K57" s="3076" t="s">
        <v>2361</v>
      </c>
      <c r="L57" s="1893">
        <f ca="1">IF(L49&lt;J52,"——",L49-J52)</f>
        <v>0</v>
      </c>
      <c r="O57" s="2359" t="s">
        <v>2374</v>
      </c>
      <c r="P57" s="2360" t="s">
        <v>2375</v>
      </c>
      <c r="Q57" s="2361" t="s">
        <v>2376</v>
      </c>
      <c r="R57" s="2360" t="s">
        <v>2377</v>
      </c>
    </row>
    <row r="58" spans="1:18" s="2044" customFormat="1" ht="29.25" thickBot="1">
      <c r="A58" s="2081"/>
      <c r="B58" s="2082"/>
      <c r="C58" s="2082"/>
      <c r="I58" s="3115" t="s">
        <v>2357</v>
      </c>
      <c r="J58" s="3116" t="str">
        <f ca="1">IF(OR(M48="住宅",J52&lt;L49,J57="是"),"——",J52-L49)</f>
        <v>——</v>
      </c>
      <c r="K58" s="3076"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5" t="s">
        <v>2358</v>
      </c>
      <c r="J59" s="3052" t="e">
        <f ca="1">IF(J56&lt;0.4,0.4,J56)</f>
        <v>#VALUE!</v>
      </c>
      <c r="K59" s="3076"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5" t="s">
        <v>2359</v>
      </c>
      <c r="J60" s="3116" t="str">
        <f ca="1">IF(OR(M48="住宅",J52&lt;L49,J57="是"),"——",ROUND(C30*J59,0))</f>
        <v>——</v>
      </c>
      <c r="K60" s="3076"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0" t="s">
        <v>2366</v>
      </c>
      <c r="J63" s="3121" t="s">
        <v>2367</v>
      </c>
      <c r="K63" s="3121" t="s">
        <v>2368</v>
      </c>
      <c r="L63" s="3121" t="s">
        <v>2349</v>
      </c>
      <c r="M63" s="3122" t="s">
        <v>2933</v>
      </c>
      <c r="O63" s="2365" t="s">
        <v>2387</v>
      </c>
      <c r="P63" s="2363" t="s">
        <v>2395</v>
      </c>
      <c r="Q63" s="2364">
        <f ca="1">L60</f>
        <v>0</v>
      </c>
      <c r="R63" s="2367" t="s">
        <v>2396</v>
      </c>
    </row>
    <row r="64" spans="1:18" s="2044" customFormat="1" ht="15.75"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5" thickBot="1">
      <c r="A65" s="2081"/>
      <c r="B65" s="2082"/>
      <c r="C65" s="2082"/>
      <c r="I65" s="3120" t="s">
        <v>2370</v>
      </c>
      <c r="J65" s="3121">
        <v>50</v>
      </c>
      <c r="K65" s="3121">
        <v>35</v>
      </c>
      <c r="L65" s="3121">
        <v>60</v>
      </c>
      <c r="M65" s="846">
        <v>0</v>
      </c>
      <c r="O65" s="2368" t="s">
        <v>2414</v>
      </c>
      <c r="P65" s="1578"/>
      <c r="Q65" s="1589"/>
      <c r="R65" s="1578"/>
    </row>
    <row r="66" spans="1:18" s="2044" customFormat="1" ht="15.75"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受贵公司委托，我公司对北京市出让国有建设用地使用权抵押价格进行了预评估。</v>
      </c>
    </row>
    <row r="5" spans="1:4" ht="18.75">
      <c r="A5" s="1779" t="s">
        <v>1905</v>
      </c>
    </row>
    <row r="6" spans="1:4" ht="56.2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56.25">
      <c r="A7" s="1780" t="s">
        <v>2746</v>
      </c>
    </row>
    <row r="8" spans="1:4" ht="18.75">
      <c r="A8" s="1779" t="s">
        <v>1906</v>
      </c>
    </row>
    <row r="9" spans="1:4" ht="75">
      <c r="A9" s="17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2019年4月26日</v>
      </c>
    </row>
    <row r="12" spans="1:4" ht="18.75">
      <c r="A12" s="1782" t="s">
        <v>2024</v>
      </c>
    </row>
    <row r="13" spans="1:4" ht="18.75">
      <c r="A13" s="1776" t="s">
        <v>2932</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3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18.75">
      <c r="A21" s="1776" t="s">
        <v>2073</v>
      </c>
    </row>
    <row r="22" spans="1:1" ht="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本次估价对象为出让国有建设用地使用权，证载土地终止日期为住宅2067年10月19日。截至估价期日，出让国有建设用地使用权剩余土地使用年限为。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5" t="s">
        <v>952</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8"/>
      <c r="J3" s="1358"/>
      <c r="K3" s="1577"/>
      <c r="L3" s="1358"/>
      <c r="M3" s="1358"/>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2457</v>
      </c>
      <c r="C5" s="55">
        <f ca="1">C6+C10+C12</f>
        <v>0</v>
      </c>
      <c r="D5" s="2459" t="s">
        <v>2460</v>
      </c>
      <c r="E5" s="2453"/>
      <c r="F5" s="2454"/>
      <c r="G5" s="1578"/>
      <c r="H5" s="781">
        <v>1</v>
      </c>
      <c r="I5" s="782" t="s">
        <v>2457</v>
      </c>
      <c r="J5" s="55">
        <f ca="1">J6+J10+J12</f>
        <v>0</v>
      </c>
      <c r="K5" s="2459" t="s">
        <v>2460</v>
      </c>
      <c r="L5" s="2453"/>
      <c r="M5" s="2454"/>
    </row>
    <row r="6" spans="1:33" ht="18" customHeight="1">
      <c r="A6" s="1815" t="s">
        <v>1824</v>
      </c>
      <c r="B6" s="3457" t="s">
        <v>2462</v>
      </c>
      <c r="C6" s="783">
        <f ca="1">ROUND(F6*F8*F7*(1-F9)/10000,0)</f>
        <v>0</v>
      </c>
      <c r="D6" s="2460" t="s">
        <v>2461</v>
      </c>
      <c r="E6" s="784" t="s">
        <v>1738</v>
      </c>
      <c r="F6" s="785">
        <f ca="1">INDIRECT("'数据-取费表'!u"&amp;$G$1)</f>
        <v>0</v>
      </c>
      <c r="G6" s="1578"/>
      <c r="H6" s="2467" t="s">
        <v>2467</v>
      </c>
      <c r="I6" s="3457" t="s">
        <v>2462</v>
      </c>
      <c r="J6" s="783">
        <f ca="1">ROUND(M6*M8*M7*(1-M9)/10000,0)</f>
        <v>0</v>
      </c>
      <c r="K6" s="341" t="s">
        <v>1737</v>
      </c>
      <c r="L6" s="784" t="s">
        <v>1738</v>
      </c>
      <c r="M6" s="785">
        <f ca="1">INDIRECT("'数据-取费表'!z"&amp;$G$1)</f>
        <v>0</v>
      </c>
    </row>
    <row r="7" spans="1:33" ht="18" customHeight="1">
      <c r="A7" s="2463"/>
      <c r="B7" s="3458"/>
      <c r="C7" s="788"/>
      <c r="D7" s="789"/>
      <c r="E7" s="784" t="s">
        <v>1739</v>
      </c>
      <c r="F7" s="785">
        <f ca="1">IF(INDIRECT("'数据-取费表'!ah"&amp;$G$1)="",INDIRECT("'数据-取费表'!k"&amp;$G$1),INDIRECT("'数据-取费表'!ah"&amp;$G$1))</f>
        <v>0</v>
      </c>
      <c r="G7" s="1578"/>
      <c r="H7" s="2452"/>
      <c r="I7" s="3458"/>
      <c r="J7" s="788"/>
      <c r="K7" s="789"/>
      <c r="L7" s="784" t="s">
        <v>1739</v>
      </c>
      <c r="M7" s="785">
        <f ca="1">F7</f>
        <v>0</v>
      </c>
    </row>
    <row r="8" spans="1:33" ht="18" customHeight="1">
      <c r="A8" s="2456"/>
      <c r="B8" s="3459"/>
      <c r="C8" s="788"/>
      <c r="D8" s="789"/>
      <c r="E8" s="784" t="s">
        <v>1740</v>
      </c>
      <c r="F8" s="785">
        <f ca="1">INDIRECT("'数据-取费表'!ai"&amp;$G$1)</f>
        <v>0</v>
      </c>
      <c r="G8" s="1578"/>
      <c r="H8" s="2452"/>
      <c r="I8" s="3459"/>
      <c r="J8" s="788"/>
      <c r="K8" s="789"/>
      <c r="L8" s="784" t="s">
        <v>1740</v>
      </c>
      <c r="M8" s="785">
        <f ca="1">INDIRECT("'数据-取费表'!ai"&amp;$G$1)</f>
        <v>0</v>
      </c>
    </row>
    <row r="9" spans="1:33" ht="18" customHeight="1">
      <c r="A9" s="786"/>
      <c r="B9" s="3460"/>
      <c r="C9" s="788"/>
      <c r="D9" s="789"/>
      <c r="E9" s="784" t="s">
        <v>1741</v>
      </c>
      <c r="F9" s="794">
        <f ca="1">INDIRECT("'数据-取费表'!w"&amp;$G$1)</f>
        <v>0</v>
      </c>
      <c r="G9" s="1578"/>
      <c r="H9" s="2468"/>
      <c r="I9" s="3459"/>
      <c r="J9" s="788"/>
      <c r="K9" s="789"/>
      <c r="L9" s="795" t="s">
        <v>1741</v>
      </c>
      <c r="M9" s="796">
        <f ca="1">INDIRECT("'数据-取费表'!ab"&amp;$G$1)</f>
        <v>0</v>
      </c>
    </row>
    <row r="10" spans="1:33" ht="18" customHeight="1">
      <c r="A10" s="1815" t="s">
        <v>2465</v>
      </c>
      <c r="B10" s="2457" t="s">
        <v>2458</v>
      </c>
      <c r="C10" s="799">
        <f ca="1">ROUND(IF(F10="押一",C6/12*F11,IF(F10="押二",C6/12*2*F11,IF(F10="押三",C6/12*3*F11,C11*F11))),0)</f>
        <v>0</v>
      </c>
      <c r="D10" s="2464" t="s">
        <v>2965</v>
      </c>
      <c r="E10" s="2461" t="s">
        <v>2463</v>
      </c>
      <c r="F10" s="2584"/>
      <c r="G10" s="1578"/>
      <c r="H10" s="2524" t="s">
        <v>2468</v>
      </c>
      <c r="I10" s="2529" t="s">
        <v>2458</v>
      </c>
      <c r="J10" s="783">
        <f ca="1">ROUND(IF(M10="押一",J6/12*M11,IF(M10="押二",J6/12*2*M11,IF(M10="押三",J6/12*3*M11,J11*M11))),0)</f>
        <v>0</v>
      </c>
      <c r="K10" s="2464" t="s">
        <v>2965</v>
      </c>
      <c r="L10" s="2461" t="s">
        <v>2463</v>
      </c>
      <c r="M10" s="2584"/>
    </row>
    <row r="11" spans="1:33" ht="18" customHeight="1">
      <c r="A11" s="790"/>
      <c r="B11" s="2458" t="s">
        <v>2572</v>
      </c>
      <c r="C11" s="2462"/>
      <c r="D11" s="789"/>
      <c r="E11" s="2461" t="s">
        <v>2464</v>
      </c>
      <c r="F11" s="796">
        <f ca="1">'数据-取费表'!B39</f>
        <v>1.4999999999999999E-2</v>
      </c>
      <c r="G11" s="1578"/>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8"/>
      <c r="H12" s="2514" t="s">
        <v>2469</v>
      </c>
      <c r="I12" s="2527" t="s">
        <v>2459</v>
      </c>
      <c r="J12" s="2528"/>
      <c r="K12" s="2503"/>
      <c r="L12" s="2504"/>
      <c r="M12" s="2517"/>
    </row>
    <row r="13" spans="1:33" ht="18" customHeight="1" thickTop="1">
      <c r="A13" s="1814">
        <v>2</v>
      </c>
      <c r="B13" s="1812" t="s">
        <v>1742</v>
      </c>
      <c r="C13" s="792">
        <f ca="1">ROUND(C29*F13,0)</f>
        <v>0</v>
      </c>
      <c r="D13" s="1819" t="s">
        <v>2296</v>
      </c>
      <c r="E13" s="1819" t="s">
        <v>1744</v>
      </c>
      <c r="F13" s="2499">
        <f ca="1">INDIRECT("'数据-取费表'!y"&amp;$G$1)</f>
        <v>0</v>
      </c>
      <c r="G13" s="1578"/>
      <c r="H13" s="1814">
        <v>2</v>
      </c>
      <c r="I13" s="1812" t="s">
        <v>1742</v>
      </c>
      <c r="J13" s="1804">
        <f ca="1">ROUND(J14*J15,0)</f>
        <v>0</v>
      </c>
      <c r="K13" s="1806" t="s">
        <v>1743</v>
      </c>
      <c r="L13" s="2515"/>
      <c r="M13" s="2516"/>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2824</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4" t="s">
        <v>1889</v>
      </c>
      <c r="I15" s="2509" t="s">
        <v>1744</v>
      </c>
      <c r="J15" s="2518">
        <f ca="1">INDIRECT("'数据-取费表'!ad"&amp;$G$1)</f>
        <v>0</v>
      </c>
      <c r="K15" s="2519"/>
      <c r="L15" s="2520"/>
      <c r="M15" s="2521"/>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49"/>
      <c r="M16" s="2454"/>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ROUND(IF(项目基本情况!B11="自然人",J5*M17,J18+J19+J20),0)</f>
        <v>0</v>
      </c>
      <c r="K17" s="2448" t="s">
        <v>1753</v>
      </c>
      <c r="L17" s="2447"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ROUND(J5*M18/1.05,1)</f>
        <v>0</v>
      </c>
      <c r="K18" s="2447"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IF(K19="按租金收入计税",ROUND(J5*M19,1),ROUND(C29*F33*0.7,1))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2297</v>
      </c>
      <c r="E21" s="784" t="s">
        <v>1765</v>
      </c>
      <c r="F21" s="809">
        <f>'数据-取费表'!B38</f>
        <v>0.02</v>
      </c>
      <c r="G21" s="1579"/>
      <c r="H21" s="2469"/>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5"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7" t="s">
        <v>1769</v>
      </c>
      <c r="L22" s="784" t="s">
        <v>1747</v>
      </c>
      <c r="M22" s="817">
        <f ca="1">INDIRECT("'数据-取费表'!Ak"&amp;$G$1)</f>
        <v>0</v>
      </c>
    </row>
    <row r="23" spans="1:33" s="2049" customFormat="1" ht="18" customHeight="1">
      <c r="A23" s="1633" t="s">
        <v>1831</v>
      </c>
      <c r="B23" s="784" t="s">
        <v>2534</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7"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9"/>
      <c r="H24" s="2514" t="s">
        <v>1891</v>
      </c>
      <c r="I24" s="2509" t="s">
        <v>666</v>
      </c>
      <c r="J24" s="2507">
        <f ca="1">ROUND(J5*M24,0)</f>
        <v>0</v>
      </c>
      <c r="K24" s="2508" t="s">
        <v>1774</v>
      </c>
      <c r="L24" s="2509" t="s">
        <v>1747</v>
      </c>
      <c r="M24" s="2505">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1" t="s">
        <v>2820</v>
      </c>
      <c r="J25" s="792">
        <f ca="1">J5-J16</f>
        <v>0</v>
      </c>
      <c r="K25" s="2511" t="s">
        <v>1777</v>
      </c>
      <c r="L25" s="2512"/>
      <c r="M25" s="2513"/>
    </row>
    <row r="26" spans="1:33" ht="18" customHeight="1">
      <c r="A26" s="1633" t="s">
        <v>1831</v>
      </c>
      <c r="B26" s="784" t="s">
        <v>2437</v>
      </c>
      <c r="C26" s="53">
        <f ca="1">ROUND((C19+C20)*F26,0)</f>
        <v>0</v>
      </c>
      <c r="D26" s="812" t="s">
        <v>1778</v>
      </c>
      <c r="E26" s="795" t="s">
        <v>1779</v>
      </c>
      <c r="F26" s="794">
        <f ca="1">INDIRECT("'数据-取费表'!q"&amp;$G$1)</f>
        <v>0</v>
      </c>
      <c r="G26" s="1578"/>
      <c r="H26" s="2465" t="s">
        <v>1780</v>
      </c>
      <c r="I26" s="2217" t="s">
        <v>2825</v>
      </c>
      <c r="J26" s="783">
        <f ca="1">IF(J5&lt;&gt;0,ROUND(J25*(1-((1+M28)/(1+M26))^M27)/(M26-M28),0),0)</f>
        <v>0</v>
      </c>
      <c r="K26" s="814" t="s">
        <v>1781</v>
      </c>
      <c r="L26" s="784" t="s">
        <v>2418</v>
      </c>
      <c r="M26" s="794">
        <f ca="1">INDIRECT("'数据-取费表'!I"&amp;$G$1)</f>
        <v>0</v>
      </c>
    </row>
    <row r="27" spans="1:33" ht="18" customHeight="1">
      <c r="A27" s="1633" t="s">
        <v>1832</v>
      </c>
      <c r="B27" s="784" t="s">
        <v>686</v>
      </c>
      <c r="C27" s="53">
        <f ca="1">ROUND(F21*F26,4)</f>
        <v>0</v>
      </c>
      <c r="D27" s="812" t="s">
        <v>1782</v>
      </c>
      <c r="E27" s="806"/>
      <c r="F27" s="807"/>
      <c r="G27" s="1578"/>
      <c r="H27" s="2466"/>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2298</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6" t="s">
        <v>1892</v>
      </c>
      <c r="B29" s="2504" t="s">
        <v>2299</v>
      </c>
      <c r="C29" s="2507">
        <f ca="1">ROUND((C19+C20+C23+C26)/(1-F21-C24-C27-C28),0)</f>
        <v>0</v>
      </c>
      <c r="D29" s="2508"/>
      <c r="E29" s="2509"/>
      <c r="F29" s="2510"/>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49"/>
      <c r="F30" s="2454"/>
      <c r="G30" s="2047"/>
      <c r="H30" s="2050"/>
      <c r="I30" s="2051"/>
      <c r="J30" s="2052"/>
      <c r="K30" s="2053"/>
      <c r="L30" s="2054"/>
      <c r="M30" s="2055"/>
    </row>
    <row r="31" spans="1:33" ht="18" customHeight="1">
      <c r="A31" s="1634" t="s">
        <v>1830</v>
      </c>
      <c r="B31" s="784" t="s">
        <v>656</v>
      </c>
      <c r="C31" s="53">
        <f ca="1">ROUND(IF(项目基本情况!B11="自然人",C5*F31,C32+C33+C34),1)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3</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4" t="s">
        <v>1891</v>
      </c>
      <c r="B38" s="2509" t="s">
        <v>666</v>
      </c>
      <c r="C38" s="2507">
        <f ca="1">ROUND(C5*F38,1)</f>
        <v>0</v>
      </c>
      <c r="D38" s="2508" t="s">
        <v>1805</v>
      </c>
      <c r="E38" s="2509" t="s">
        <v>1796</v>
      </c>
      <c r="F38" s="2505">
        <f ca="1">INDIRECT("'数据-取费表'!Am"&amp;$G$1)</f>
        <v>0</v>
      </c>
      <c r="G38" s="2047"/>
      <c r="H38" s="2062"/>
      <c r="I38" s="843" t="s">
        <v>1817</v>
      </c>
      <c r="J38" s="844"/>
      <c r="K38" s="2068"/>
      <c r="L38" s="2062"/>
      <c r="M38" s="2062"/>
    </row>
    <row r="39" spans="1:18" ht="24.6" customHeight="1" thickTop="1">
      <c r="A39" s="1814" t="s">
        <v>1894</v>
      </c>
      <c r="B39" s="2961" t="s">
        <v>2820</v>
      </c>
      <c r="C39" s="792">
        <f ca="1">C5-C30</f>
        <v>0</v>
      </c>
      <c r="D39" s="2511" t="s">
        <v>1806</v>
      </c>
      <c r="E39" s="2512"/>
      <c r="F39" s="2513"/>
      <c r="G39" s="2047"/>
      <c r="H39" s="2062"/>
      <c r="I39" s="837" t="s">
        <v>1818</v>
      </c>
      <c r="J39" s="845" t="e">
        <f ca="1">ROUND(J35/C39,3)</f>
        <v>#DIV/0!</v>
      </c>
      <c r="K39" s="2068"/>
      <c r="L39" s="2062"/>
      <c r="M39" s="2062"/>
    </row>
    <row r="40" spans="1:18" ht="18" customHeight="1">
      <c r="A40" s="781" t="s">
        <v>1895</v>
      </c>
      <c r="B40" s="2217" t="s">
        <v>2300</v>
      </c>
      <c r="C40" s="783" t="e">
        <f ca="1">ROUND(C39*(1-((1+F42)/(1+F40))^F41)/(F40-F42),0)</f>
        <v>#DIV/0!</v>
      </c>
      <c r="D40" s="814" t="s">
        <v>1807</v>
      </c>
      <c r="E40" s="784" t="s">
        <v>2418</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2955</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7"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7">
        <f ca="1">C48+C52+C54</f>
        <v>0</v>
      </c>
      <c r="D47" s="2070"/>
      <c r="E47" s="2070"/>
      <c r="F47" s="2070"/>
      <c r="I47" s="3097"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5" t="s">
        <v>2536</v>
      </c>
      <c r="B48" s="2606" t="s">
        <v>2537</v>
      </c>
      <c r="C48" s="2338">
        <f ca="1">ROUND(F48*F50*F49*(1-F51)/10000,0)</f>
        <v>0</v>
      </c>
      <c r="D48" s="2339" t="s">
        <v>636</v>
      </c>
      <c r="E48" s="2340" t="s">
        <v>2295</v>
      </c>
      <c r="F48" s="2341"/>
      <c r="G48" s="2075"/>
      <c r="I48" s="3076"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1739</v>
      </c>
      <c r="F49" s="785">
        <f ca="1">F7</f>
        <v>0</v>
      </c>
      <c r="G49" s="2075"/>
      <c r="H49" s="2078"/>
      <c r="I49" s="3076"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1740</v>
      </c>
      <c r="F50" s="785">
        <f ca="1">F8</f>
        <v>0</v>
      </c>
      <c r="G50" s="2080"/>
      <c r="H50" s="2078"/>
      <c r="I50" s="3076" t="s">
        <v>2346</v>
      </c>
      <c r="J50" s="3101">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8" t="s">
        <v>2347</v>
      </c>
      <c r="J51" s="3102">
        <f>IF(J49="",J50,J49+J50-YEAR('数据-取费表'!B2))</f>
        <v>0</v>
      </c>
      <c r="K51" s="3076"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7" t="s">
        <v>2458</v>
      </c>
      <c r="C52" s="799">
        <f ca="1">ROUND(IF(F52="押一",C48/12*F11,IF(F52="押二",C48/12*2*F11,IF(F52="押三",C48/12*3*F11,C53*F11))),0)</f>
        <v>0</v>
      </c>
      <c r="D52" s="2464" t="s">
        <v>2966</v>
      </c>
      <c r="E52" s="2461" t="s">
        <v>2463</v>
      </c>
      <c r="F52" s="2584"/>
      <c r="I52" s="3099" t="s">
        <v>2420</v>
      </c>
      <c r="J52" s="2349"/>
      <c r="K52" s="3099" t="s">
        <v>2419</v>
      </c>
      <c r="L52" s="2349"/>
      <c r="O52" s="2365" t="s">
        <v>2385</v>
      </c>
      <c r="P52" s="2363" t="s">
        <v>2386</v>
      </c>
      <c r="Q52" s="2366">
        <f>J52</f>
        <v>0</v>
      </c>
      <c r="R52" s="2367"/>
    </row>
    <row r="53" spans="1:18" s="2044" customFormat="1" ht="39.75" customHeight="1" thickBot="1">
      <c r="A53" s="786"/>
      <c r="B53" s="2458" t="s">
        <v>2572</v>
      </c>
      <c r="C53" s="2462"/>
      <c r="D53" s="2464"/>
      <c r="E53" s="2461"/>
      <c r="F53" s="800"/>
      <c r="I53" s="3100" t="s">
        <v>2969</v>
      </c>
      <c r="J53" s="3103">
        <f ca="1">IF(M47="住宅",IF(D1="——",MAX(J51,L48),MAX(J51,L48-'数据-取费表'!B20)),IF(D1="——",MIN(J51,L48),MIN(J51,L48-'数据-取费表'!B20)))</f>
        <v>0</v>
      </c>
      <c r="K53" s="3463" t="s">
        <v>2957</v>
      </c>
      <c r="L53" s="3464"/>
      <c r="O53" s="2365" t="s">
        <v>2387</v>
      </c>
      <c r="P53" s="2363" t="s">
        <v>2388</v>
      </c>
      <c r="Q53" s="2364">
        <f ca="1">J53</f>
        <v>0</v>
      </c>
      <c r="R53" s="2363" t="s">
        <v>2389</v>
      </c>
    </row>
    <row r="54" spans="1:18" s="2044" customFormat="1" ht="18" customHeight="1" thickBot="1">
      <c r="A54" s="2500" t="s">
        <v>2466</v>
      </c>
      <c r="B54" s="2501" t="s">
        <v>2459</v>
      </c>
      <c r="C54" s="2502"/>
      <c r="D54" s="2464"/>
      <c r="E54" s="2461"/>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1"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2"/>
      <c r="E56" s="784"/>
      <c r="F56" s="809"/>
      <c r="I56" s="3114" t="s">
        <v>2356</v>
      </c>
      <c r="J56" s="3124"/>
      <c r="K56" s="3076" t="s">
        <v>2361</v>
      </c>
      <c r="L56" s="1893">
        <f ca="1">IF(L48&lt;J51,"——",L48-J51)</f>
        <v>0</v>
      </c>
      <c r="O56" s="2359" t="s">
        <v>2374</v>
      </c>
      <c r="P56" s="2360" t="s">
        <v>2375</v>
      </c>
      <c r="Q56" s="2361" t="s">
        <v>2376</v>
      </c>
      <c r="R56" s="2360" t="s">
        <v>2377</v>
      </c>
    </row>
    <row r="57" spans="1:18" s="2044" customFormat="1" ht="28.5" customHeight="1" thickBot="1">
      <c r="A57" s="797" t="s">
        <v>1748</v>
      </c>
      <c r="B57" s="798" t="s">
        <v>651</v>
      </c>
      <c r="C57" s="799">
        <f ca="1">ROUND(C58+C63+C64+C65,0)</f>
        <v>0</v>
      </c>
      <c r="D57" s="26" t="s">
        <v>1750</v>
      </c>
      <c r="E57" s="2603"/>
      <c r="F57" s="56"/>
      <c r="I57" s="3115" t="s">
        <v>2357</v>
      </c>
      <c r="J57" s="3116">
        <f ca="1">IF(OR(M47="住宅",J51&lt;L48,J56="是"),"——",J51-L48)</f>
        <v>0</v>
      </c>
      <c r="K57" s="3076"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5" t="s">
        <v>2358</v>
      </c>
      <c r="J58" s="3052" t="e">
        <f ca="1">IF(J55&lt;0.4,0.4,J55)</f>
        <v>#DIV/0!</v>
      </c>
      <c r="K58" s="3076"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1831</v>
      </c>
      <c r="B59" s="784" t="s">
        <v>660</v>
      </c>
      <c r="C59" s="53">
        <f ca="1">ROUND(C47*F59/1.05,1)</f>
        <v>0</v>
      </c>
      <c r="D59" s="2602" t="s">
        <v>1756</v>
      </c>
      <c r="E59" s="784" t="s">
        <v>1747</v>
      </c>
      <c r="F59" s="809">
        <f t="shared" ref="F59:F65" si="0">F32</f>
        <v>5.6000000000000001E-2</v>
      </c>
      <c r="I59" s="3115" t="s">
        <v>2359</v>
      </c>
      <c r="J59" s="3116"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1832</v>
      </c>
      <c r="B60" s="784" t="s">
        <v>1758</v>
      </c>
      <c r="C60" s="53">
        <f ca="1">IF(D60="按租金收入计税",ROUND(C47*F60,1),IF(D60="按房产原值计税",ROUND(C56*F60*0.7,1),INDIRECT("'数据-取费表'!Aj"&amp;$G$1)))</f>
        <v>0</v>
      </c>
      <c r="D60" s="2602" t="str">
        <f>D33</f>
        <v>按房产原值计税</v>
      </c>
      <c r="E60" s="784" t="s">
        <v>1747</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1833</v>
      </c>
      <c r="B61" s="341" t="s">
        <v>668</v>
      </c>
      <c r="C61" s="54">
        <f ca="1">ROUND(F61*F62/10000,1)</f>
        <v>0</v>
      </c>
      <c r="D61" s="814" t="s">
        <v>669</v>
      </c>
      <c r="E61" s="784" t="s">
        <v>670</v>
      </c>
      <c r="F61" s="640">
        <f t="shared" si="0"/>
        <v>3</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0" t="s">
        <v>2366</v>
      </c>
      <c r="J62" s="3121" t="s">
        <v>2367</v>
      </c>
      <c r="K62" s="3121" t="s">
        <v>2368</v>
      </c>
      <c r="L62" s="3121" t="s">
        <v>2349</v>
      </c>
      <c r="M62" s="3122" t="s">
        <v>2933</v>
      </c>
      <c r="O62" s="2365" t="s">
        <v>2387</v>
      </c>
      <c r="P62" s="2363" t="str">
        <f>K59</f>
        <v>建筑物剩余耐用年限下的土地年期修正系数Kn</v>
      </c>
      <c r="Q62" s="2364" t="e">
        <f ca="1">L59</f>
        <v>#DIV/0!</v>
      </c>
      <c r="R62" s="2367" t="s">
        <v>2396</v>
      </c>
    </row>
    <row r="63" spans="1:18" s="2044" customFormat="1" ht="15.75" thickBot="1">
      <c r="A63" s="1634" t="s">
        <v>1889</v>
      </c>
      <c r="B63" s="784" t="s">
        <v>676</v>
      </c>
      <c r="C63" s="53">
        <f ca="1">ROUND(C56*F63,1)</f>
        <v>0</v>
      </c>
      <c r="D63" s="2602" t="s">
        <v>1803</v>
      </c>
      <c r="E63" s="784" t="s">
        <v>1747</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5" thickBot="1">
      <c r="A64" s="1634" t="s">
        <v>1890</v>
      </c>
      <c r="B64" s="784" t="s">
        <v>679</v>
      </c>
      <c r="C64" s="53">
        <f ca="1">ROUND(C55*F64,1)</f>
        <v>0</v>
      </c>
      <c r="D64" s="2602" t="s">
        <v>680</v>
      </c>
      <c r="E64" s="784" t="s">
        <v>1747</v>
      </c>
      <c r="F64" s="818">
        <f t="shared" ca="1" si="0"/>
        <v>0</v>
      </c>
      <c r="I64" s="3120" t="s">
        <v>2370</v>
      </c>
      <c r="J64" s="3121">
        <v>50</v>
      </c>
      <c r="K64" s="3121">
        <v>35</v>
      </c>
      <c r="L64" s="3121">
        <v>60</v>
      </c>
      <c r="M64" s="846">
        <v>0</v>
      </c>
      <c r="O64" s="2368" t="s">
        <v>2414</v>
      </c>
      <c r="P64" s="1578"/>
      <c r="Q64" s="1589"/>
      <c r="R64" s="1578"/>
    </row>
    <row r="65" spans="1:18" s="2044" customFormat="1" ht="15.75" thickBot="1">
      <c r="A65" s="1634" t="s">
        <v>1891</v>
      </c>
      <c r="B65" s="784" t="s">
        <v>666</v>
      </c>
      <c r="C65" s="53">
        <f ca="1">ROUND(C47*F65,1)</f>
        <v>0</v>
      </c>
      <c r="D65" s="2602" t="s">
        <v>683</v>
      </c>
      <c r="E65" s="784" t="s">
        <v>1747</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75" thickBot="1">
      <c r="A66" s="797" t="s">
        <v>1776</v>
      </c>
      <c r="B66" s="2962" t="s">
        <v>2820</v>
      </c>
      <c r="C66" s="799">
        <f ca="1">C47-C57</f>
        <v>0</v>
      </c>
      <c r="D66" s="2601" t="s">
        <v>700</v>
      </c>
      <c r="E66" s="2600"/>
      <c r="F66" s="820"/>
      <c r="K66" s="2071"/>
      <c r="O66" s="2362" t="s">
        <v>2378</v>
      </c>
      <c r="P66" s="2363" t="s">
        <v>2408</v>
      </c>
      <c r="Q66" s="2364" t="e">
        <f ca="1">C40+J29</f>
        <v>#DIV/0!</v>
      </c>
      <c r="R66" s="2363" t="s">
        <v>2379</v>
      </c>
    </row>
    <row r="67" spans="1:18" s="2044" customFormat="1" ht="20.25" thickBot="1">
      <c r="A67" s="781" t="s">
        <v>1780</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1808</v>
      </c>
      <c r="E68" s="784" t="s">
        <v>1784</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1" t="s">
        <v>2470</v>
      </c>
      <c r="B1" s="3482"/>
      <c r="C1" s="3483"/>
      <c r="D1" s="3484">
        <f>SUM(I10,I15,I20,I21,I23)</f>
        <v>0</v>
      </c>
      <c r="E1" s="3484"/>
      <c r="F1" s="3484"/>
      <c r="G1" s="3484"/>
      <c r="H1" s="3484"/>
      <c r="I1" s="3485"/>
    </row>
    <row r="2" spans="1:9">
      <c r="A2" s="3471" t="s">
        <v>2471</v>
      </c>
      <c r="B2" s="3472" t="s">
        <v>2472</v>
      </c>
      <c r="C2" s="3472"/>
      <c r="D2" s="2470" t="s">
        <v>2473</v>
      </c>
      <c r="E2" s="2470" t="s">
        <v>2474</v>
      </c>
      <c r="F2" s="2470" t="s">
        <v>2475</v>
      </c>
      <c r="G2" s="2470" t="s">
        <v>2476</v>
      </c>
      <c r="H2" s="2470" t="s">
        <v>2477</v>
      </c>
      <c r="I2" s="2471" t="s">
        <v>2478</v>
      </c>
    </row>
    <row r="3" spans="1:9">
      <c r="A3" s="3471"/>
      <c r="B3" s="3472" t="s">
        <v>2479</v>
      </c>
      <c r="C3" s="3472"/>
      <c r="D3" s="2472"/>
      <c r="E3" s="2470"/>
      <c r="F3" s="2473"/>
      <c r="G3" s="2473"/>
      <c r="H3" s="2474"/>
      <c r="I3" s="2475">
        <f>ROUND(D3*E3*F3*G3*H3/10000,0)</f>
        <v>0</v>
      </c>
    </row>
    <row r="4" spans="1:9">
      <c r="A4" s="3471"/>
      <c r="B4" s="3472" t="s">
        <v>2480</v>
      </c>
      <c r="C4" s="3472"/>
      <c r="D4" s="2472"/>
      <c r="E4" s="2470"/>
      <c r="F4" s="2473"/>
      <c r="G4" s="2473"/>
      <c r="H4" s="2474"/>
      <c r="I4" s="2475">
        <f t="shared" ref="I4:I9" si="0">ROUND(D4*E4*F4*G4*H4/10000,0)</f>
        <v>0</v>
      </c>
    </row>
    <row r="5" spans="1:9">
      <c r="A5" s="3471"/>
      <c r="B5" s="3472" t="s">
        <v>2481</v>
      </c>
      <c r="C5" s="3472"/>
      <c r="D5" s="2472"/>
      <c r="E5" s="2470"/>
      <c r="F5" s="2473"/>
      <c r="G5" s="2473"/>
      <c r="H5" s="2474"/>
      <c r="I5" s="2475">
        <f t="shared" si="0"/>
        <v>0</v>
      </c>
    </row>
    <row r="6" spans="1:9">
      <c r="A6" s="3471"/>
      <c r="B6" s="3472" t="s">
        <v>2482</v>
      </c>
      <c r="C6" s="3472"/>
      <c r="D6" s="2472"/>
      <c r="E6" s="2470"/>
      <c r="F6" s="2473"/>
      <c r="G6" s="2473"/>
      <c r="H6" s="2474"/>
      <c r="I6" s="2475">
        <f t="shared" si="0"/>
        <v>0</v>
      </c>
    </row>
    <row r="7" spans="1:9">
      <c r="A7" s="3471"/>
      <c r="B7" s="3472" t="s">
        <v>2483</v>
      </c>
      <c r="C7" s="3472"/>
      <c r="D7" s="2472"/>
      <c r="E7" s="2470"/>
      <c r="F7" s="2473"/>
      <c r="G7" s="2473"/>
      <c r="H7" s="2474"/>
      <c r="I7" s="2475">
        <f t="shared" si="0"/>
        <v>0</v>
      </c>
    </row>
    <row r="8" spans="1:9">
      <c r="A8" s="3471"/>
      <c r="B8" s="3472" t="s">
        <v>2484</v>
      </c>
      <c r="C8" s="3472"/>
      <c r="D8" s="2472"/>
      <c r="E8" s="2470"/>
      <c r="F8" s="2473"/>
      <c r="G8" s="2473"/>
      <c r="H8" s="2474"/>
      <c r="I8" s="2475">
        <f t="shared" si="0"/>
        <v>0</v>
      </c>
    </row>
    <row r="9" spans="1:9">
      <c r="A9" s="3471"/>
      <c r="B9" s="3472" t="s">
        <v>2485</v>
      </c>
      <c r="C9" s="3472"/>
      <c r="D9" s="2472"/>
      <c r="E9" s="2470"/>
      <c r="F9" s="2473"/>
      <c r="G9" s="2473"/>
      <c r="H9" s="2474"/>
      <c r="I9" s="2475">
        <f t="shared" si="0"/>
        <v>0</v>
      </c>
    </row>
    <row r="10" spans="1:9">
      <c r="A10" s="3471"/>
      <c r="B10" s="3473" t="s">
        <v>2486</v>
      </c>
      <c r="C10" s="3473"/>
      <c r="D10" s="2476">
        <v>527</v>
      </c>
      <c r="E10" s="2476" t="e">
        <f>ROUND(D1*10000/D10/H9,0)</f>
        <v>#DIV/0!</v>
      </c>
      <c r="F10" s="2477"/>
      <c r="G10" s="2477"/>
      <c r="H10" s="2478"/>
      <c r="I10" s="2479">
        <f>SUM(I3:I9)</f>
        <v>0</v>
      </c>
    </row>
    <row r="11" spans="1:9" ht="14.25">
      <c r="A11" s="3471" t="s">
        <v>2487</v>
      </c>
      <c r="B11" s="3472" t="s">
        <v>2488</v>
      </c>
      <c r="C11" s="3472"/>
      <c r="D11" s="2472" t="s">
        <v>2489</v>
      </c>
      <c r="E11" s="2472" t="s">
        <v>2490</v>
      </c>
      <c r="F11" s="2473" t="s">
        <v>2491</v>
      </c>
      <c r="G11" s="2473" t="s">
        <v>2492</v>
      </c>
      <c r="H11" s="2480" t="s">
        <v>2493</v>
      </c>
      <c r="I11" s="2471" t="s">
        <v>2494</v>
      </c>
    </row>
    <row r="12" spans="1:9">
      <c r="A12" s="3471"/>
      <c r="B12" s="3472" t="s">
        <v>2495</v>
      </c>
      <c r="C12" s="3472"/>
      <c r="D12" s="2472"/>
      <c r="E12" s="2472"/>
      <c r="F12" s="2473"/>
      <c r="G12" s="2474"/>
      <c r="H12" s="2481"/>
      <c r="I12" s="2471">
        <f>ROUND(D12*E12*F12*G12/10000,0)</f>
        <v>0</v>
      </c>
    </row>
    <row r="13" spans="1:9">
      <c r="A13" s="3471"/>
      <c r="B13" s="3472" t="s">
        <v>2496</v>
      </c>
      <c r="C13" s="3472"/>
      <c r="D13" s="2472"/>
      <c r="E13" s="2472"/>
      <c r="F13" s="2473"/>
      <c r="G13" s="2474"/>
      <c r="H13" s="2481"/>
      <c r="I13" s="2471">
        <f>ROUND(D13*E13*F13*G13/10000,0)</f>
        <v>0</v>
      </c>
    </row>
    <row r="14" spans="1:9">
      <c r="A14" s="3471"/>
      <c r="B14" s="3472" t="s">
        <v>2497</v>
      </c>
      <c r="C14" s="3472"/>
      <c r="D14" s="2472"/>
      <c r="E14" s="2472"/>
      <c r="F14" s="2473"/>
      <c r="G14" s="2474"/>
      <c r="H14" s="2481"/>
      <c r="I14" s="2471">
        <f>ROUND(D14*E14*F14*G14/10000,0)</f>
        <v>0</v>
      </c>
    </row>
    <row r="15" spans="1:9">
      <c r="A15" s="3471"/>
      <c r="B15" s="3473" t="s">
        <v>2486</v>
      </c>
      <c r="C15" s="3473"/>
      <c r="D15" s="2476"/>
      <c r="E15" s="2476">
        <f>SUM(E12:E14)</f>
        <v>0</v>
      </c>
      <c r="F15" s="2477"/>
      <c r="G15" s="2474"/>
      <c r="H15" s="2481"/>
      <c r="I15" s="2482">
        <f>SUM(I12:I14)</f>
        <v>0</v>
      </c>
    </row>
    <row r="16" spans="1:9" ht="24">
      <c r="A16" s="3471" t="s">
        <v>2498</v>
      </c>
      <c r="B16" s="3472" t="s">
        <v>2499</v>
      </c>
      <c r="C16" s="3472"/>
      <c r="D16" s="2472" t="s">
        <v>2500</v>
      </c>
      <c r="E16" s="2483" t="s">
        <v>2501</v>
      </c>
      <c r="F16" s="2473" t="s">
        <v>2502</v>
      </c>
      <c r="G16" s="2474" t="s">
        <v>2492</v>
      </c>
      <c r="H16" s="2480" t="s">
        <v>2493</v>
      </c>
      <c r="I16" s="2471" t="s">
        <v>2494</v>
      </c>
    </row>
    <row r="17" spans="1:9" ht="14.25">
      <c r="A17" s="3471"/>
      <c r="B17" s="3472" t="s">
        <v>2503</v>
      </c>
      <c r="C17" s="3472"/>
      <c r="D17" s="2472"/>
      <c r="E17" s="2472"/>
      <c r="F17" s="2473"/>
      <c r="G17" s="2474"/>
      <c r="H17" s="2484"/>
      <c r="I17" s="2485">
        <f>ROUND(D17*E17*F17*G17/10000,0)</f>
        <v>0</v>
      </c>
    </row>
    <row r="18" spans="1:9" ht="14.25">
      <c r="A18" s="3471"/>
      <c r="B18" s="3472" t="s">
        <v>2504</v>
      </c>
      <c r="C18" s="3472"/>
      <c r="D18" s="2472"/>
      <c r="E18" s="2472"/>
      <c r="F18" s="2473"/>
      <c r="G18" s="2474"/>
      <c r="H18" s="2484"/>
      <c r="I18" s="2485">
        <f>ROUND(D18*E18*F18*G18/10000,0)</f>
        <v>0</v>
      </c>
    </row>
    <row r="19" spans="1:9" ht="14.25">
      <c r="A19" s="3471"/>
      <c r="B19" s="3472" t="s">
        <v>2505</v>
      </c>
      <c r="C19" s="3472"/>
      <c r="D19" s="2472"/>
      <c r="E19" s="2472"/>
      <c r="F19" s="2473"/>
      <c r="G19" s="2474"/>
      <c r="H19" s="2484"/>
      <c r="I19" s="2485">
        <f>ROUND(D19*E19*F19*G19/10000,0)</f>
        <v>0</v>
      </c>
    </row>
    <row r="20" spans="1:9">
      <c r="A20" s="3471"/>
      <c r="B20" s="3473" t="s">
        <v>2486</v>
      </c>
      <c r="C20" s="3473"/>
      <c r="D20" s="2476">
        <f>SUM(D17:D19)</f>
        <v>0</v>
      </c>
      <c r="E20" s="2476"/>
      <c r="F20" s="2477"/>
      <c r="G20" s="2474"/>
      <c r="H20" s="2481"/>
      <c r="I20" s="2482">
        <f>SUM(I17:I19)</f>
        <v>0</v>
      </c>
    </row>
    <row r="21" spans="1:9">
      <c r="A21" s="3471" t="s">
        <v>2506</v>
      </c>
      <c r="B21" s="3474"/>
      <c r="C21" s="3474"/>
      <c r="D21" s="3474"/>
      <c r="E21" s="3474"/>
      <c r="F21" s="3474"/>
      <c r="G21" s="3474"/>
      <c r="H21" s="2486">
        <v>0.1</v>
      </c>
      <c r="I21" s="2479">
        <f>ROUND(I10*H21,0)</f>
        <v>0</v>
      </c>
    </row>
    <row r="22" spans="1:9" ht="14.25">
      <c r="A22" s="3475" t="s">
        <v>2507</v>
      </c>
      <c r="B22" s="3476"/>
      <c r="C22" s="3477"/>
      <c r="D22" s="2487" t="s">
        <v>2508</v>
      </c>
      <c r="E22" s="2487" t="s">
        <v>2509</v>
      </c>
      <c r="F22" s="2488" t="s">
        <v>2510</v>
      </c>
      <c r="G22" s="2488" t="s">
        <v>2511</v>
      </c>
      <c r="H22" s="2480" t="s">
        <v>2512</v>
      </c>
      <c r="I22" s="2471" t="s">
        <v>2513</v>
      </c>
    </row>
    <row r="23" spans="1:9" ht="14.25" thickBot="1">
      <c r="A23" s="3478"/>
      <c r="B23" s="3479"/>
      <c r="C23" s="3480"/>
      <c r="D23" s="2489"/>
      <c r="E23" s="2489"/>
      <c r="F23" s="2489"/>
      <c r="G23" s="2490"/>
      <c r="H23" s="2491"/>
      <c r="I23" s="2492">
        <f>ROUND(E23*D23*F23*(1-G23)/10000,0)</f>
        <v>0</v>
      </c>
    </row>
    <row r="26" spans="1:9">
      <c r="A26" s="2493" t="s">
        <v>2514</v>
      </c>
      <c r="B26" s="2493"/>
      <c r="C26" s="2493"/>
      <c r="D26" s="2493"/>
      <c r="E26" s="3468">
        <f>C27-C30-C31-C32</f>
        <v>0</v>
      </c>
      <c r="F26" s="3468"/>
      <c r="G26" s="3468"/>
      <c r="H26" s="2994" t="s">
        <v>2841</v>
      </c>
    </row>
    <row r="27" spans="1:9">
      <c r="A27" s="2494">
        <v>1</v>
      </c>
      <c r="B27" s="2495" t="s">
        <v>2515</v>
      </c>
      <c r="C27" s="2495"/>
      <c r="D27" s="2495"/>
      <c r="E27" s="3469"/>
      <c r="F27" s="3469"/>
      <c r="G27" s="3469"/>
    </row>
    <row r="28" spans="1:9">
      <c r="A28" s="2496" t="s">
        <v>2516</v>
      </c>
      <c r="B28" s="2495" t="s">
        <v>2517</v>
      </c>
      <c r="C28" s="2495"/>
      <c r="D28" s="2495"/>
      <c r="E28" s="3469"/>
      <c r="F28" s="3469"/>
      <c r="G28" s="3469"/>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3470"/>
      <c r="F32" s="3470"/>
      <c r="G32" s="3470"/>
    </row>
    <row r="33" spans="1:7" hidden="1">
      <c r="A33" s="3465" t="s">
        <v>2525</v>
      </c>
      <c r="B33" s="3466"/>
      <c r="C33" s="3466"/>
      <c r="D33" s="3467"/>
      <c r="E33" s="3468"/>
      <c r="F33" s="3468"/>
      <c r="G33" s="3468"/>
    </row>
    <row r="34" spans="1:7" hidden="1">
      <c r="A34" s="2498">
        <v>1</v>
      </c>
      <c r="B34" s="2495" t="s">
        <v>2526</v>
      </c>
      <c r="C34" s="2495"/>
      <c r="D34" s="2495"/>
      <c r="E34" s="3469"/>
      <c r="F34" s="3469"/>
      <c r="G34" s="3469"/>
    </row>
    <row r="35" spans="1:7" hidden="1">
      <c r="A35" s="2498">
        <v>2</v>
      </c>
      <c r="B35" s="2495" t="s">
        <v>2527</v>
      </c>
      <c r="C35" s="2495"/>
      <c r="D35" s="2495"/>
      <c r="E35" s="3469"/>
      <c r="F35" s="3469"/>
      <c r="G35" s="3469"/>
    </row>
    <row r="36" spans="1:7" hidden="1">
      <c r="A36" s="2498">
        <v>3</v>
      </c>
      <c r="B36" s="2495" t="s">
        <v>2528</v>
      </c>
      <c r="C36" s="2495"/>
      <c r="D36" s="2495"/>
      <c r="E36" s="3469"/>
      <c r="F36" s="3469"/>
      <c r="G36" s="3469"/>
    </row>
    <row r="37" spans="1:7" hidden="1">
      <c r="A37" s="2498">
        <v>4</v>
      </c>
      <c r="B37" s="2495" t="s">
        <v>2529</v>
      </c>
      <c r="C37" s="2495"/>
      <c r="D37" s="2495"/>
      <c r="E37" s="3469"/>
      <c r="F37" s="3469"/>
      <c r="G37" s="3469"/>
    </row>
    <row r="38" spans="1:7" hidden="1">
      <c r="A38" s="3465" t="s">
        <v>2530</v>
      </c>
      <c r="B38" s="3466"/>
      <c r="C38" s="3466"/>
      <c r="D38" s="3467"/>
      <c r="E38" s="3468"/>
      <c r="F38" s="3468"/>
      <c r="G38" s="34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2">
        <v>1</v>
      </c>
      <c r="B7" s="748" t="s">
        <v>609</v>
      </c>
      <c r="C7" s="749">
        <f>C8+C9</f>
        <v>0</v>
      </c>
      <c r="D7" s="749"/>
      <c r="E7" s="750"/>
      <c r="F7" s="750"/>
      <c r="G7" s="2442"/>
    </row>
    <row r="8" spans="1:25" s="2168" customFormat="1" ht="13.5" customHeight="1">
      <c r="A8" s="2432" t="s">
        <v>2439</v>
      </c>
      <c r="B8" s="2435" t="s">
        <v>2441</v>
      </c>
      <c r="C8" s="2436"/>
      <c r="D8" s="749"/>
      <c r="E8" s="750"/>
      <c r="F8" s="750"/>
      <c r="G8" s="751"/>
    </row>
    <row r="9" spans="1:25" s="2168" customFormat="1" ht="13.5" customHeight="1">
      <c r="A9" s="2432" t="s">
        <v>2440</v>
      </c>
      <c r="B9" s="2435" t="s">
        <v>2442</v>
      </c>
      <c r="C9" s="2436"/>
      <c r="D9" s="749"/>
      <c r="E9" s="750"/>
      <c r="F9" s="750"/>
      <c r="G9" s="751"/>
    </row>
    <row r="10" spans="1:25" s="2168" customFormat="1" ht="36">
      <c r="A10" s="2432">
        <v>2</v>
      </c>
      <c r="B10" s="748" t="s">
        <v>613</v>
      </c>
      <c r="C10" s="749">
        <f>C11+C14+C15</f>
        <v>0</v>
      </c>
      <c r="D10" s="760">
        <f>'数据-汇总表'!E3</f>
        <v>132427.66</v>
      </c>
      <c r="E10" s="749">
        <f>'数据-取费表'!B31</f>
        <v>50</v>
      </c>
      <c r="F10" s="761"/>
      <c r="G10" s="759" t="s">
        <v>614</v>
      </c>
    </row>
    <row r="11" spans="1:25" s="2168" customFormat="1" ht="13.5" customHeight="1">
      <c r="A11" s="2432" t="s">
        <v>2439</v>
      </c>
      <c r="B11" s="752" t="s">
        <v>610</v>
      </c>
      <c r="C11" s="753">
        <f>'数据-取费表'!B29</f>
        <v>0</v>
      </c>
      <c r="D11" s="754"/>
      <c r="E11" s="753"/>
      <c r="F11" s="755"/>
      <c r="G11" s="2441" t="s">
        <v>2450</v>
      </c>
    </row>
    <row r="12" spans="1:25" s="2168" customFormat="1" ht="13.5" customHeight="1">
      <c r="A12" s="2439" t="s">
        <v>2447</v>
      </c>
      <c r="B12" s="756" t="s">
        <v>611</v>
      </c>
      <c r="C12" s="757">
        <f>ROUND(D12*E12/10000,0)</f>
        <v>1986</v>
      </c>
      <c r="D12" s="758">
        <f>'数据-汇总表'!E5</f>
        <v>132427.66</v>
      </c>
      <c r="E12" s="757">
        <f>'数据-取费表'!B27</f>
        <v>150</v>
      </c>
      <c r="F12" s="755"/>
      <c r="G12" s="759"/>
    </row>
    <row r="13" spans="1:25" s="2168" customFormat="1" ht="13.5" customHeight="1">
      <c r="A13" s="2439" t="s">
        <v>2446</v>
      </c>
      <c r="B13" s="756" t="s">
        <v>612</v>
      </c>
      <c r="C13" s="757">
        <f>ROUND(D13*E13/10000,0)</f>
        <v>0</v>
      </c>
      <c r="D13" s="758">
        <f>'数据-汇总表'!E6</f>
        <v>0</v>
      </c>
      <c r="E13" s="757">
        <f>'数据-取费表'!B28</f>
        <v>190</v>
      </c>
      <c r="F13" s="755"/>
      <c r="G13" s="759"/>
    </row>
    <row r="14" spans="1:25" s="2168" customFormat="1" ht="13.5" customHeight="1">
      <c r="A14" s="2432" t="s">
        <v>2440</v>
      </c>
      <c r="B14" s="2438" t="s">
        <v>2443</v>
      </c>
      <c r="C14" s="2436"/>
      <c r="D14" s="758"/>
      <c r="E14" s="757"/>
      <c r="F14" s="2437"/>
      <c r="G14" s="2440" t="s">
        <v>2448</v>
      </c>
    </row>
    <row r="15" spans="1:25" s="2168" customFormat="1" ht="13.5" customHeight="1">
      <c r="A15" s="2432" t="s">
        <v>2445</v>
      </c>
      <c r="B15" s="2438" t="s">
        <v>2444</v>
      </c>
      <c r="C15" s="2436"/>
      <c r="D15" s="758"/>
      <c r="E15" s="757"/>
      <c r="F15" s="2437"/>
      <c r="G15" s="2440" t="s">
        <v>2449</v>
      </c>
    </row>
    <row r="16" spans="1:25" s="2169" customFormat="1" ht="48">
      <c r="A16" s="2432">
        <v>3</v>
      </c>
      <c r="B16" s="748" t="s">
        <v>615</v>
      </c>
      <c r="C16" s="2436"/>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617</v>
      </c>
      <c r="C18" s="749">
        <f>ROUND((C7+C10+C16)*F18,0)</f>
        <v>0</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2">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625</v>
      </c>
      <c r="C22" s="749">
        <f ca="1">ROUND(C21*F22,0)</f>
        <v>0</v>
      </c>
      <c r="D22" s="760"/>
      <c r="E22" s="749"/>
      <c r="F22" s="766">
        <f>'数据-取费表'!AP16</f>
        <v>0.90600000000000003</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6" t="s">
        <v>719</v>
      </c>
      <c r="C1" s="2587" t="s">
        <v>720</v>
      </c>
      <c r="D1" s="2588" t="s">
        <v>2988</v>
      </c>
      <c r="E1" s="2589"/>
      <c r="F1" s="2761" t="s">
        <v>3108</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5">
        <f>ROUND(B3*D3/10000,0)</f>
        <v>1450467</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109529</v>
      </c>
      <c r="C3" s="852" t="s">
        <v>722</v>
      </c>
      <c r="D3" s="851">
        <f>SUMIF('数据-汇总表'!$C19:$C33,D1,'数据-汇总表'!$E19:$E33)</f>
        <v>132427.66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89" t="s">
        <v>522</v>
      </c>
      <c r="D4" s="3390"/>
      <c r="E4" s="3413" t="s">
        <v>523</v>
      </c>
      <c r="F4" s="3414"/>
      <c r="G4" s="3389" t="s">
        <v>524</v>
      </c>
      <c r="H4" s="3390"/>
      <c r="I4" s="3389" t="s">
        <v>525</v>
      </c>
      <c r="J4" s="3390"/>
      <c r="K4" s="853" t="s">
        <v>526</v>
      </c>
      <c r="L4" s="2118"/>
      <c r="M4" s="2119"/>
      <c r="N4" s="2119"/>
      <c r="O4" s="2119"/>
      <c r="P4" s="3391" t="s">
        <v>527</v>
      </c>
      <c r="Q4" s="3392"/>
      <c r="R4" s="3377" t="s">
        <v>523</v>
      </c>
      <c r="S4" s="3378"/>
      <c r="T4" s="3377" t="s">
        <v>524</v>
      </c>
      <c r="U4" s="3378"/>
      <c r="V4" s="3397" t="s">
        <v>525</v>
      </c>
      <c r="W4" s="3397"/>
      <c r="X4" s="1553"/>
      <c r="Y4" s="3377" t="s">
        <v>527</v>
      </c>
      <c r="Z4" s="3378"/>
      <c r="AA4" s="3372" t="s">
        <v>523</v>
      </c>
      <c r="AB4" s="3372" t="s">
        <v>524</v>
      </c>
      <c r="AC4" s="3372" t="s">
        <v>525</v>
      </c>
    </row>
    <row r="5" spans="1:29" ht="15">
      <c r="A5" s="515"/>
      <c r="B5" s="516"/>
      <c r="C5" s="3400" t="s">
        <v>2920</v>
      </c>
      <c r="D5" s="3401"/>
      <c r="E5" s="3486" t="s">
        <v>3150</v>
      </c>
      <c r="F5" s="3416"/>
      <c r="G5" s="3487" t="s">
        <v>3151</v>
      </c>
      <c r="H5" s="3401"/>
      <c r="I5" s="3487" t="s">
        <v>3152</v>
      </c>
      <c r="J5" s="3401"/>
      <c r="K5" s="854"/>
      <c r="L5" s="2118"/>
      <c r="M5" s="2119"/>
      <c r="N5" s="2119"/>
      <c r="O5" s="2119"/>
      <c r="P5" s="3393"/>
      <c r="Q5" s="3394"/>
      <c r="R5" s="3379"/>
      <c r="S5" s="3380"/>
      <c r="T5" s="3379"/>
      <c r="U5" s="3380"/>
      <c r="V5" s="3397"/>
      <c r="W5" s="3397"/>
      <c r="X5" s="1553"/>
      <c r="Y5" s="3379"/>
      <c r="Z5" s="3380"/>
      <c r="AA5" s="3373"/>
      <c r="AB5" s="3373"/>
      <c r="AC5" s="3373"/>
    </row>
    <row r="6" spans="1:29" ht="15.75" thickBot="1">
      <c r="A6" s="517"/>
      <c r="B6" s="518"/>
      <c r="C6" s="3398" t="s">
        <v>2924</v>
      </c>
      <c r="D6" s="3399"/>
      <c r="E6" s="3417" t="s">
        <v>2924</v>
      </c>
      <c r="F6" s="3418"/>
      <c r="G6" s="3398" t="s">
        <v>2924</v>
      </c>
      <c r="H6" s="3399"/>
      <c r="I6" s="3398" t="s">
        <v>2924</v>
      </c>
      <c r="J6" s="3399"/>
      <c r="K6" s="854" t="s">
        <v>528</v>
      </c>
      <c r="L6" s="2118"/>
      <c r="M6" s="2119"/>
      <c r="N6" s="2119"/>
      <c r="O6" s="2119"/>
      <c r="P6" s="3395"/>
      <c r="Q6" s="3396"/>
      <c r="R6" s="3379"/>
      <c r="S6" s="3380"/>
      <c r="T6" s="3381"/>
      <c r="U6" s="3382"/>
      <c r="V6" s="3397"/>
      <c r="W6" s="3397"/>
      <c r="X6" s="1553"/>
      <c r="Y6" s="3381"/>
      <c r="Z6" s="3382"/>
      <c r="AA6" s="3374"/>
      <c r="AB6" s="3374"/>
      <c r="AC6" s="3374"/>
    </row>
    <row r="7" spans="1:29" s="1215" customFormat="1" ht="15.75" thickBot="1">
      <c r="A7" s="2866"/>
      <c r="B7" s="2873" t="s">
        <v>529</v>
      </c>
      <c r="C7" s="519">
        <f>'数据-取费表'!B2</f>
        <v>43581</v>
      </c>
      <c r="D7" s="520">
        <v>100</v>
      </c>
      <c r="E7" s="521">
        <v>43556</v>
      </c>
      <c r="F7" s="522">
        <f>SUMIF(58:58,YEAR(E7)&amp;"-"&amp;MONTH(E7),59:59)</f>
        <v>100</v>
      </c>
      <c r="G7" s="523">
        <v>43556</v>
      </c>
      <c r="H7" s="520">
        <f>SUMIF(58:58,YEAR(G7)&amp;"-"&amp;MONTH(G7),59:59)</f>
        <v>100</v>
      </c>
      <c r="I7" s="523">
        <v>43556</v>
      </c>
      <c r="J7" s="520">
        <f>SUMIF(58:58,YEAR(I7)&amp;"-"&amp;MONTH(I7),59:59)</f>
        <v>100</v>
      </c>
      <c r="K7" s="855"/>
      <c r="L7" s="2120"/>
      <c r="M7" s="2121"/>
      <c r="N7" s="2121"/>
      <c r="O7" s="2121"/>
      <c r="P7" s="3375" t="s">
        <v>530</v>
      </c>
      <c r="Q7" s="3384"/>
      <c r="R7" s="1554" t="s">
        <v>13</v>
      </c>
      <c r="S7" s="1555">
        <f t="shared" ref="S7:S15" si="0">F7</f>
        <v>100</v>
      </c>
      <c r="T7" s="1554" t="s">
        <v>13</v>
      </c>
      <c r="U7" s="1555">
        <f t="shared" ref="U7:U15" si="1">H7</f>
        <v>100</v>
      </c>
      <c r="V7" s="1554" t="s">
        <v>13</v>
      </c>
      <c r="W7" s="1555">
        <f t="shared" ref="W7:W15" si="2">J7</f>
        <v>100</v>
      </c>
      <c r="X7" s="1556"/>
      <c r="Y7" s="3375" t="s">
        <v>530</v>
      </c>
      <c r="Z7" s="3376"/>
      <c r="AA7" s="1557">
        <f>D7/F7</f>
        <v>1</v>
      </c>
      <c r="AB7" s="1557">
        <f>D7/H7</f>
        <v>1</v>
      </c>
      <c r="AC7" s="1557">
        <f>D7/J7</f>
        <v>1</v>
      </c>
    </row>
    <row r="8" spans="1:29" s="1215" customFormat="1" ht="15.7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0"/>
      <c r="M8" s="2121"/>
      <c r="N8" s="2121"/>
      <c r="O8" s="2121"/>
      <c r="P8" s="3375" t="s">
        <v>533</v>
      </c>
      <c r="Q8" s="3376"/>
      <c r="R8" s="1554" t="s">
        <v>13</v>
      </c>
      <c r="S8" s="1555">
        <f t="shared" si="0"/>
        <v>100</v>
      </c>
      <c r="T8" s="1554" t="s">
        <v>13</v>
      </c>
      <c r="U8" s="1555">
        <f t="shared" si="1"/>
        <v>100</v>
      </c>
      <c r="V8" s="1554" t="s">
        <v>13</v>
      </c>
      <c r="W8" s="1555">
        <f t="shared" si="2"/>
        <v>100</v>
      </c>
      <c r="X8" s="1556"/>
      <c r="Y8" s="3375" t="s">
        <v>533</v>
      </c>
      <c r="Z8" s="3376"/>
      <c r="AA8" s="1557">
        <f t="shared" ref="AA8:AA46" si="3">D8/F8</f>
        <v>1</v>
      </c>
      <c r="AB8" s="1557">
        <f t="shared" ref="AB8:AB46" si="4">D8/H8</f>
        <v>1</v>
      </c>
      <c r="AC8" s="1557">
        <f t="shared" ref="AC8:AC46" si="5">D8/J8</f>
        <v>1</v>
      </c>
    </row>
    <row r="9" spans="1:29" s="1215" customFormat="1" ht="15">
      <c r="A9" s="2868"/>
      <c r="B9" s="2875" t="s">
        <v>2755</v>
      </c>
      <c r="C9" s="3201" t="s">
        <v>3179</v>
      </c>
      <c r="D9" s="254">
        <v>100</v>
      </c>
      <c r="E9" s="858" t="s">
        <v>923</v>
      </c>
      <c r="F9" s="859">
        <f>SUMIF(63:63,E9,64:64)-SUMIF(63:63,C9,64:64)+100</f>
        <v>100</v>
      </c>
      <c r="G9" s="858" t="s">
        <v>923</v>
      </c>
      <c r="H9" s="254">
        <f>SUMIF(63:63,G9,64:64)-SUMIF(63:63,C9,64:64)+100</f>
        <v>100</v>
      </c>
      <c r="I9" s="858" t="s">
        <v>923</v>
      </c>
      <c r="J9" s="254">
        <f>SUMIF(63:63,I9,64:64)-SUMIF(63:63,C9,64:64)+100</f>
        <v>100</v>
      </c>
      <c r="K9" s="855"/>
      <c r="L9" s="2120"/>
      <c r="M9" s="2121"/>
      <c r="N9" s="2121"/>
      <c r="O9" s="2122"/>
      <c r="P9" s="3383" t="s">
        <v>535</v>
      </c>
      <c r="Q9" s="1146" t="str">
        <f t="shared" ref="Q9:Q15" si="6">B9</f>
        <v>用途</v>
      </c>
      <c r="R9" s="1554" t="s">
        <v>8</v>
      </c>
      <c r="S9" s="1555">
        <f t="shared" si="0"/>
        <v>100</v>
      </c>
      <c r="T9" s="1554" t="s">
        <v>8</v>
      </c>
      <c r="U9" s="1555">
        <f t="shared" si="1"/>
        <v>100</v>
      </c>
      <c r="V9" s="1554" t="s">
        <v>8</v>
      </c>
      <c r="W9" s="1555">
        <f t="shared" si="2"/>
        <v>100</v>
      </c>
      <c r="X9" s="1556"/>
      <c r="Y9" s="3340" t="s">
        <v>536</v>
      </c>
      <c r="Z9" s="1145" t="str">
        <f t="shared" ref="Z9:Z15" si="7">Q9</f>
        <v>用途</v>
      </c>
      <c r="AA9" s="1557">
        <f t="shared" si="3"/>
        <v>1</v>
      </c>
      <c r="AB9" s="1557">
        <f t="shared" si="4"/>
        <v>1</v>
      </c>
      <c r="AC9" s="1557">
        <f t="shared" si="5"/>
        <v>1</v>
      </c>
    </row>
    <row r="10" spans="1:29" s="1333" customFormat="1" ht="27">
      <c r="A10" s="2869"/>
      <c r="B10" s="2874" t="s">
        <v>2756</v>
      </c>
      <c r="C10" s="861" t="s">
        <v>3141</v>
      </c>
      <c r="D10" s="255">
        <v>100</v>
      </c>
      <c r="E10" s="862" t="s">
        <v>3141</v>
      </c>
      <c r="F10" s="863">
        <f>SUMIF(65:65,E10,66:66)-SUMIF(65:65,C10,66:66)+100</f>
        <v>100</v>
      </c>
      <c r="G10" s="861" t="s">
        <v>3141</v>
      </c>
      <c r="H10" s="255">
        <f>SUMIF(65:65,G10,66:66)-SUMIF(65:65,C10,66:66)+100</f>
        <v>100</v>
      </c>
      <c r="I10" s="861" t="s">
        <v>3141</v>
      </c>
      <c r="J10" s="255">
        <f>SUMIF(65:65,I10,66:66)-SUMIF(65:65,C10,66:66)+100</f>
        <v>100</v>
      </c>
      <c r="K10" s="864">
        <v>1</v>
      </c>
      <c r="L10" s="2123"/>
      <c r="M10" s="2163"/>
      <c r="N10" s="2163"/>
      <c r="O10" s="2124"/>
      <c r="P10" s="3383"/>
      <c r="Q10" s="1146" t="str">
        <f t="shared" si="6"/>
        <v>土地使用年限（年）</v>
      </c>
      <c r="R10" s="1554" t="s">
        <v>8</v>
      </c>
      <c r="S10" s="1555">
        <f t="shared" si="0"/>
        <v>100</v>
      </c>
      <c r="T10" s="1554" t="s">
        <v>8</v>
      </c>
      <c r="U10" s="1555">
        <f t="shared" si="1"/>
        <v>100</v>
      </c>
      <c r="V10" s="1554" t="s">
        <v>8</v>
      </c>
      <c r="W10" s="1555">
        <f t="shared" si="2"/>
        <v>100</v>
      </c>
      <c r="X10" s="1556"/>
      <c r="Y10" s="3340"/>
      <c r="Z10" s="1145" t="str">
        <f t="shared" si="7"/>
        <v>土地使用年限（年）</v>
      </c>
      <c r="AA10" s="1557">
        <f t="shared" si="3"/>
        <v>1</v>
      </c>
      <c r="AB10" s="1557">
        <f t="shared" si="4"/>
        <v>1</v>
      </c>
      <c r="AC10" s="1557">
        <f t="shared" si="5"/>
        <v>1</v>
      </c>
    </row>
    <row r="11" spans="1:29" ht="15">
      <c r="A11" s="2870"/>
      <c r="B11" s="2874" t="s">
        <v>2757</v>
      </c>
      <c r="C11" s="533">
        <f>'数据-汇总表'!I4</f>
        <v>1.1000000000000001</v>
      </c>
      <c r="D11" s="255">
        <v>100</v>
      </c>
      <c r="E11" s="534">
        <v>1.08</v>
      </c>
      <c r="F11" s="863">
        <f>LOOKUP(E11,68:68,69:69)-LOOKUP(C11,68:68,69:69)+100</f>
        <v>100</v>
      </c>
      <c r="G11" s="533">
        <v>1.4</v>
      </c>
      <c r="H11" s="255">
        <f>LOOKUP(G11,68:68,69:69)-LOOKUP(C11,68:68,69:69)+100</f>
        <v>100</v>
      </c>
      <c r="I11" s="533">
        <v>1.1000000000000001</v>
      </c>
      <c r="J11" s="255">
        <f>LOOKUP(I11,68:68,69:69)-LOOKUP(C11,68:68,69:69)+100</f>
        <v>100</v>
      </c>
      <c r="K11" s="864">
        <v>2</v>
      </c>
      <c r="L11" s="2125"/>
      <c r="M11" s="2119"/>
      <c r="N11" s="2119"/>
      <c r="O11" s="2126"/>
      <c r="P11" s="3383"/>
      <c r="Q11" s="1146" t="str">
        <f t="shared" si="6"/>
        <v>容积率</v>
      </c>
      <c r="R11" s="1554" t="s">
        <v>11</v>
      </c>
      <c r="S11" s="1555">
        <f t="shared" si="0"/>
        <v>100</v>
      </c>
      <c r="T11" s="1554" t="s">
        <v>11</v>
      </c>
      <c r="U11" s="1555">
        <f t="shared" si="1"/>
        <v>100</v>
      </c>
      <c r="V11" s="1554" t="s">
        <v>11</v>
      </c>
      <c r="W11" s="1555">
        <f t="shared" si="2"/>
        <v>100</v>
      </c>
      <c r="X11" s="1556"/>
      <c r="Y11" s="3340"/>
      <c r="Z11" s="1145" t="str">
        <f t="shared" si="7"/>
        <v>容积率</v>
      </c>
      <c r="AA11" s="1557">
        <f t="shared" si="3"/>
        <v>1</v>
      </c>
      <c r="AB11" s="1557">
        <f t="shared" si="4"/>
        <v>1</v>
      </c>
      <c r="AC11" s="1557">
        <f t="shared" si="5"/>
        <v>1</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3"/>
      <c r="Q12" s="1146">
        <f t="shared" si="6"/>
        <v>111</v>
      </c>
      <c r="R12" s="1554" t="s">
        <v>11</v>
      </c>
      <c r="S12" s="1555">
        <f t="shared" si="0"/>
        <v>100</v>
      </c>
      <c r="T12" s="1554" t="s">
        <v>11</v>
      </c>
      <c r="U12" s="1555">
        <f t="shared" si="1"/>
        <v>100</v>
      </c>
      <c r="V12" s="1554" t="s">
        <v>11</v>
      </c>
      <c r="W12" s="1555">
        <f t="shared" si="2"/>
        <v>100</v>
      </c>
      <c r="X12" s="1556"/>
      <c r="Y12" s="3340"/>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3"/>
      <c r="Q13" s="1146">
        <f t="shared" si="6"/>
        <v>111</v>
      </c>
      <c r="R13" s="1554" t="s">
        <v>11</v>
      </c>
      <c r="S13" s="1555">
        <f t="shared" si="0"/>
        <v>100</v>
      </c>
      <c r="T13" s="1554" t="s">
        <v>11</v>
      </c>
      <c r="U13" s="1555">
        <f t="shared" si="1"/>
        <v>100</v>
      </c>
      <c r="V13" s="1554" t="s">
        <v>11</v>
      </c>
      <c r="W13" s="1555">
        <f t="shared" si="2"/>
        <v>100</v>
      </c>
      <c r="X13" s="1556"/>
      <c r="Y13" s="3340"/>
      <c r="Z13" s="1145">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3"/>
      <c r="Q14" s="1146">
        <f t="shared" si="6"/>
        <v>111</v>
      </c>
      <c r="R14" s="1554" t="s">
        <v>11</v>
      </c>
      <c r="S14" s="1555">
        <f t="shared" si="0"/>
        <v>100</v>
      </c>
      <c r="T14" s="1554" t="s">
        <v>11</v>
      </c>
      <c r="U14" s="1555">
        <f t="shared" si="1"/>
        <v>100</v>
      </c>
      <c r="V14" s="1554" t="s">
        <v>11</v>
      </c>
      <c r="W14" s="1555">
        <f t="shared" si="2"/>
        <v>100</v>
      </c>
      <c r="X14" s="1556"/>
      <c r="Y14" s="3340"/>
      <c r="Z14" s="1145">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估价对象周边居住用地比例较大、居住小区规模和社区发展完善程度较好，综合评价居住社区成熟度较好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v>2</v>
      </c>
      <c r="L15" s="2127"/>
      <c r="M15" s="2119"/>
      <c r="N15" s="2119"/>
      <c r="O15" s="2126"/>
      <c r="P15" s="3385" t="s">
        <v>540</v>
      </c>
      <c r="Q15" s="1558" t="str">
        <f t="shared" si="6"/>
        <v>居住社区成熟度</v>
      </c>
      <c r="R15" s="1559" t="s">
        <v>11</v>
      </c>
      <c r="S15" s="1560">
        <f t="shared" si="0"/>
        <v>100</v>
      </c>
      <c r="T15" s="1559" t="s">
        <v>11</v>
      </c>
      <c r="U15" s="1560">
        <f t="shared" si="1"/>
        <v>100</v>
      </c>
      <c r="V15" s="1559" t="s">
        <v>11</v>
      </c>
      <c r="W15" s="1560">
        <f t="shared" si="2"/>
        <v>100</v>
      </c>
      <c r="X15" s="1553"/>
      <c r="Y15" s="3385" t="s">
        <v>540</v>
      </c>
      <c r="Z15" s="1561" t="str">
        <f t="shared" si="7"/>
        <v>居住社区成熟度</v>
      </c>
      <c r="AA15" s="1562">
        <f t="shared" si="3"/>
        <v>1</v>
      </c>
      <c r="AB15" s="1562">
        <f t="shared" si="4"/>
        <v>1</v>
      </c>
      <c r="AC15" s="1562">
        <f t="shared" si="5"/>
        <v>1</v>
      </c>
    </row>
    <row r="16" spans="1:29" ht="15">
      <c r="A16" s="532"/>
      <c r="B16" s="869"/>
      <c r="C16" s="576" t="s">
        <v>3112</v>
      </c>
      <c r="D16" s="555"/>
      <c r="E16" s="576" t="s">
        <v>3112</v>
      </c>
      <c r="F16" s="557"/>
      <c r="G16" s="576" t="s">
        <v>3112</v>
      </c>
      <c r="H16" s="559"/>
      <c r="I16" s="576" t="s">
        <v>3112</v>
      </c>
      <c r="J16" s="555"/>
      <c r="K16" s="870"/>
      <c r="L16" s="2127"/>
      <c r="M16" s="2119"/>
      <c r="N16" s="2119"/>
      <c r="O16" s="2126"/>
      <c r="P16" s="3386"/>
      <c r="Q16" s="1558"/>
      <c r="R16" s="1559"/>
      <c r="S16" s="1560"/>
      <c r="T16" s="1559"/>
      <c r="U16" s="1560"/>
      <c r="V16" s="1559"/>
      <c r="W16" s="1560"/>
      <c r="X16" s="1553"/>
      <c r="Y16" s="338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98</v>
      </c>
      <c r="G17" s="564"/>
      <c r="H17" s="565">
        <f>SUMIF(78:78,G18,79:79)-SUMIF(78:78,C18,79:79)+100</f>
        <v>98</v>
      </c>
      <c r="I17" s="562"/>
      <c r="J17" s="565">
        <f>SUMIF(78:78,I18,79:79)-SUMIF(78:78,C18,79:79)+100</f>
        <v>98</v>
      </c>
      <c r="K17" s="868">
        <v>2</v>
      </c>
      <c r="L17" s="2127"/>
      <c r="M17" s="2119"/>
      <c r="N17" s="2119"/>
      <c r="O17" s="2126"/>
      <c r="P17" s="3386"/>
      <c r="Q17" s="1558" t="str">
        <f>B17</f>
        <v>交通便捷度</v>
      </c>
      <c r="R17" s="1559" t="s">
        <v>11</v>
      </c>
      <c r="S17" s="1560">
        <f>F17</f>
        <v>98</v>
      </c>
      <c r="T17" s="1559" t="s">
        <v>11</v>
      </c>
      <c r="U17" s="1560">
        <f>H17</f>
        <v>98</v>
      </c>
      <c r="V17" s="1559" t="s">
        <v>11</v>
      </c>
      <c r="W17" s="1560">
        <f>J17</f>
        <v>98</v>
      </c>
      <c r="X17" s="1553"/>
      <c r="Y17" s="3386"/>
      <c r="Z17" s="1561" t="str">
        <f>Q17</f>
        <v>交通便捷度</v>
      </c>
      <c r="AA17" s="1562">
        <f t="shared" si="3"/>
        <v>1.0204081632653061</v>
      </c>
      <c r="AB17" s="1562">
        <f t="shared" si="4"/>
        <v>1.0204081632653061</v>
      </c>
      <c r="AC17" s="1562">
        <f t="shared" si="5"/>
        <v>1.0204081632653061</v>
      </c>
    </row>
    <row r="18" spans="1:29" ht="15">
      <c r="A18" s="532"/>
      <c r="B18" s="595"/>
      <c r="C18" s="873" t="s">
        <v>3112</v>
      </c>
      <c r="D18" s="559"/>
      <c r="E18" s="568" t="s">
        <v>3124</v>
      </c>
      <c r="F18" s="563"/>
      <c r="G18" s="568" t="s">
        <v>3124</v>
      </c>
      <c r="H18" s="555"/>
      <c r="I18" s="568" t="s">
        <v>3124</v>
      </c>
      <c r="J18" s="555"/>
      <c r="K18" s="870"/>
      <c r="L18" s="2127"/>
      <c r="M18" s="2119"/>
      <c r="N18" s="2119"/>
      <c r="O18" s="2126"/>
      <c r="P18" s="3386"/>
      <c r="Q18" s="1558"/>
      <c r="R18" s="1559"/>
      <c r="S18" s="1560"/>
      <c r="T18" s="1559"/>
      <c r="U18" s="1560"/>
      <c r="V18" s="1559"/>
      <c r="W18" s="1560"/>
      <c r="X18" s="1553"/>
      <c r="Y18" s="3386"/>
      <c r="Z18" s="1561"/>
      <c r="AA18" s="1562">
        <v>1</v>
      </c>
      <c r="AB18" s="1562">
        <v>1</v>
      </c>
      <c r="AC18" s="1562">
        <v>1</v>
      </c>
    </row>
    <row r="19" spans="1:29" ht="42.75">
      <c r="A19" s="532"/>
      <c r="B19" s="2563" t="s">
        <v>2545</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68">
        <v>1</v>
      </c>
      <c r="L19" s="2127"/>
      <c r="M19" s="2119"/>
      <c r="N19" s="2119"/>
      <c r="O19" s="2126"/>
      <c r="P19" s="3386"/>
      <c r="Q19" s="1558" t="str">
        <f>B19</f>
        <v>公共配套设施</v>
      </c>
      <c r="R19" s="1559" t="s">
        <v>11</v>
      </c>
      <c r="S19" s="1560">
        <f>F19</f>
        <v>100</v>
      </c>
      <c r="T19" s="1559" t="s">
        <v>11</v>
      </c>
      <c r="U19" s="1560">
        <f>H19</f>
        <v>100</v>
      </c>
      <c r="V19" s="1559" t="s">
        <v>11</v>
      </c>
      <c r="W19" s="1560">
        <f>J19</f>
        <v>100</v>
      </c>
      <c r="X19" s="1553"/>
      <c r="Y19" s="3386"/>
      <c r="Z19" s="1561" t="str">
        <f>Q19</f>
        <v>公共配套设施</v>
      </c>
      <c r="AA19" s="1562">
        <f t="shared" si="3"/>
        <v>1</v>
      </c>
      <c r="AB19" s="1562">
        <f t="shared" si="4"/>
        <v>1</v>
      </c>
      <c r="AC19" s="1562">
        <f t="shared" si="5"/>
        <v>1</v>
      </c>
    </row>
    <row r="20" spans="1:29" ht="15">
      <c r="A20" s="532"/>
      <c r="B20" s="595"/>
      <c r="C20" s="576" t="s">
        <v>3112</v>
      </c>
      <c r="D20" s="555"/>
      <c r="E20" s="576" t="s">
        <v>3112</v>
      </c>
      <c r="F20" s="557"/>
      <c r="G20" s="576" t="s">
        <v>3112</v>
      </c>
      <c r="H20" s="555"/>
      <c r="I20" s="576" t="s">
        <v>3112</v>
      </c>
      <c r="J20" s="555"/>
      <c r="K20" s="870"/>
      <c r="L20" s="2127"/>
      <c r="M20" s="2119"/>
      <c r="N20" s="2119"/>
      <c r="O20" s="2126"/>
      <c r="P20" s="3386"/>
      <c r="Q20" s="1558"/>
      <c r="R20" s="1559"/>
      <c r="S20" s="1560"/>
      <c r="T20" s="1559"/>
      <c r="U20" s="1560"/>
      <c r="V20" s="1559"/>
      <c r="W20" s="1560"/>
      <c r="X20" s="1553"/>
      <c r="Y20" s="3386"/>
      <c r="Z20" s="1561"/>
      <c r="AA20" s="1562">
        <v>1</v>
      </c>
      <c r="AB20" s="1562">
        <v>1</v>
      </c>
      <c r="AC20" s="1562">
        <v>1</v>
      </c>
    </row>
    <row r="21" spans="1:29" ht="42.75">
      <c r="A21" s="532"/>
      <c r="B21" s="2556" t="s">
        <v>2557</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386"/>
      <c r="Q21" s="2542" t="str">
        <f>B21</f>
        <v>基础设施水平</v>
      </c>
      <c r="R21" s="1559" t="s">
        <v>11</v>
      </c>
      <c r="S21" s="1560">
        <f>F21</f>
        <v>100</v>
      </c>
      <c r="T21" s="1559" t="s">
        <v>11</v>
      </c>
      <c r="U21" s="1560">
        <f>H21</f>
        <v>100</v>
      </c>
      <c r="V21" s="1559" t="s">
        <v>11</v>
      </c>
      <c r="W21" s="1560">
        <f>J21</f>
        <v>100</v>
      </c>
      <c r="X21" s="2544"/>
      <c r="Y21" s="3386"/>
      <c r="Z21" s="2543" t="str">
        <f>Q21</f>
        <v>基础设施水平</v>
      </c>
      <c r="AA21" s="1562">
        <f t="shared" ref="AA21" si="8">D21/F21</f>
        <v>1</v>
      </c>
      <c r="AB21" s="1562">
        <f t="shared" ref="AB21" si="9">D21/H21</f>
        <v>1</v>
      </c>
      <c r="AC21" s="1562">
        <f t="shared" ref="AC21" si="10">D21/J21</f>
        <v>1</v>
      </c>
    </row>
    <row r="22" spans="1:29" ht="15">
      <c r="A22" s="532"/>
      <c r="B22" s="921"/>
      <c r="C22" s="873" t="s">
        <v>3137</v>
      </c>
      <c r="D22" s="555"/>
      <c r="E22" s="873" t="s">
        <v>3137</v>
      </c>
      <c r="F22" s="557"/>
      <c r="G22" s="873" t="s">
        <v>3137</v>
      </c>
      <c r="H22" s="555"/>
      <c r="I22" s="873" t="s">
        <v>3137</v>
      </c>
      <c r="J22" s="555"/>
      <c r="K22" s="2562"/>
      <c r="L22" s="2127"/>
      <c r="M22" s="2119"/>
      <c r="N22" s="2119"/>
      <c r="O22" s="2126"/>
      <c r="P22" s="3386"/>
      <c r="Q22" s="2542"/>
      <c r="R22" s="1559"/>
      <c r="S22" s="1560"/>
      <c r="T22" s="1559"/>
      <c r="U22" s="1560"/>
      <c r="V22" s="1559"/>
      <c r="W22" s="1560"/>
      <c r="X22" s="2544"/>
      <c r="Y22" s="3386"/>
      <c r="Z22" s="2543"/>
      <c r="AA22" s="1562">
        <v>1</v>
      </c>
      <c r="AB22" s="1562">
        <v>1</v>
      </c>
      <c r="AC22" s="1562">
        <v>1</v>
      </c>
    </row>
    <row r="23" spans="1:29" ht="57">
      <c r="A23" s="532"/>
      <c r="B23" s="871" t="s">
        <v>297</v>
      </c>
      <c r="C23" s="872"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386"/>
      <c r="Q23" s="1558" t="str">
        <f>B23</f>
        <v>自然及人文环境</v>
      </c>
      <c r="R23" s="1559" t="s">
        <v>11</v>
      </c>
      <c r="S23" s="1560">
        <f>F23</f>
        <v>100</v>
      </c>
      <c r="T23" s="1559" t="s">
        <v>11</v>
      </c>
      <c r="U23" s="1560">
        <f>H23</f>
        <v>100</v>
      </c>
      <c r="V23" s="1559" t="s">
        <v>11</v>
      </c>
      <c r="W23" s="1560">
        <f>J23</f>
        <v>100</v>
      </c>
      <c r="X23" s="1553"/>
      <c r="Y23" s="3386"/>
      <c r="Z23" s="1561" t="str">
        <f>Q23</f>
        <v>自然及人文环境</v>
      </c>
      <c r="AA23" s="1562">
        <f t="shared" si="3"/>
        <v>1</v>
      </c>
      <c r="AB23" s="1562">
        <f t="shared" si="4"/>
        <v>1</v>
      </c>
      <c r="AC23" s="1562">
        <f t="shared" si="5"/>
        <v>1</v>
      </c>
    </row>
    <row r="24" spans="1:29" ht="15">
      <c r="A24" s="532"/>
      <c r="B24" s="595"/>
      <c r="C24" s="576" t="s">
        <v>3112</v>
      </c>
      <c r="D24" s="555"/>
      <c r="E24" s="576" t="s">
        <v>3112</v>
      </c>
      <c r="F24" s="557"/>
      <c r="G24" s="576" t="s">
        <v>3112</v>
      </c>
      <c r="H24" s="555"/>
      <c r="I24" s="576" t="s">
        <v>3112</v>
      </c>
      <c r="J24" s="555"/>
      <c r="K24" s="870"/>
      <c r="L24" s="2127"/>
      <c r="M24" s="2119"/>
      <c r="N24" s="2119"/>
      <c r="O24" s="2126"/>
      <c r="P24" s="3386"/>
      <c r="Q24" s="1558"/>
      <c r="R24" s="1559"/>
      <c r="S24" s="1560"/>
      <c r="T24" s="1559"/>
      <c r="U24" s="1560"/>
      <c r="V24" s="1559"/>
      <c r="W24" s="1560"/>
      <c r="X24" s="1553"/>
      <c r="Y24" s="3386"/>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6"/>
      <c r="Q25" s="1558" t="str">
        <f t="shared" ref="Q25:Q46" si="11">B25</f>
        <v>楼层-1</v>
      </c>
      <c r="R25" s="1559" t="s">
        <v>11</v>
      </c>
      <c r="S25" s="1560">
        <f>F25</f>
        <v>100</v>
      </c>
      <c r="T25" s="1559" t="s">
        <v>11</v>
      </c>
      <c r="U25" s="1560">
        <f>H25</f>
        <v>100</v>
      </c>
      <c r="V25" s="1559" t="s">
        <v>11</v>
      </c>
      <c r="W25" s="1560">
        <f>J25</f>
        <v>100</v>
      </c>
      <c r="X25" s="1553"/>
      <c r="Y25" s="3386"/>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6"/>
      <c r="Q26" s="1558" t="str">
        <f t="shared" si="11"/>
        <v>朝向</v>
      </c>
      <c r="R26" s="1559" t="s">
        <v>11</v>
      </c>
      <c r="S26" s="1560">
        <f>F26</f>
        <v>100</v>
      </c>
      <c r="T26" s="1559" t="s">
        <v>11</v>
      </c>
      <c r="U26" s="1560">
        <f>H26</f>
        <v>100</v>
      </c>
      <c r="V26" s="1559" t="s">
        <v>11</v>
      </c>
      <c r="W26" s="1560">
        <f>J26</f>
        <v>100</v>
      </c>
      <c r="X26" s="1553"/>
      <c r="Y26" s="3386"/>
      <c r="Z26" s="1561" t="str">
        <f>Q26</f>
        <v>朝向</v>
      </c>
      <c r="AA26" s="1562">
        <f t="shared" si="3"/>
        <v>1</v>
      </c>
      <c r="AB26" s="1562">
        <f t="shared" si="4"/>
        <v>1</v>
      </c>
      <c r="AC26" s="1562">
        <f t="shared" si="5"/>
        <v>1</v>
      </c>
    </row>
    <row r="27" spans="1:29" s="1215" customFormat="1" ht="15.75"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6"/>
      <c r="Q27" s="1146" t="str">
        <f t="shared" si="11"/>
        <v>道路级别</v>
      </c>
      <c r="R27" s="1554" t="s">
        <v>11</v>
      </c>
      <c r="S27" s="1555">
        <f>F27</f>
        <v>100</v>
      </c>
      <c r="T27" s="1554" t="s">
        <v>11</v>
      </c>
      <c r="U27" s="1555">
        <f>H27</f>
        <v>100</v>
      </c>
      <c r="V27" s="1554" t="s">
        <v>11</v>
      </c>
      <c r="W27" s="1555">
        <f>J27</f>
        <v>100</v>
      </c>
      <c r="X27" s="1556"/>
      <c r="Y27" s="3386"/>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6"/>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6"/>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6"/>
      <c r="Q29" s="1558">
        <f t="shared" si="11"/>
        <v>111</v>
      </c>
      <c r="R29" s="1559" t="s">
        <v>11</v>
      </c>
      <c r="S29" s="1560">
        <f t="shared" si="12"/>
        <v>100</v>
      </c>
      <c r="T29" s="1559" t="s">
        <v>11</v>
      </c>
      <c r="U29" s="1560">
        <f t="shared" si="13"/>
        <v>100</v>
      </c>
      <c r="V29" s="1559" t="s">
        <v>11</v>
      </c>
      <c r="W29" s="1560">
        <f t="shared" si="14"/>
        <v>100</v>
      </c>
      <c r="X29" s="1553"/>
      <c r="Y29" s="3386"/>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6"/>
      <c r="Q30" s="1558">
        <f t="shared" si="11"/>
        <v>111</v>
      </c>
      <c r="R30" s="1559" t="s">
        <v>11</v>
      </c>
      <c r="S30" s="1560">
        <f t="shared" si="12"/>
        <v>100</v>
      </c>
      <c r="T30" s="1559" t="s">
        <v>11</v>
      </c>
      <c r="U30" s="1560">
        <f t="shared" si="13"/>
        <v>100</v>
      </c>
      <c r="V30" s="1559" t="s">
        <v>11</v>
      </c>
      <c r="W30" s="1560">
        <f t="shared" si="14"/>
        <v>100</v>
      </c>
      <c r="X30" s="1553"/>
      <c r="Y30" s="3386"/>
      <c r="Z30" s="1561">
        <f t="shared" si="15"/>
        <v>111</v>
      </c>
      <c r="AA30" s="1562">
        <f t="shared" si="3"/>
        <v>1</v>
      </c>
      <c r="AB30" s="1562">
        <f t="shared" si="4"/>
        <v>1</v>
      </c>
      <c r="AC30" s="156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6"/>
      <c r="Q31" s="1558">
        <f t="shared" si="11"/>
        <v>111</v>
      </c>
      <c r="R31" s="1559" t="s">
        <v>11</v>
      </c>
      <c r="S31" s="1560">
        <f t="shared" si="12"/>
        <v>100</v>
      </c>
      <c r="T31" s="1559" t="s">
        <v>11</v>
      </c>
      <c r="U31" s="1560">
        <f t="shared" si="13"/>
        <v>100</v>
      </c>
      <c r="V31" s="1559" t="s">
        <v>11</v>
      </c>
      <c r="W31" s="1560">
        <f t="shared" si="14"/>
        <v>100</v>
      </c>
      <c r="X31" s="1553"/>
      <c r="Y31" s="3386"/>
      <c r="Z31" s="1561">
        <f t="shared" si="15"/>
        <v>111</v>
      </c>
      <c r="AA31" s="1562">
        <f t="shared" si="3"/>
        <v>1</v>
      </c>
      <c r="AB31" s="1562">
        <f t="shared" si="4"/>
        <v>1</v>
      </c>
      <c r="AC31" s="1562">
        <f t="shared" si="5"/>
        <v>1</v>
      </c>
    </row>
    <row r="32" spans="1:29" ht="15">
      <c r="A32" s="2861" t="s">
        <v>2754</v>
      </c>
      <c r="B32" s="172" t="s">
        <v>725</v>
      </c>
      <c r="C32" s="878" t="s">
        <v>2986</v>
      </c>
      <c r="D32" s="597">
        <v>100</v>
      </c>
      <c r="E32" s="878" t="s">
        <v>3145</v>
      </c>
      <c r="F32" s="575">
        <f>SUMIF(100:100,E32,101:101)-SUMIF(100:100,C32,101:101)+100</f>
        <v>115</v>
      </c>
      <c r="G32" s="878" t="s">
        <v>2986</v>
      </c>
      <c r="H32" s="597">
        <f>SUMIF(100:100,G32,101:101)-SUMIF(100:100,C32,101:101)+100</f>
        <v>100</v>
      </c>
      <c r="I32" s="878" t="s">
        <v>3145</v>
      </c>
      <c r="J32" s="540">
        <f>SUMIF(100:100,I32,101:101)-SUMIF(100:100,C32,101:101)+100</f>
        <v>115</v>
      </c>
      <c r="K32" s="864">
        <v>5</v>
      </c>
      <c r="L32" s="2127"/>
      <c r="M32" s="2119"/>
      <c r="N32" s="2119"/>
      <c r="O32" s="2126"/>
      <c r="P32" s="3387" t="s">
        <v>550</v>
      </c>
      <c r="Q32" s="1558" t="str">
        <f t="shared" si="11"/>
        <v>建筑类型</v>
      </c>
      <c r="R32" s="1559" t="s">
        <v>11</v>
      </c>
      <c r="S32" s="1560">
        <f t="shared" si="12"/>
        <v>115</v>
      </c>
      <c r="T32" s="1559" t="s">
        <v>11</v>
      </c>
      <c r="U32" s="1560">
        <f t="shared" si="13"/>
        <v>100</v>
      </c>
      <c r="V32" s="1559" t="s">
        <v>11</v>
      </c>
      <c r="W32" s="1560">
        <f t="shared" si="14"/>
        <v>115</v>
      </c>
      <c r="X32" s="1553"/>
      <c r="Y32" s="3388" t="s">
        <v>550</v>
      </c>
      <c r="Z32" s="1561" t="str">
        <f t="shared" si="15"/>
        <v>建筑类型</v>
      </c>
      <c r="AA32" s="1562">
        <f t="shared" si="3"/>
        <v>0.86956521739130432</v>
      </c>
      <c r="AB32" s="1562">
        <f t="shared" si="4"/>
        <v>1</v>
      </c>
      <c r="AC32" s="1562">
        <f t="shared" si="5"/>
        <v>0.86956521739130432</v>
      </c>
    </row>
    <row r="33" spans="1:29" s="1334" customFormat="1" ht="15">
      <c r="A33" s="603"/>
      <c r="B33" s="527" t="s">
        <v>726</v>
      </c>
      <c r="C33" s="879">
        <f>'数据-基础表'!I13</f>
        <v>132427.66</v>
      </c>
      <c r="D33" s="255">
        <v>100</v>
      </c>
      <c r="E33" s="534">
        <v>43736</v>
      </c>
      <c r="F33" s="863">
        <f>LOOKUP(E33,103:103,104:104)-LOOKUP(C33,103:103,104:104)+100</f>
        <v>98</v>
      </c>
      <c r="G33" s="533">
        <v>171253</v>
      </c>
      <c r="H33" s="255">
        <f>LOOKUP(G33,103:103,104:104)-LOOKUP(C33,103:103,104:104)+100</f>
        <v>101</v>
      </c>
      <c r="I33" s="534">
        <v>100000</v>
      </c>
      <c r="J33" s="255">
        <f>LOOKUP(I33,103:103,104:104)-LOOKUP(C33,103:103,104:104)+100</f>
        <v>99</v>
      </c>
      <c r="K33" s="865"/>
      <c r="L33" s="2125"/>
      <c r="M33" s="2156"/>
      <c r="N33" s="2156"/>
      <c r="O33" s="2128"/>
      <c r="P33" s="3388"/>
      <c r="Q33" s="1590" t="str">
        <f t="shared" si="11"/>
        <v>项目建筑规模</v>
      </c>
      <c r="R33" s="1563" t="s">
        <v>11</v>
      </c>
      <c r="S33" s="1564">
        <f t="shared" si="12"/>
        <v>98</v>
      </c>
      <c r="T33" s="1563" t="s">
        <v>11</v>
      </c>
      <c r="U33" s="1564">
        <f t="shared" si="13"/>
        <v>101</v>
      </c>
      <c r="V33" s="1563" t="s">
        <v>11</v>
      </c>
      <c r="W33" s="1564">
        <f t="shared" si="14"/>
        <v>99</v>
      </c>
      <c r="X33" s="1565"/>
      <c r="Y33" s="3388"/>
      <c r="Z33" s="1566" t="str">
        <f t="shared" si="15"/>
        <v>项目建筑规模</v>
      </c>
      <c r="AA33" s="1562">
        <f t="shared" si="3"/>
        <v>1.0204081632653061</v>
      </c>
      <c r="AB33" s="1562">
        <f t="shared" si="4"/>
        <v>0.99009900990099009</v>
      </c>
      <c r="AC33" s="1562">
        <f t="shared" si="5"/>
        <v>1.0101010101010102</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1</v>
      </c>
      <c r="L34" s="2127"/>
      <c r="M34" s="2119"/>
      <c r="N34" s="2119"/>
      <c r="O34" s="2126"/>
      <c r="P34" s="3388"/>
      <c r="Q34" s="1558" t="str">
        <f t="shared" si="11"/>
        <v>建筑结构</v>
      </c>
      <c r="R34" s="1559" t="s">
        <v>11</v>
      </c>
      <c r="S34" s="1560">
        <f t="shared" si="12"/>
        <v>100</v>
      </c>
      <c r="T34" s="1559" t="s">
        <v>11</v>
      </c>
      <c r="U34" s="1560">
        <f t="shared" si="13"/>
        <v>100</v>
      </c>
      <c r="V34" s="1559" t="s">
        <v>11</v>
      </c>
      <c r="W34" s="1560">
        <f t="shared" si="14"/>
        <v>100</v>
      </c>
      <c r="X34" s="1553"/>
      <c r="Y34" s="3388"/>
      <c r="Z34" s="1561" t="str">
        <f t="shared" si="15"/>
        <v>建筑结构</v>
      </c>
      <c r="AA34" s="1562">
        <f t="shared" si="3"/>
        <v>1</v>
      </c>
      <c r="AB34" s="1562">
        <f t="shared" si="4"/>
        <v>1</v>
      </c>
      <c r="AC34" s="1562">
        <f t="shared" si="5"/>
        <v>1</v>
      </c>
    </row>
    <row r="35" spans="1:29" ht="15">
      <c r="A35" s="594"/>
      <c r="B35" s="527" t="s">
        <v>728</v>
      </c>
      <c r="C35" s="599" t="s">
        <v>3131</v>
      </c>
      <c r="D35" s="540">
        <v>100</v>
      </c>
      <c r="E35" s="599" t="s">
        <v>3131</v>
      </c>
      <c r="F35" s="575">
        <f>SUMIF(107:107,E35,108:108)-SUMIF(107:107,C35,108:108)+100</f>
        <v>100</v>
      </c>
      <c r="G35" s="599" t="s">
        <v>3131</v>
      </c>
      <c r="H35" s="540">
        <f>SUMIF(107:107,G35,108:108)-SUMIF(107:107,C35,108:108)+100</f>
        <v>100</v>
      </c>
      <c r="I35" s="599" t="s">
        <v>3131</v>
      </c>
      <c r="J35" s="540">
        <f>SUMIF(107:107,I35,108:108)-SUMIF(107:107,C35,108:108)+100</f>
        <v>100</v>
      </c>
      <c r="K35" s="864">
        <v>1</v>
      </c>
      <c r="L35" s="2127"/>
      <c r="M35" s="2119"/>
      <c r="N35" s="2119"/>
      <c r="O35" s="2126"/>
      <c r="P35" s="3388"/>
      <c r="Q35" s="1558" t="str">
        <f t="shared" si="11"/>
        <v>建筑品质</v>
      </c>
      <c r="R35" s="1559" t="s">
        <v>11</v>
      </c>
      <c r="S35" s="1560">
        <f t="shared" si="12"/>
        <v>100</v>
      </c>
      <c r="T35" s="1559" t="s">
        <v>11</v>
      </c>
      <c r="U35" s="1560">
        <f t="shared" si="13"/>
        <v>100</v>
      </c>
      <c r="V35" s="1559" t="s">
        <v>11</v>
      </c>
      <c r="W35" s="1560">
        <f t="shared" si="14"/>
        <v>100</v>
      </c>
      <c r="X35" s="1553"/>
      <c r="Y35" s="3388"/>
      <c r="Z35" s="1561" t="str">
        <f t="shared" si="15"/>
        <v>建筑品质</v>
      </c>
      <c r="AA35" s="1562">
        <f t="shared" si="3"/>
        <v>1</v>
      </c>
      <c r="AB35" s="1562">
        <f t="shared" si="4"/>
        <v>1</v>
      </c>
      <c r="AC35" s="1562">
        <f t="shared" si="5"/>
        <v>1</v>
      </c>
    </row>
    <row r="36" spans="1:29" ht="15">
      <c r="A36" s="594"/>
      <c r="B36" s="527" t="s">
        <v>729</v>
      </c>
      <c r="C36" s="599" t="s">
        <v>3133</v>
      </c>
      <c r="D36" s="540">
        <v>100</v>
      </c>
      <c r="E36" s="599" t="s">
        <v>3133</v>
      </c>
      <c r="F36" s="575">
        <f>SUMIF(109:109,E36,110:110)-SUMIF(109:109,C36,110:110)+100</f>
        <v>100</v>
      </c>
      <c r="G36" s="599" t="s">
        <v>3133</v>
      </c>
      <c r="H36" s="540">
        <f>SUMIF(109:109,G36,110:110)-SUMIF(109:109,C36,110:110)+100</f>
        <v>100</v>
      </c>
      <c r="I36" s="599" t="s">
        <v>3133</v>
      </c>
      <c r="J36" s="540">
        <f>SUMIF(109:109,I36,110:110)-SUMIF(109:109,C36,110:110)+100</f>
        <v>100</v>
      </c>
      <c r="K36" s="864">
        <v>1</v>
      </c>
      <c r="L36" s="2127"/>
      <c r="M36" s="2119"/>
      <c r="N36" s="2119"/>
      <c r="O36" s="2126"/>
      <c r="P36" s="3388"/>
      <c r="Q36" s="1558" t="str">
        <f t="shared" si="11"/>
        <v>公共部分装修</v>
      </c>
      <c r="R36" s="1559" t="s">
        <v>11</v>
      </c>
      <c r="S36" s="1560">
        <f t="shared" si="12"/>
        <v>100</v>
      </c>
      <c r="T36" s="1559" t="s">
        <v>11</v>
      </c>
      <c r="U36" s="1560">
        <f t="shared" si="13"/>
        <v>100</v>
      </c>
      <c r="V36" s="1559" t="s">
        <v>11</v>
      </c>
      <c r="W36" s="1560">
        <f t="shared" si="14"/>
        <v>100</v>
      </c>
      <c r="X36" s="1553"/>
      <c r="Y36" s="3388"/>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20"/>
      <c r="M37" s="2121"/>
      <c r="N37" s="2121"/>
      <c r="O37" s="2122"/>
      <c r="P37" s="3388"/>
      <c r="Q37" s="1146" t="str">
        <f t="shared" si="11"/>
        <v>成新度</v>
      </c>
      <c r="R37" s="1554" t="s">
        <v>11</v>
      </c>
      <c r="S37" s="1555">
        <f t="shared" si="12"/>
        <v>100</v>
      </c>
      <c r="T37" s="1554" t="s">
        <v>11</v>
      </c>
      <c r="U37" s="1555">
        <f t="shared" si="13"/>
        <v>100</v>
      </c>
      <c r="V37" s="1554" t="s">
        <v>11</v>
      </c>
      <c r="W37" s="1555">
        <f t="shared" si="14"/>
        <v>100</v>
      </c>
      <c r="X37" s="1556"/>
      <c r="Y37" s="3388"/>
      <c r="Z37" s="1145" t="str">
        <f t="shared" si="15"/>
        <v>成新度</v>
      </c>
      <c r="AA37" s="1557">
        <f t="shared" si="3"/>
        <v>1</v>
      </c>
      <c r="AB37" s="1557">
        <f t="shared" si="4"/>
        <v>1</v>
      </c>
      <c r="AC37" s="1557">
        <f t="shared" si="5"/>
        <v>1</v>
      </c>
    </row>
    <row r="38" spans="1:29" ht="15">
      <c r="A38" s="594"/>
      <c r="B38" s="527" t="s">
        <v>731</v>
      </c>
      <c r="C38" s="599" t="s">
        <v>3135</v>
      </c>
      <c r="D38" s="540">
        <v>100</v>
      </c>
      <c r="E38" s="599" t="s">
        <v>3135</v>
      </c>
      <c r="F38" s="575">
        <f>SUMIF(114:114,E38,115:115)-SUMIF(114:114,C38,115:115)+100</f>
        <v>100</v>
      </c>
      <c r="G38" s="599" t="s">
        <v>3135</v>
      </c>
      <c r="H38" s="540">
        <f>SUMIF(114:114,G38,115:115)-SUMIF(114:114,C38,115:115)+100</f>
        <v>100</v>
      </c>
      <c r="I38" s="599" t="s">
        <v>3135</v>
      </c>
      <c r="J38" s="540">
        <f>SUMIF(114:114,I38,115:115)-SUMIF(114:114,C38,115:115)+100</f>
        <v>100</v>
      </c>
      <c r="K38" s="864">
        <v>1</v>
      </c>
      <c r="L38" s="2127"/>
      <c r="M38" s="2119"/>
      <c r="N38" s="2119"/>
      <c r="O38" s="2126"/>
      <c r="P38" s="3388" t="s">
        <v>550</v>
      </c>
      <c r="Q38" s="1558" t="str">
        <f t="shared" si="11"/>
        <v>物业管理</v>
      </c>
      <c r="R38" s="1559" t="s">
        <v>11</v>
      </c>
      <c r="S38" s="1560">
        <f t="shared" si="12"/>
        <v>100</v>
      </c>
      <c r="T38" s="1559" t="s">
        <v>11</v>
      </c>
      <c r="U38" s="1560">
        <f t="shared" si="13"/>
        <v>100</v>
      </c>
      <c r="V38" s="1559" t="s">
        <v>11</v>
      </c>
      <c r="W38" s="1560">
        <f t="shared" si="14"/>
        <v>100</v>
      </c>
      <c r="X38" s="1553"/>
      <c r="Y38" s="3388" t="s">
        <v>550</v>
      </c>
      <c r="Z38" s="1561" t="str">
        <f t="shared" si="15"/>
        <v>物业管理</v>
      </c>
      <c r="AA38" s="1562">
        <f t="shared" si="3"/>
        <v>1</v>
      </c>
      <c r="AB38" s="1562">
        <f t="shared" si="4"/>
        <v>1</v>
      </c>
      <c r="AC38" s="1562">
        <f t="shared" si="5"/>
        <v>1</v>
      </c>
    </row>
    <row r="39" spans="1:29" ht="15">
      <c r="A39" s="594"/>
      <c r="B39" s="1880" t="s">
        <v>2563</v>
      </c>
      <c r="C39" s="599" t="s">
        <v>3137</v>
      </c>
      <c r="D39" s="540">
        <v>100</v>
      </c>
      <c r="E39" s="599" t="s">
        <v>3137</v>
      </c>
      <c r="F39" s="575">
        <f>SUMIF(116:116,E39,117:117)-SUMIF(116:116,C39,117:117)+100</f>
        <v>100</v>
      </c>
      <c r="G39" s="599" t="s">
        <v>3137</v>
      </c>
      <c r="H39" s="540">
        <f>SUMIF(116:116,G39,117:117)-SUMIF(116:116,C39,117:117)+100</f>
        <v>100</v>
      </c>
      <c r="I39" s="599" t="s">
        <v>3137</v>
      </c>
      <c r="J39" s="540">
        <f>SUMIF(116:116,I39,117:117)-SUMIF(116:116,C39,117:117)+100</f>
        <v>100</v>
      </c>
      <c r="K39" s="864">
        <v>1</v>
      </c>
      <c r="L39" s="2127"/>
      <c r="M39" s="2119"/>
      <c r="N39" s="2119"/>
      <c r="O39" s="2126"/>
      <c r="P39" s="3388"/>
      <c r="Q39" s="1558" t="str">
        <f t="shared" si="11"/>
        <v>市政基础设施</v>
      </c>
      <c r="R39" s="1559" t="s">
        <v>11</v>
      </c>
      <c r="S39" s="1560">
        <f t="shared" si="12"/>
        <v>100</v>
      </c>
      <c r="T39" s="1559" t="s">
        <v>11</v>
      </c>
      <c r="U39" s="1560">
        <f t="shared" si="13"/>
        <v>100</v>
      </c>
      <c r="V39" s="1559" t="s">
        <v>11</v>
      </c>
      <c r="W39" s="1560">
        <f t="shared" si="14"/>
        <v>100</v>
      </c>
      <c r="X39" s="1553"/>
      <c r="Y39" s="3388"/>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388"/>
      <c r="Q40" s="1558" t="str">
        <f t="shared" si="11"/>
        <v>房型</v>
      </c>
      <c r="R40" s="1559" t="s">
        <v>11</v>
      </c>
      <c r="S40" s="1560">
        <f t="shared" si="12"/>
        <v>100</v>
      </c>
      <c r="T40" s="1559" t="s">
        <v>11</v>
      </c>
      <c r="U40" s="1560">
        <f t="shared" si="13"/>
        <v>100</v>
      </c>
      <c r="V40" s="1559" t="s">
        <v>11</v>
      </c>
      <c r="W40" s="1560">
        <f t="shared" si="14"/>
        <v>100</v>
      </c>
      <c r="X40" s="1553"/>
      <c r="Y40" s="3388"/>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8"/>
      <c r="Q41" s="1590" t="str">
        <f t="shared" si="11"/>
        <v>单套/主力户型建筑面积</v>
      </c>
      <c r="R41" s="1563" t="s">
        <v>11</v>
      </c>
      <c r="S41" s="1564">
        <f t="shared" si="12"/>
        <v>100</v>
      </c>
      <c r="T41" s="1563" t="s">
        <v>11</v>
      </c>
      <c r="U41" s="1564">
        <f t="shared" si="13"/>
        <v>100</v>
      </c>
      <c r="V41" s="1563" t="s">
        <v>11</v>
      </c>
      <c r="W41" s="1564">
        <f t="shared" si="14"/>
        <v>100</v>
      </c>
      <c r="X41" s="1565"/>
      <c r="Y41" s="3388"/>
      <c r="Z41" s="1566" t="str">
        <f t="shared" si="15"/>
        <v>单套/主力户型建筑面积</v>
      </c>
      <c r="AA41" s="1562">
        <f t="shared" si="3"/>
        <v>1</v>
      </c>
      <c r="AB41" s="1562">
        <f t="shared" si="4"/>
        <v>1</v>
      </c>
      <c r="AC41" s="1562">
        <f t="shared" si="5"/>
        <v>1</v>
      </c>
    </row>
    <row r="42" spans="1:29" ht="15">
      <c r="A42" s="594"/>
      <c r="B42" s="527" t="s">
        <v>734</v>
      </c>
      <c r="C42" s="599" t="s">
        <v>3139</v>
      </c>
      <c r="D42" s="540">
        <v>100</v>
      </c>
      <c r="E42" s="599" t="s">
        <v>3139</v>
      </c>
      <c r="F42" s="575">
        <f>SUMIF(122:122,E42,123:123)-SUMIF(122:122,C42,123:123)+100</f>
        <v>100</v>
      </c>
      <c r="G42" s="599" t="s">
        <v>3139</v>
      </c>
      <c r="H42" s="540">
        <f>SUMIF(122:122,G42,123:123)-SUMIF(122:122,C42,123:123)+100</f>
        <v>100</v>
      </c>
      <c r="I42" s="599" t="s">
        <v>3139</v>
      </c>
      <c r="J42" s="540">
        <f>SUMIF(122:122,I42,123:123)-SUMIF(122:122,C42,123:123)+100</f>
        <v>100</v>
      </c>
      <c r="K42" s="864">
        <v>2</v>
      </c>
      <c r="L42" s="2127"/>
      <c r="M42" s="2119"/>
      <c r="N42" s="2119"/>
      <c r="O42" s="2126"/>
      <c r="P42" s="3388"/>
      <c r="Q42" s="1558" t="str">
        <f t="shared" si="11"/>
        <v>内部装修</v>
      </c>
      <c r="R42" s="1559" t="s">
        <v>11</v>
      </c>
      <c r="S42" s="1560">
        <f t="shared" si="12"/>
        <v>100</v>
      </c>
      <c r="T42" s="1559" t="s">
        <v>11</v>
      </c>
      <c r="U42" s="1560">
        <f t="shared" si="13"/>
        <v>100</v>
      </c>
      <c r="V42" s="1559" t="s">
        <v>11</v>
      </c>
      <c r="W42" s="1560">
        <f t="shared" si="14"/>
        <v>100</v>
      </c>
      <c r="X42" s="1553"/>
      <c r="Y42" s="3388"/>
      <c r="Z42" s="1561" t="str">
        <f t="shared" si="15"/>
        <v>内部装修</v>
      </c>
      <c r="AA42" s="1562">
        <f t="shared" si="3"/>
        <v>1</v>
      </c>
      <c r="AB42" s="1562">
        <f t="shared" si="4"/>
        <v>1</v>
      </c>
      <c r="AC42" s="1562">
        <f t="shared" si="5"/>
        <v>1</v>
      </c>
    </row>
    <row r="43" spans="1:29" ht="27">
      <c r="A43" s="594"/>
      <c r="B43" s="527" t="s">
        <v>735</v>
      </c>
      <c r="C43" s="599" t="s">
        <v>3112</v>
      </c>
      <c r="D43" s="540">
        <v>100</v>
      </c>
      <c r="E43" s="599" t="s">
        <v>3112</v>
      </c>
      <c r="F43" s="575">
        <f>SUMIF(124:124,E43,125:125)-SUMIF(124:124,C43,125:125)+100</f>
        <v>100</v>
      </c>
      <c r="G43" s="599" t="s">
        <v>3112</v>
      </c>
      <c r="H43" s="540">
        <f>SUMIF(124:124,G43,125:125)-SUMIF(124:124,C43,125:125)+100</f>
        <v>100</v>
      </c>
      <c r="I43" s="599" t="s">
        <v>3112</v>
      </c>
      <c r="J43" s="540">
        <f>SUMIF(124:124,I43,125:125)-SUMIF(124:124,C43,125:125)+100</f>
        <v>100</v>
      </c>
      <c r="K43" s="864">
        <v>1</v>
      </c>
      <c r="L43" s="2127"/>
      <c r="M43" s="2119"/>
      <c r="N43" s="2119"/>
      <c r="O43" s="2126"/>
      <c r="P43" s="3388"/>
      <c r="Q43" s="1558" t="str">
        <f t="shared" si="11"/>
        <v>内部装修维护情况</v>
      </c>
      <c r="R43" s="1559" t="s">
        <v>11</v>
      </c>
      <c r="S43" s="1560">
        <f t="shared" si="12"/>
        <v>100</v>
      </c>
      <c r="T43" s="1559" t="s">
        <v>11</v>
      </c>
      <c r="U43" s="1560">
        <f t="shared" si="13"/>
        <v>100</v>
      </c>
      <c r="V43" s="1559" t="s">
        <v>11</v>
      </c>
      <c r="W43" s="1560">
        <f t="shared" si="14"/>
        <v>100</v>
      </c>
      <c r="X43" s="1553"/>
      <c r="Y43" s="3388"/>
      <c r="Z43" s="1561" t="str">
        <f t="shared" si="15"/>
        <v>内部装修维护情况</v>
      </c>
      <c r="AA43" s="1562">
        <f t="shared" si="3"/>
        <v>1</v>
      </c>
      <c r="AB43" s="1562">
        <f t="shared" si="4"/>
        <v>1</v>
      </c>
      <c r="AC43" s="1562">
        <f t="shared" si="5"/>
        <v>1</v>
      </c>
    </row>
    <row r="44" spans="1:29" s="1215" customFormat="1" ht="15">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388"/>
      <c r="Q44" s="1146">
        <f t="shared" si="11"/>
        <v>0</v>
      </c>
      <c r="R44" s="1554" t="s">
        <v>11</v>
      </c>
      <c r="S44" s="1555">
        <f t="shared" si="12"/>
        <v>100</v>
      </c>
      <c r="T44" s="1554" t="s">
        <v>11</v>
      </c>
      <c r="U44" s="1555">
        <f t="shared" si="13"/>
        <v>100</v>
      </c>
      <c r="V44" s="1554" t="s">
        <v>11</v>
      </c>
      <c r="W44" s="1555">
        <f t="shared" si="14"/>
        <v>100</v>
      </c>
      <c r="X44" s="1556"/>
      <c r="Y44" s="3388"/>
      <c r="Z44" s="1145">
        <f t="shared" si="15"/>
        <v>0</v>
      </c>
      <c r="AA44" s="1557">
        <f t="shared" si="3"/>
        <v>1</v>
      </c>
      <c r="AB44" s="1557">
        <f t="shared" si="4"/>
        <v>1</v>
      </c>
      <c r="AC44" s="1557">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8"/>
      <c r="Q45" s="1558">
        <f t="shared" si="11"/>
        <v>0</v>
      </c>
      <c r="R45" s="1559" t="s">
        <v>11</v>
      </c>
      <c r="S45" s="1560">
        <f t="shared" si="12"/>
        <v>100</v>
      </c>
      <c r="T45" s="1559" t="s">
        <v>11</v>
      </c>
      <c r="U45" s="1560">
        <f t="shared" si="13"/>
        <v>100</v>
      </c>
      <c r="V45" s="1559" t="s">
        <v>11</v>
      </c>
      <c r="W45" s="1560">
        <f t="shared" si="14"/>
        <v>100</v>
      </c>
      <c r="X45" s="1553"/>
      <c r="Y45" s="3388"/>
      <c r="Z45" s="1561">
        <f t="shared" si="15"/>
        <v>0</v>
      </c>
      <c r="AA45" s="1562">
        <f t="shared" si="3"/>
        <v>1</v>
      </c>
      <c r="AB45" s="1562">
        <f t="shared" si="4"/>
        <v>1</v>
      </c>
      <c r="AC45" s="1562">
        <f t="shared" si="5"/>
        <v>1</v>
      </c>
    </row>
    <row r="46" spans="1:29" ht="15.75"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0"/>
      <c r="Q46" s="1558">
        <f t="shared" si="11"/>
        <v>0</v>
      </c>
      <c r="R46" s="1559" t="s">
        <v>10</v>
      </c>
      <c r="S46" s="1560">
        <f t="shared" si="12"/>
        <v>100</v>
      </c>
      <c r="T46" s="1559" t="s">
        <v>10</v>
      </c>
      <c r="U46" s="1560">
        <f t="shared" si="13"/>
        <v>100</v>
      </c>
      <c r="V46" s="1559" t="s">
        <v>10</v>
      </c>
      <c r="W46" s="1560">
        <f t="shared" si="14"/>
        <v>100</v>
      </c>
      <c r="X46" s="1553"/>
      <c r="Y46" s="3490"/>
      <c r="Z46" s="1561">
        <f t="shared" si="15"/>
        <v>0</v>
      </c>
      <c r="AA46" s="1562">
        <f t="shared" si="3"/>
        <v>1</v>
      </c>
      <c r="AB46" s="1562">
        <f t="shared" si="4"/>
        <v>1</v>
      </c>
      <c r="AC46" s="1562">
        <f t="shared" si="5"/>
        <v>1</v>
      </c>
    </row>
    <row r="47" spans="1:29" ht="15">
      <c r="A47" s="607" t="s">
        <v>736</v>
      </c>
      <c r="B47" s="886"/>
      <c r="C47" s="2590" t="s">
        <v>9</v>
      </c>
      <c r="D47" s="2591"/>
      <c r="E47" s="2592">
        <v>118400</v>
      </c>
      <c r="F47" s="2593"/>
      <c r="G47" s="2594">
        <v>103800</v>
      </c>
      <c r="H47" s="2595"/>
      <c r="I47" s="2592">
        <v>130000</v>
      </c>
      <c r="J47" s="2595"/>
      <c r="K47" s="1591"/>
      <c r="L47" s="2129"/>
      <c r="M47" s="2130"/>
      <c r="N47" s="2119"/>
      <c r="O47" s="2130"/>
      <c r="P47" s="3383" t="str">
        <f>A47</f>
        <v>成交单价（元/平方米）</v>
      </c>
      <c r="Q47" s="3383"/>
      <c r="R47" s="3489">
        <f>E47</f>
        <v>118400</v>
      </c>
      <c r="S47" s="3489"/>
      <c r="T47" s="3489">
        <f>G47</f>
        <v>103800</v>
      </c>
      <c r="U47" s="3489"/>
      <c r="V47" s="3489">
        <f>I47</f>
        <v>130000</v>
      </c>
      <c r="W47" s="3489"/>
      <c r="X47" s="1545"/>
      <c r="Y47" s="1567"/>
      <c r="Z47" s="1545"/>
      <c r="AA47" s="1545"/>
      <c r="AB47" s="1545"/>
      <c r="AC47" s="1545"/>
    </row>
    <row r="48" spans="1:29" ht="15.75" thickBot="1">
      <c r="A48" s="615" t="s">
        <v>2759</v>
      </c>
      <c r="B48" s="887"/>
      <c r="C48" s="2596">
        <f>R49</f>
        <v>109529</v>
      </c>
      <c r="D48" s="2597"/>
      <c r="E48" s="2598">
        <f>R48</f>
        <v>107202</v>
      </c>
      <c r="F48" s="2598"/>
      <c r="G48" s="2596">
        <f>T48</f>
        <v>104870</v>
      </c>
      <c r="H48" s="2597"/>
      <c r="I48" s="2598">
        <f>V48</f>
        <v>116516</v>
      </c>
      <c r="J48" s="2597"/>
      <c r="K48" s="1592"/>
      <c r="L48" s="2129"/>
      <c r="M48" s="2130"/>
      <c r="N48" s="2130"/>
      <c r="O48" s="2130"/>
      <c r="P48" s="3383" t="str">
        <f>A48</f>
        <v>比较价格（元/平方米）</v>
      </c>
      <c r="Q48" s="3383"/>
      <c r="R48" s="3489">
        <f>IF(F1="售价",ROUND(PRODUCT(R47,AA7:AA46),0),ROUND(PRODUCT(R47,AA7:AA46),1))</f>
        <v>107202</v>
      </c>
      <c r="S48" s="3489"/>
      <c r="T48" s="3489">
        <f>IF(F1="售价",ROUND(PRODUCT(T47,AB7:AB46),0),ROUND(PRODUCT(T47,AB7:AB46),1))</f>
        <v>104870</v>
      </c>
      <c r="U48" s="3489"/>
      <c r="V48" s="3489">
        <f>IF(F1="售价",ROUND(PRODUCT(V47,AC7:AC46),0),ROUND(PRODUCT(V47,AC7:AC46),1))</f>
        <v>116516</v>
      </c>
      <c r="W48" s="3489"/>
      <c r="X48" s="1545"/>
      <c r="Y48" s="1545"/>
      <c r="Z48" s="1545"/>
      <c r="AA48" s="1545"/>
      <c r="AB48" s="1545"/>
      <c r="AC48" s="1545"/>
    </row>
    <row r="49" spans="1:29" ht="15.75" thickBot="1">
      <c r="A49" s="621" t="s">
        <v>2926</v>
      </c>
      <c r="B49" s="622"/>
      <c r="C49" s="2599">
        <f>R49</f>
        <v>109529</v>
      </c>
      <c r="D49" s="2599"/>
      <c r="E49" s="2599"/>
      <c r="F49" s="2599"/>
      <c r="G49" s="2599"/>
      <c r="H49" s="2599"/>
      <c r="I49" s="2599"/>
      <c r="J49" s="2599"/>
      <c r="K49" s="1593"/>
      <c r="L49" s="2129"/>
      <c r="M49" s="2130"/>
      <c r="N49" s="2130"/>
      <c r="O49" s="2130"/>
      <c r="P49" s="3404" t="str">
        <f>A49</f>
        <v>估价对象XX用房的比较价格（楼面单价，元/平方米）</v>
      </c>
      <c r="Q49" s="3405"/>
      <c r="R49" s="3488">
        <f>IF(F1="售价",ROUND(AVERAGE(R48:V48),0),ROUND(AVERAGE(R48:V48),1))</f>
        <v>109529</v>
      </c>
      <c r="S49" s="3488"/>
      <c r="T49" s="3488"/>
      <c r="U49" s="3488"/>
      <c r="V49" s="3488"/>
      <c r="W49" s="3488"/>
      <c r="X49" s="1545"/>
      <c r="Y49" s="1545"/>
      <c r="Z49" s="1545"/>
      <c r="AA49" s="1545"/>
      <c r="AB49" s="1545"/>
      <c r="AC49" s="1545"/>
    </row>
    <row r="50" spans="1:29">
      <c r="A50" s="2130"/>
      <c r="B50" s="2130"/>
      <c r="C50" s="2130"/>
      <c r="D50" s="2130"/>
      <c r="E50" s="2130"/>
      <c r="F50" s="2130"/>
      <c r="G50" s="2133"/>
      <c r="H50" s="2130"/>
      <c r="I50" s="2130">
        <v>2008</v>
      </c>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0.10445700639913436</v>
      </c>
      <c r="F52" s="627" t="str">
        <f>IF(OR(E52&gt;=0.3,E52&lt;=-0.3),"超过30%","")</f>
        <v/>
      </c>
      <c r="G52" s="626">
        <f>IF(G47&lt;G48,G48/G47-1,G47/G48-1)</f>
        <v>1.0308285163776576E-2</v>
      </c>
      <c r="H52" s="627" t="str">
        <f>IF(OR(G52&gt;=0.3,G52&lt;=-0.3),"超过30%","")</f>
        <v/>
      </c>
      <c r="I52" s="626">
        <f>IF(I47&lt;I48,I48/I47-1,I47/I48-1)</f>
        <v>0.11572659548903164</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2.223705540192622E-2</v>
      </c>
      <c r="F53" s="627" t="str">
        <f>IF(OR(E53&gt;=0.2,E53&lt;=-0.2),"超过20%","")</f>
        <v/>
      </c>
      <c r="G53" s="626">
        <f>IF(G48&lt;I48,I48/G48-1,G48/I48-1)</f>
        <v>0.1110517783922953</v>
      </c>
      <c r="H53" s="627" t="str">
        <f>IF(OR(G53&gt;=0.2,G53&lt;=-0.2),"超过20%","")</f>
        <v/>
      </c>
      <c r="I53" s="626">
        <f>IF(I48&lt;E48,E48/I48-1,I48/E48-1)</f>
        <v>8.6882707412175186E-2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0.140655105973025</v>
      </c>
      <c r="F54" s="627" t="str">
        <f>IF(OR(E54&gt;=0.3,E54&lt;=-0.3),"超过30%","")</f>
        <v/>
      </c>
      <c r="G54" s="626">
        <f>IF(G47&lt;I47,I47/G47-1,G47/I47-1)</f>
        <v>0.25240847784200393</v>
      </c>
      <c r="H54" s="627" t="str">
        <f>IF(OR(G54&gt;=0.3,G54&lt;=-0.3),"超过30%","")</f>
        <v/>
      </c>
      <c r="I54" s="626">
        <f>IF(I47&lt;E47,E47/I47-1,I47/E47-1)</f>
        <v>9.7972972972973027E-2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5" t="s">
        <v>3107</v>
      </c>
      <c r="Q58" s="2146"/>
      <c r="R58" s="2146"/>
      <c r="S58" s="2146"/>
      <c r="T58" s="2146"/>
      <c r="U58" s="2146"/>
      <c r="V58" s="2146"/>
      <c r="W58" s="2146"/>
      <c r="X58" s="2146"/>
      <c r="Y58" s="2146"/>
      <c r="Z58" s="2146"/>
      <c r="AA58" s="2146"/>
      <c r="AB58" s="2146"/>
      <c r="AC58" s="2146"/>
    </row>
    <row r="59" spans="1:29" s="1215" customFormat="1" ht="15">
      <c r="A59" s="647"/>
      <c r="B59" s="648"/>
      <c r="C59" s="649">
        <v>100</v>
      </c>
      <c r="D59" s="650">
        <f>C59-0.5</f>
        <v>99.5</v>
      </c>
      <c r="E59" s="650">
        <f t="shared" ref="E59:P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650">
        <f t="shared" si="17"/>
        <v>93.5</v>
      </c>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3200" t="s">
        <v>3179</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9">D68&amp;"（含）"&amp;"-"&amp;E68</f>
        <v>1（含）-2</v>
      </c>
      <c r="E67" s="682" t="str">
        <f t="shared" si="19"/>
        <v>2（含）-3</v>
      </c>
      <c r="F67" s="682" t="str">
        <f t="shared" si="19"/>
        <v>3（含）-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89" t="s">
        <v>3146</v>
      </c>
      <c r="D100" s="3189" t="s">
        <v>3147</v>
      </c>
      <c r="E100" s="3189" t="s">
        <v>3148</v>
      </c>
      <c r="F100" s="3189" t="s">
        <v>3149</v>
      </c>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0(含)-40000</v>
      </c>
      <c r="D102" s="708" t="str">
        <f t="shared" ref="D102:L102" si="24">D103&amp;"(含)"&amp;"-"&amp;E103</f>
        <v>40000(含)-80000</v>
      </c>
      <c r="E102" s="708" t="str">
        <f t="shared" si="24"/>
        <v>80000(含)-120000</v>
      </c>
      <c r="F102" s="708" t="str">
        <f t="shared" si="24"/>
        <v>120000(含)-160000</v>
      </c>
      <c r="G102" s="708" t="str">
        <f t="shared" si="24"/>
        <v>160000(含)-</v>
      </c>
      <c r="H102" s="708" t="str">
        <f t="shared" si="24"/>
        <v>(含)-</v>
      </c>
      <c r="I102" s="708" t="str">
        <f t="shared" si="24"/>
        <v>(含)-</v>
      </c>
      <c r="J102" s="708" t="str">
        <f t="shared" si="24"/>
        <v>(含)-</v>
      </c>
      <c r="K102" s="708" t="str">
        <f t="shared" si="24"/>
        <v>(含)-</v>
      </c>
      <c r="L102" s="708" t="str">
        <f t="shared" si="24"/>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40000</v>
      </c>
      <c r="E103" s="730">
        <v>80000</v>
      </c>
      <c r="F103" s="730">
        <v>120000</v>
      </c>
      <c r="G103" s="730">
        <v>160000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101</v>
      </c>
      <c r="E104" s="692">
        <v>102</v>
      </c>
      <c r="F104" s="671">
        <v>103</v>
      </c>
      <c r="G104" s="692">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95" t="s">
        <v>3130</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4" t="s">
        <v>3132</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6">C108-$K35</f>
        <v>99</v>
      </c>
      <c r="E108" s="679">
        <f t="shared" si="26"/>
        <v>98</v>
      </c>
      <c r="F108" s="679">
        <f t="shared" si="26"/>
        <v>97</v>
      </c>
      <c r="G108" s="679">
        <f t="shared" si="26"/>
        <v>96</v>
      </c>
      <c r="H108" s="679">
        <f t="shared" si="26"/>
        <v>95</v>
      </c>
      <c r="I108" s="679">
        <f t="shared" si="26"/>
        <v>94</v>
      </c>
      <c r="J108" s="679">
        <f t="shared" si="26"/>
        <v>93</v>
      </c>
      <c r="K108" s="679">
        <f t="shared" si="26"/>
        <v>92</v>
      </c>
      <c r="L108" s="679">
        <f t="shared" si="26"/>
        <v>91</v>
      </c>
      <c r="M108" s="679">
        <f t="shared" si="26"/>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95" t="s">
        <v>3134</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7">C110-$K36</f>
        <v>99</v>
      </c>
      <c r="E110" s="679">
        <f t="shared" si="27"/>
        <v>98</v>
      </c>
      <c r="F110" s="679">
        <f t="shared" si="27"/>
        <v>97</v>
      </c>
      <c r="G110" s="679">
        <f t="shared" si="27"/>
        <v>96</v>
      </c>
      <c r="H110" s="679">
        <f t="shared" si="27"/>
        <v>95</v>
      </c>
      <c r="I110" s="679">
        <f t="shared" si="27"/>
        <v>94</v>
      </c>
      <c r="J110" s="679">
        <f t="shared" si="27"/>
        <v>93</v>
      </c>
      <c r="K110" s="679">
        <f t="shared" si="27"/>
        <v>92</v>
      </c>
      <c r="L110" s="679">
        <f t="shared" si="27"/>
        <v>91</v>
      </c>
      <c r="M110" s="679">
        <f t="shared" si="27"/>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95" t="s">
        <v>3136</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8">C115-$K38</f>
        <v>99</v>
      </c>
      <c r="E115" s="679">
        <f t="shared" si="28"/>
        <v>98</v>
      </c>
      <c r="F115" s="679">
        <f t="shared" si="28"/>
        <v>97</v>
      </c>
      <c r="G115" s="679">
        <f t="shared" si="28"/>
        <v>96</v>
      </c>
      <c r="H115" s="679">
        <f t="shared" si="28"/>
        <v>95</v>
      </c>
      <c r="I115" s="679">
        <f t="shared" si="28"/>
        <v>94</v>
      </c>
      <c r="J115" s="679">
        <f t="shared" si="28"/>
        <v>93</v>
      </c>
      <c r="K115" s="679">
        <f t="shared" si="28"/>
        <v>92</v>
      </c>
      <c r="L115" s="679">
        <f t="shared" si="28"/>
        <v>91</v>
      </c>
      <c r="M115" s="679">
        <f t="shared" si="28"/>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3195" t="s">
        <v>3138</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9">C119-$K40</f>
        <v>99</v>
      </c>
      <c r="E119" s="679">
        <f t="shared" si="29"/>
        <v>98</v>
      </c>
      <c r="F119" s="679">
        <f t="shared" si="29"/>
        <v>97</v>
      </c>
      <c r="G119" s="679">
        <f t="shared" si="29"/>
        <v>96</v>
      </c>
      <c r="H119" s="679">
        <f t="shared" si="29"/>
        <v>95</v>
      </c>
      <c r="I119" s="679">
        <f t="shared" si="29"/>
        <v>94</v>
      </c>
      <c r="J119" s="679">
        <f t="shared" si="29"/>
        <v>93</v>
      </c>
      <c r="K119" s="679">
        <f t="shared" si="29"/>
        <v>92</v>
      </c>
      <c r="L119" s="679">
        <f t="shared" si="29"/>
        <v>91</v>
      </c>
      <c r="M119" s="679">
        <f t="shared" si="29"/>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95" t="s">
        <v>3140</v>
      </c>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0</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0</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0</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89" t="s">
        <v>522</v>
      </c>
      <c r="D4" s="3390"/>
      <c r="E4" s="3413" t="s">
        <v>523</v>
      </c>
      <c r="F4" s="3414"/>
      <c r="G4" s="3389" t="s">
        <v>524</v>
      </c>
      <c r="H4" s="3390"/>
      <c r="I4" s="3389" t="s">
        <v>525</v>
      </c>
      <c r="J4" s="3390"/>
      <c r="K4" s="514" t="s">
        <v>526</v>
      </c>
      <c r="L4" s="2118"/>
      <c r="M4" s="2119"/>
      <c r="N4" s="2119"/>
      <c r="O4" s="2119"/>
      <c r="P4" s="3391" t="s">
        <v>527</v>
      </c>
      <c r="Q4" s="3392"/>
      <c r="R4" s="3377" t="s">
        <v>523</v>
      </c>
      <c r="S4" s="3378"/>
      <c r="T4" s="3377" t="s">
        <v>524</v>
      </c>
      <c r="U4" s="3378"/>
      <c r="V4" s="3397" t="s">
        <v>525</v>
      </c>
      <c r="W4" s="3397"/>
      <c r="X4" s="1553"/>
      <c r="Y4" s="3377" t="s">
        <v>527</v>
      </c>
      <c r="Z4" s="3378"/>
      <c r="AA4" s="3372" t="s">
        <v>523</v>
      </c>
      <c r="AB4" s="3397" t="s">
        <v>524</v>
      </c>
      <c r="AC4" s="3372" t="s">
        <v>525</v>
      </c>
    </row>
    <row r="5" spans="1:29" ht="15">
      <c r="A5" s="515"/>
      <c r="B5" s="516"/>
      <c r="C5" s="3400" t="s">
        <v>2920</v>
      </c>
      <c r="D5" s="3401"/>
      <c r="E5" s="3415" t="s">
        <v>2921</v>
      </c>
      <c r="F5" s="3416"/>
      <c r="G5" s="3400" t="s">
        <v>2922</v>
      </c>
      <c r="H5" s="3401"/>
      <c r="I5" s="3400" t="s">
        <v>2923</v>
      </c>
      <c r="J5" s="3401"/>
      <c r="K5" s="514"/>
      <c r="L5" s="2118"/>
      <c r="M5" s="2119"/>
      <c r="N5" s="2119"/>
      <c r="O5" s="2119"/>
      <c r="P5" s="3393"/>
      <c r="Q5" s="3394"/>
      <c r="R5" s="3379"/>
      <c r="S5" s="3380"/>
      <c r="T5" s="3379"/>
      <c r="U5" s="3380"/>
      <c r="V5" s="3397"/>
      <c r="W5" s="3397"/>
      <c r="X5" s="1553"/>
      <c r="Y5" s="3379"/>
      <c r="Z5" s="3380"/>
      <c r="AA5" s="3373"/>
      <c r="AB5" s="3397"/>
      <c r="AC5" s="3373"/>
    </row>
    <row r="6" spans="1:29" ht="15.75" thickBot="1">
      <c r="A6" s="517"/>
      <c r="B6" s="518"/>
      <c r="C6" s="3398" t="s">
        <v>2924</v>
      </c>
      <c r="D6" s="3399"/>
      <c r="E6" s="3417" t="s">
        <v>2924</v>
      </c>
      <c r="F6" s="3418"/>
      <c r="G6" s="3398" t="s">
        <v>2924</v>
      </c>
      <c r="H6" s="3399"/>
      <c r="I6" s="3398" t="s">
        <v>2924</v>
      </c>
      <c r="J6" s="3399"/>
      <c r="K6" s="514" t="s">
        <v>528</v>
      </c>
      <c r="L6" s="2118"/>
      <c r="M6" s="2119"/>
      <c r="N6" s="2119"/>
      <c r="O6" s="2119"/>
      <c r="P6" s="3395"/>
      <c r="Q6" s="3396"/>
      <c r="R6" s="3379"/>
      <c r="S6" s="3380"/>
      <c r="T6" s="3381"/>
      <c r="U6" s="3382"/>
      <c r="V6" s="3397"/>
      <c r="W6" s="3397"/>
      <c r="X6" s="1553"/>
      <c r="Y6" s="3381"/>
      <c r="Z6" s="3382"/>
      <c r="AA6" s="3374"/>
      <c r="AB6" s="3397"/>
      <c r="AC6" s="3374"/>
    </row>
    <row r="7" spans="1:29" s="1215" customFormat="1" ht="15.75" thickBot="1">
      <c r="A7" s="2866"/>
      <c r="B7" s="2873" t="s">
        <v>529</v>
      </c>
      <c r="C7" s="519">
        <f>'数据-取费表'!B2</f>
        <v>43581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5" t="s">
        <v>530</v>
      </c>
      <c r="Q7" s="3384"/>
      <c r="R7" s="1554" t="s">
        <v>8</v>
      </c>
      <c r="S7" s="1555">
        <f t="shared" ref="S7:S15" si="0">F7</f>
        <v>0</v>
      </c>
      <c r="T7" s="1554" t="s">
        <v>8</v>
      </c>
      <c r="U7" s="1555">
        <f t="shared" ref="U7:U15" si="1">H7</f>
        <v>0</v>
      </c>
      <c r="V7" s="1554" t="s">
        <v>8</v>
      </c>
      <c r="W7" s="1555">
        <f t="shared" ref="W7:W15" si="2">J7</f>
        <v>0</v>
      </c>
      <c r="X7" s="1556"/>
      <c r="Y7" s="3375" t="s">
        <v>530</v>
      </c>
      <c r="Z7" s="3376"/>
      <c r="AA7" s="1557" t="e">
        <f>D7/F7</f>
        <v>#DIV/0!</v>
      </c>
      <c r="AB7" s="1557" t="e">
        <f>D7/H7</f>
        <v>#DIV/0!</v>
      </c>
      <c r="AC7" s="1557"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5" t="s">
        <v>533</v>
      </c>
      <c r="Q8" s="3376"/>
      <c r="R8" s="1554" t="s">
        <v>8</v>
      </c>
      <c r="S8" s="1555">
        <f t="shared" si="0"/>
        <v>0</v>
      </c>
      <c r="T8" s="1554" t="s">
        <v>8</v>
      </c>
      <c r="U8" s="1555">
        <f t="shared" si="1"/>
        <v>0</v>
      </c>
      <c r="V8" s="1554" t="s">
        <v>8</v>
      </c>
      <c r="W8" s="1555">
        <f t="shared" si="2"/>
        <v>0</v>
      </c>
      <c r="X8" s="1556"/>
      <c r="Y8" s="3375" t="s">
        <v>533</v>
      </c>
      <c r="Z8" s="3376"/>
      <c r="AA8" s="1557" t="e">
        <f t="shared" ref="AA8:AA46" si="3">D8/F8</f>
        <v>#DIV/0!</v>
      </c>
      <c r="AB8" s="1557" t="e">
        <f t="shared" ref="AB8:AB46" si="4">D8/H8</f>
        <v>#DIV/0!</v>
      </c>
      <c r="AC8" s="1557" t="e">
        <f t="shared" ref="AC8:AC46" si="5">D8/J8</f>
        <v>#DIV/0!</v>
      </c>
    </row>
    <row r="9" spans="1:29" s="1215"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3" t="s">
        <v>535</v>
      </c>
      <c r="Q9" s="1146" t="str">
        <f t="shared" ref="Q9:Q15" si="6">B9</f>
        <v>用途</v>
      </c>
      <c r="R9" s="1554" t="s">
        <v>8</v>
      </c>
      <c r="S9" s="1555">
        <f t="shared" si="0"/>
        <v>100</v>
      </c>
      <c r="T9" s="1554" t="s">
        <v>8</v>
      </c>
      <c r="U9" s="1555">
        <f t="shared" si="1"/>
        <v>100</v>
      </c>
      <c r="V9" s="1554" t="s">
        <v>8</v>
      </c>
      <c r="W9" s="1555">
        <f t="shared" si="2"/>
        <v>100</v>
      </c>
      <c r="X9" s="1556"/>
      <c r="Y9" s="3340"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3"/>
      <c r="Q10" s="1146" t="str">
        <f t="shared" si="6"/>
        <v>土地使用年限（年）</v>
      </c>
      <c r="R10" s="1554" t="s">
        <v>8</v>
      </c>
      <c r="S10" s="1555">
        <f t="shared" si="0"/>
        <v>100</v>
      </c>
      <c r="T10" s="1554" t="s">
        <v>8</v>
      </c>
      <c r="U10" s="1555">
        <f t="shared" si="1"/>
        <v>100</v>
      </c>
      <c r="V10" s="1554" t="s">
        <v>8</v>
      </c>
      <c r="W10" s="1555">
        <f t="shared" si="2"/>
        <v>100</v>
      </c>
      <c r="X10" s="1556"/>
      <c r="Y10" s="3340"/>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3"/>
      <c r="Q11" s="1146" t="str">
        <f t="shared" si="6"/>
        <v>容积率</v>
      </c>
      <c r="R11" s="1554" t="s">
        <v>8</v>
      </c>
      <c r="S11" s="1555" t="e">
        <f t="shared" si="0"/>
        <v>#N/A</v>
      </c>
      <c r="T11" s="1554" t="s">
        <v>8</v>
      </c>
      <c r="U11" s="1555" t="e">
        <f t="shared" si="1"/>
        <v>#N/A</v>
      </c>
      <c r="V11" s="1554" t="s">
        <v>8</v>
      </c>
      <c r="W11" s="1555" t="e">
        <f t="shared" si="2"/>
        <v>#N/A</v>
      </c>
      <c r="X11" s="1556"/>
      <c r="Y11" s="3340"/>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83"/>
      <c r="Q12" s="1146">
        <f t="shared" si="6"/>
        <v>111</v>
      </c>
      <c r="R12" s="1554" t="s">
        <v>8</v>
      </c>
      <c r="S12" s="1555">
        <f t="shared" si="0"/>
        <v>100</v>
      </c>
      <c r="T12" s="1554" t="s">
        <v>8</v>
      </c>
      <c r="U12" s="1555">
        <f t="shared" si="1"/>
        <v>100</v>
      </c>
      <c r="V12" s="1554" t="s">
        <v>8</v>
      </c>
      <c r="W12" s="1555">
        <f t="shared" si="2"/>
        <v>100</v>
      </c>
      <c r="X12" s="1556"/>
      <c r="Y12" s="3340"/>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83"/>
      <c r="Q13" s="1146">
        <f t="shared" si="6"/>
        <v>111</v>
      </c>
      <c r="R13" s="1554" t="s">
        <v>8</v>
      </c>
      <c r="S13" s="1555">
        <f t="shared" si="0"/>
        <v>100</v>
      </c>
      <c r="T13" s="1554" t="s">
        <v>8</v>
      </c>
      <c r="U13" s="1555">
        <f t="shared" si="1"/>
        <v>100</v>
      </c>
      <c r="V13" s="1554" t="s">
        <v>8</v>
      </c>
      <c r="W13" s="1555">
        <f t="shared" si="2"/>
        <v>100</v>
      </c>
      <c r="X13" s="1556"/>
      <c r="Y13" s="3340"/>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83"/>
      <c r="Q14" s="1146">
        <f t="shared" si="6"/>
        <v>111</v>
      </c>
      <c r="R14" s="1554" t="s">
        <v>8</v>
      </c>
      <c r="S14" s="1555">
        <f t="shared" si="0"/>
        <v>100</v>
      </c>
      <c r="T14" s="1554" t="s">
        <v>8</v>
      </c>
      <c r="U14" s="1555">
        <f t="shared" si="1"/>
        <v>100</v>
      </c>
      <c r="V14" s="1554" t="s">
        <v>8</v>
      </c>
      <c r="W14" s="1555">
        <f t="shared" si="2"/>
        <v>100</v>
      </c>
      <c r="X14" s="1556"/>
      <c r="Y14" s="3340"/>
      <c r="Z14" s="1145">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385" t="s">
        <v>540</v>
      </c>
      <c r="Q15" s="1558" t="str">
        <f t="shared" si="6"/>
        <v>商业繁华度</v>
      </c>
      <c r="R15" s="1559" t="s">
        <v>8</v>
      </c>
      <c r="S15" s="1560">
        <f t="shared" si="0"/>
        <v>100</v>
      </c>
      <c r="T15" s="1559" t="s">
        <v>8</v>
      </c>
      <c r="U15" s="1560">
        <f t="shared" si="1"/>
        <v>100</v>
      </c>
      <c r="V15" s="1559" t="s">
        <v>8</v>
      </c>
      <c r="W15" s="1560">
        <f t="shared" si="2"/>
        <v>100</v>
      </c>
      <c r="X15" s="1553"/>
      <c r="Y15" s="3385"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386"/>
      <c r="Q16" s="1558"/>
      <c r="R16" s="1559"/>
      <c r="S16" s="1560"/>
      <c r="T16" s="1559"/>
      <c r="U16" s="1560"/>
      <c r="V16" s="1559"/>
      <c r="W16" s="1560"/>
      <c r="X16" s="1553"/>
      <c r="Y16" s="338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386"/>
      <c r="Q17" s="1558" t="str">
        <f>B17</f>
        <v>交通便捷度</v>
      </c>
      <c r="R17" s="1559" t="s">
        <v>8</v>
      </c>
      <c r="S17" s="1560">
        <f>F17</f>
        <v>100</v>
      </c>
      <c r="T17" s="1559" t="s">
        <v>8</v>
      </c>
      <c r="U17" s="1560">
        <f>H17</f>
        <v>100</v>
      </c>
      <c r="V17" s="1559" t="s">
        <v>8</v>
      </c>
      <c r="W17" s="1560">
        <f>J17</f>
        <v>100</v>
      </c>
      <c r="X17" s="1553"/>
      <c r="Y17" s="338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386"/>
      <c r="Q18" s="1558"/>
      <c r="R18" s="1559"/>
      <c r="S18" s="1560"/>
      <c r="T18" s="1559"/>
      <c r="U18" s="1560"/>
      <c r="V18" s="1559"/>
      <c r="W18" s="1560"/>
      <c r="X18" s="1553"/>
      <c r="Y18" s="3386"/>
      <c r="Z18" s="1561"/>
      <c r="AA18" s="1562">
        <v>1</v>
      </c>
      <c r="AB18" s="1562">
        <v>1</v>
      </c>
      <c r="AC18" s="1562">
        <v>1</v>
      </c>
    </row>
    <row r="19" spans="1:29" ht="42.75">
      <c r="A19" s="532"/>
      <c r="B19" s="2563" t="s">
        <v>2545</v>
      </c>
      <c r="C19" s="872" t="str">
        <f>估价对象房地状况!C7</f>
        <v>估价对象所在区域公共配套设施较齐备</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386"/>
      <c r="Q19" s="1558" t="str">
        <f>B19</f>
        <v>公共配套设施</v>
      </c>
      <c r="R19" s="1559" t="s">
        <v>8</v>
      </c>
      <c r="S19" s="1560">
        <f>F19</f>
        <v>100</v>
      </c>
      <c r="T19" s="1559" t="s">
        <v>8</v>
      </c>
      <c r="U19" s="1560">
        <f>H19</f>
        <v>100</v>
      </c>
      <c r="V19" s="1559" t="s">
        <v>8</v>
      </c>
      <c r="W19" s="1560">
        <f>J19</f>
        <v>100</v>
      </c>
      <c r="X19" s="1553"/>
      <c r="Y19" s="338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386"/>
      <c r="Q20" s="1558"/>
      <c r="R20" s="1559"/>
      <c r="S20" s="1560"/>
      <c r="T20" s="1559"/>
      <c r="U20" s="1560"/>
      <c r="V20" s="1559"/>
      <c r="W20" s="1560"/>
      <c r="X20" s="1553"/>
      <c r="Y20" s="3386"/>
      <c r="Z20" s="1561"/>
      <c r="AA20" s="1562">
        <v>1</v>
      </c>
      <c r="AB20" s="1562">
        <v>1</v>
      </c>
      <c r="AC20" s="1562">
        <v>1</v>
      </c>
    </row>
    <row r="21" spans="1:29" ht="42.75">
      <c r="A21" s="532"/>
      <c r="B21" s="2556" t="s">
        <v>2557</v>
      </c>
      <c r="C21" s="872" t="str">
        <f>估价对象房地状况!C8</f>
        <v>估价对象所在区域基础设施水平较高</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386"/>
      <c r="Q21" s="2542" t="str">
        <f>B21</f>
        <v>基础设施水平</v>
      </c>
      <c r="R21" s="1559" t="s">
        <v>8</v>
      </c>
      <c r="S21" s="1560">
        <f>F21</f>
        <v>100</v>
      </c>
      <c r="T21" s="1559" t="s">
        <v>8</v>
      </c>
      <c r="U21" s="1560">
        <f>H21</f>
        <v>100</v>
      </c>
      <c r="V21" s="1559" t="s">
        <v>8</v>
      </c>
      <c r="W21" s="1560">
        <f>J21</f>
        <v>100</v>
      </c>
      <c r="X21" s="2544"/>
      <c r="Y21" s="3386"/>
      <c r="Z21" s="2543"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5"/>
      <c r="L22" s="2127"/>
      <c r="M22" s="2119"/>
      <c r="N22" s="2119"/>
      <c r="O22" s="2126"/>
      <c r="P22" s="3386"/>
      <c r="Q22" s="2542"/>
      <c r="R22" s="1559"/>
      <c r="S22" s="1560"/>
      <c r="T22" s="1559"/>
      <c r="U22" s="1560"/>
      <c r="V22" s="1559"/>
      <c r="W22" s="1560"/>
      <c r="X22" s="2544"/>
      <c r="Y22" s="3386"/>
      <c r="Z22" s="2543"/>
      <c r="AA22" s="1562">
        <v>1</v>
      </c>
      <c r="AB22" s="1562">
        <v>1</v>
      </c>
      <c r="AC22" s="1562">
        <v>1</v>
      </c>
    </row>
    <row r="23" spans="1:29" ht="57">
      <c r="A23" s="532"/>
      <c r="B23" s="871" t="s">
        <v>297</v>
      </c>
      <c r="C23" s="899" t="str">
        <f>估价对象房地状况!C9</f>
        <v>区域自然环境较好；人文环境一般；综合评价环境状况较好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386"/>
      <c r="Q23" s="1558" t="str">
        <f>B23</f>
        <v>自然及人文环境</v>
      </c>
      <c r="R23" s="1559" t="s">
        <v>8</v>
      </c>
      <c r="S23" s="1560">
        <f>F23</f>
        <v>100</v>
      </c>
      <c r="T23" s="1559" t="s">
        <v>8</v>
      </c>
      <c r="U23" s="1560">
        <f>H23</f>
        <v>100</v>
      </c>
      <c r="V23" s="1559" t="s">
        <v>8</v>
      </c>
      <c r="W23" s="1560">
        <f>J23</f>
        <v>100</v>
      </c>
      <c r="X23" s="1553"/>
      <c r="Y23" s="338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386"/>
      <c r="Q24" s="1558"/>
      <c r="R24" s="1559"/>
      <c r="S24" s="1560"/>
      <c r="T24" s="1559"/>
      <c r="U24" s="1560"/>
      <c r="V24" s="1559"/>
      <c r="W24" s="1560"/>
      <c r="X24" s="1553"/>
      <c r="Y24" s="3386"/>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6"/>
      <c r="Q25" s="1558" t="str">
        <f t="shared" ref="Q25:Q46" si="11">B25</f>
        <v>临街状况</v>
      </c>
      <c r="R25" s="1559" t="s">
        <v>8</v>
      </c>
      <c r="S25" s="1560">
        <f>F25</f>
        <v>100</v>
      </c>
      <c r="T25" s="1559" t="s">
        <v>8</v>
      </c>
      <c r="U25" s="1560">
        <f>H25</f>
        <v>100</v>
      </c>
      <c r="V25" s="1559" t="s">
        <v>8</v>
      </c>
      <c r="W25" s="1560">
        <f>J25</f>
        <v>100</v>
      </c>
      <c r="X25" s="1553"/>
      <c r="Y25" s="3386"/>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6"/>
      <c r="Q26" s="1558" t="str">
        <f t="shared" si="11"/>
        <v>平面位置/可视性</v>
      </c>
      <c r="R26" s="1559" t="s">
        <v>8</v>
      </c>
      <c r="S26" s="1560">
        <f>F26</f>
        <v>100</v>
      </c>
      <c r="T26" s="1559" t="s">
        <v>8</v>
      </c>
      <c r="U26" s="1560">
        <f>H26</f>
        <v>100</v>
      </c>
      <c r="V26" s="1559" t="s">
        <v>8</v>
      </c>
      <c r="W26" s="1560">
        <f>J26</f>
        <v>100</v>
      </c>
      <c r="X26" s="1553"/>
      <c r="Y26" s="3386"/>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386"/>
      <c r="Q27" s="1146" t="str">
        <f t="shared" si="11"/>
        <v>人流量</v>
      </c>
      <c r="R27" s="1554" t="s">
        <v>8</v>
      </c>
      <c r="S27" s="1555">
        <f>F27</f>
        <v>100</v>
      </c>
      <c r="T27" s="1554" t="s">
        <v>8</v>
      </c>
      <c r="U27" s="1555">
        <f>H27</f>
        <v>100</v>
      </c>
      <c r="V27" s="1554" t="s">
        <v>8</v>
      </c>
      <c r="W27" s="1555">
        <f>J27</f>
        <v>100</v>
      </c>
      <c r="X27" s="1556"/>
      <c r="Y27" s="3386"/>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6"/>
      <c r="Q29" s="1558">
        <f t="shared" si="11"/>
        <v>111</v>
      </c>
      <c r="R29" s="1559" t="s">
        <v>8</v>
      </c>
      <c r="S29" s="1560">
        <f t="shared" si="12"/>
        <v>100</v>
      </c>
      <c r="T29" s="1559" t="s">
        <v>8</v>
      </c>
      <c r="U29" s="1560">
        <f t="shared" si="13"/>
        <v>100</v>
      </c>
      <c r="V29" s="1559" t="s">
        <v>8</v>
      </c>
      <c r="W29" s="1560">
        <f t="shared" si="14"/>
        <v>100</v>
      </c>
      <c r="X29" s="1553"/>
      <c r="Y29" s="338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6"/>
      <c r="Q30" s="1558">
        <f t="shared" si="11"/>
        <v>111</v>
      </c>
      <c r="R30" s="1559" t="s">
        <v>8</v>
      </c>
      <c r="S30" s="1560">
        <f t="shared" si="12"/>
        <v>100</v>
      </c>
      <c r="T30" s="1559" t="s">
        <v>8</v>
      </c>
      <c r="U30" s="1560">
        <f t="shared" si="13"/>
        <v>100</v>
      </c>
      <c r="V30" s="1559" t="s">
        <v>8</v>
      </c>
      <c r="W30" s="1560">
        <f t="shared" si="14"/>
        <v>100</v>
      </c>
      <c r="X30" s="1553"/>
      <c r="Y30" s="338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6"/>
      <c r="Q31" s="1558">
        <f t="shared" si="11"/>
        <v>111</v>
      </c>
      <c r="R31" s="1559" t="s">
        <v>8</v>
      </c>
      <c r="S31" s="1560">
        <f t="shared" si="12"/>
        <v>100</v>
      </c>
      <c r="T31" s="1559" t="s">
        <v>8</v>
      </c>
      <c r="U31" s="1560">
        <f t="shared" si="13"/>
        <v>100</v>
      </c>
      <c r="V31" s="1559" t="s">
        <v>8</v>
      </c>
      <c r="W31" s="1560">
        <f t="shared" si="14"/>
        <v>100</v>
      </c>
      <c r="X31" s="1553"/>
      <c r="Y31" s="3386"/>
      <c r="Z31" s="1561">
        <f t="shared" si="15"/>
        <v>111</v>
      </c>
      <c r="AA31" s="1562">
        <f t="shared" si="3"/>
        <v>1</v>
      </c>
      <c r="AB31" s="1562">
        <f t="shared" si="4"/>
        <v>1</v>
      </c>
      <c r="AC31" s="1562">
        <f t="shared" si="5"/>
        <v>1</v>
      </c>
    </row>
    <row r="32" spans="1:29" ht="15">
      <c r="A32" s="2861"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7" t="s">
        <v>550</v>
      </c>
      <c r="Q32" s="1558" t="str">
        <f t="shared" si="11"/>
        <v>商业类型</v>
      </c>
      <c r="R32" s="1559" t="s">
        <v>8</v>
      </c>
      <c r="S32" s="1560">
        <f t="shared" si="12"/>
        <v>100</v>
      </c>
      <c r="T32" s="1559" t="s">
        <v>8</v>
      </c>
      <c r="U32" s="1560">
        <f t="shared" si="13"/>
        <v>100</v>
      </c>
      <c r="V32" s="1559" t="s">
        <v>8</v>
      </c>
      <c r="W32" s="1560">
        <f t="shared" si="14"/>
        <v>100</v>
      </c>
      <c r="X32" s="1553"/>
      <c r="Y32" s="3388"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8"/>
      <c r="Q33" s="1590" t="str">
        <f t="shared" si="11"/>
        <v>项目建筑规模</v>
      </c>
      <c r="R33" s="1563" t="s">
        <v>8</v>
      </c>
      <c r="S33" s="1564" t="e">
        <f t="shared" si="12"/>
        <v>#N/A</v>
      </c>
      <c r="T33" s="1563" t="s">
        <v>8</v>
      </c>
      <c r="U33" s="1564" t="e">
        <f t="shared" si="13"/>
        <v>#N/A</v>
      </c>
      <c r="V33" s="1563" t="s">
        <v>8</v>
      </c>
      <c r="W33" s="1564" t="e">
        <f t="shared" si="14"/>
        <v>#N/A</v>
      </c>
      <c r="X33" s="1565"/>
      <c r="Y33" s="3388"/>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388"/>
      <c r="Q34" s="1558" t="str">
        <f t="shared" si="11"/>
        <v>建筑结构</v>
      </c>
      <c r="R34" s="1559" t="s">
        <v>8</v>
      </c>
      <c r="S34" s="1560">
        <f t="shared" si="12"/>
        <v>100</v>
      </c>
      <c r="T34" s="1559" t="s">
        <v>8</v>
      </c>
      <c r="U34" s="1560">
        <f t="shared" si="13"/>
        <v>100</v>
      </c>
      <c r="V34" s="1559" t="s">
        <v>8</v>
      </c>
      <c r="W34" s="1560">
        <f t="shared" si="14"/>
        <v>100</v>
      </c>
      <c r="X34" s="1553"/>
      <c r="Y34" s="3388"/>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8"/>
      <c r="Q35" s="1558" t="str">
        <f t="shared" si="11"/>
        <v>公共部分装修</v>
      </c>
      <c r="R35" s="1559" t="s">
        <v>8</v>
      </c>
      <c r="S35" s="1560">
        <f t="shared" si="12"/>
        <v>100</v>
      </c>
      <c r="T35" s="1559" t="s">
        <v>8</v>
      </c>
      <c r="U35" s="1560">
        <f t="shared" si="13"/>
        <v>100</v>
      </c>
      <c r="V35" s="1559" t="s">
        <v>8</v>
      </c>
      <c r="W35" s="1560">
        <f t="shared" si="14"/>
        <v>100</v>
      </c>
      <c r="X35" s="1553"/>
      <c r="Y35" s="3388"/>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388"/>
      <c r="Q36" s="1558" t="str">
        <f t="shared" si="11"/>
        <v>成新度</v>
      </c>
      <c r="R36" s="1559" t="s">
        <v>8</v>
      </c>
      <c r="S36" s="1560" t="e">
        <f t="shared" si="12"/>
        <v>#N/A</v>
      </c>
      <c r="T36" s="1559" t="s">
        <v>8</v>
      </c>
      <c r="U36" s="1560" t="e">
        <f t="shared" si="13"/>
        <v>#N/A</v>
      </c>
      <c r="V36" s="1559" t="s">
        <v>8</v>
      </c>
      <c r="W36" s="1560" t="e">
        <f t="shared" si="14"/>
        <v>#N/A</v>
      </c>
      <c r="X36" s="1553"/>
      <c r="Y36" s="3388"/>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8"/>
      <c r="Q37" s="1146" t="str">
        <f t="shared" si="11"/>
        <v>市政基础设施</v>
      </c>
      <c r="R37" s="1554" t="s">
        <v>8</v>
      </c>
      <c r="S37" s="1555">
        <f t="shared" si="12"/>
        <v>100</v>
      </c>
      <c r="T37" s="1554" t="s">
        <v>8</v>
      </c>
      <c r="U37" s="1555">
        <f t="shared" si="13"/>
        <v>100</v>
      </c>
      <c r="V37" s="1554" t="s">
        <v>8</v>
      </c>
      <c r="W37" s="1555">
        <f t="shared" si="14"/>
        <v>100</v>
      </c>
      <c r="X37" s="1556"/>
      <c r="Y37" s="3388"/>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8" t="s">
        <v>766</v>
      </c>
      <c r="Q38" s="1558" t="str">
        <f t="shared" si="11"/>
        <v>业态</v>
      </c>
      <c r="R38" s="1559" t="s">
        <v>8</v>
      </c>
      <c r="S38" s="1560">
        <f t="shared" si="12"/>
        <v>100</v>
      </c>
      <c r="T38" s="1559" t="s">
        <v>8</v>
      </c>
      <c r="U38" s="1560">
        <f t="shared" si="13"/>
        <v>100</v>
      </c>
      <c r="V38" s="1559" t="s">
        <v>8</v>
      </c>
      <c r="W38" s="1560">
        <f t="shared" si="14"/>
        <v>100</v>
      </c>
      <c r="X38" s="1553"/>
      <c r="Y38" s="3388"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8"/>
      <c r="Q39" s="1558" t="str">
        <f t="shared" si="11"/>
        <v>层高</v>
      </c>
      <c r="R39" s="1559" t="s">
        <v>8</v>
      </c>
      <c r="S39" s="1560">
        <f t="shared" si="12"/>
        <v>100</v>
      </c>
      <c r="T39" s="1559" t="s">
        <v>8</v>
      </c>
      <c r="U39" s="1560">
        <f t="shared" si="13"/>
        <v>100</v>
      </c>
      <c r="V39" s="1559" t="s">
        <v>8</v>
      </c>
      <c r="W39" s="1560">
        <f t="shared" si="14"/>
        <v>100</v>
      </c>
      <c r="X39" s="1553"/>
      <c r="Y39" s="3388"/>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388"/>
      <c r="Q40" s="1558" t="str">
        <f t="shared" si="11"/>
        <v>单套建筑面积</v>
      </c>
      <c r="R40" s="1559" t="s">
        <v>8</v>
      </c>
      <c r="S40" s="1560">
        <f t="shared" si="12"/>
        <v>100</v>
      </c>
      <c r="T40" s="1559" t="s">
        <v>8</v>
      </c>
      <c r="U40" s="1560">
        <f t="shared" si="13"/>
        <v>100</v>
      </c>
      <c r="V40" s="1559" t="s">
        <v>8</v>
      </c>
      <c r="W40" s="1560">
        <f t="shared" si="14"/>
        <v>100</v>
      </c>
      <c r="X40" s="1553"/>
      <c r="Y40" s="3388"/>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8"/>
      <c r="Q41" s="1590" t="str">
        <f t="shared" si="11"/>
        <v>进深比</v>
      </c>
      <c r="R41" s="1563" t="s">
        <v>8</v>
      </c>
      <c r="S41" s="1564">
        <f t="shared" si="12"/>
        <v>100</v>
      </c>
      <c r="T41" s="1563" t="s">
        <v>8</v>
      </c>
      <c r="U41" s="1564">
        <f t="shared" si="13"/>
        <v>100</v>
      </c>
      <c r="V41" s="1563" t="s">
        <v>8</v>
      </c>
      <c r="W41" s="1564">
        <f t="shared" si="14"/>
        <v>100</v>
      </c>
      <c r="X41" s="1565"/>
      <c r="Y41" s="3388"/>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8"/>
      <c r="Q42" s="1558" t="str">
        <f t="shared" si="11"/>
        <v>内部装修</v>
      </c>
      <c r="R42" s="1559" t="s">
        <v>8</v>
      </c>
      <c r="S42" s="1560">
        <f t="shared" si="12"/>
        <v>100</v>
      </c>
      <c r="T42" s="1559" t="s">
        <v>8</v>
      </c>
      <c r="U42" s="1560">
        <f t="shared" si="13"/>
        <v>100</v>
      </c>
      <c r="V42" s="1559" t="s">
        <v>8</v>
      </c>
      <c r="W42" s="1560">
        <f t="shared" si="14"/>
        <v>100</v>
      </c>
      <c r="X42" s="1553"/>
      <c r="Y42" s="3388"/>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8"/>
      <c r="Q43" s="1558" t="str">
        <f t="shared" si="11"/>
        <v>内部装修维护情况</v>
      </c>
      <c r="R43" s="1559" t="s">
        <v>8</v>
      </c>
      <c r="S43" s="1560">
        <f t="shared" si="12"/>
        <v>100</v>
      </c>
      <c r="T43" s="1559" t="s">
        <v>8</v>
      </c>
      <c r="U43" s="1560">
        <f t="shared" si="13"/>
        <v>100</v>
      </c>
      <c r="V43" s="1559" t="s">
        <v>8</v>
      </c>
      <c r="W43" s="1560">
        <f t="shared" si="14"/>
        <v>100</v>
      </c>
      <c r="X43" s="1553"/>
      <c r="Y43" s="3388"/>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8"/>
      <c r="Q44" s="1146">
        <f t="shared" si="11"/>
        <v>111</v>
      </c>
      <c r="R44" s="1554" t="s">
        <v>8</v>
      </c>
      <c r="S44" s="1555">
        <f t="shared" si="12"/>
        <v>100</v>
      </c>
      <c r="T44" s="1554" t="s">
        <v>8</v>
      </c>
      <c r="U44" s="1555">
        <f t="shared" si="13"/>
        <v>100</v>
      </c>
      <c r="V44" s="1554" t="s">
        <v>8</v>
      </c>
      <c r="W44" s="1555">
        <f t="shared" si="14"/>
        <v>100</v>
      </c>
      <c r="X44" s="1556"/>
      <c r="Y44" s="338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8"/>
      <c r="Q45" s="1558">
        <f t="shared" si="11"/>
        <v>111</v>
      </c>
      <c r="R45" s="1559" t="s">
        <v>8</v>
      </c>
      <c r="S45" s="1560">
        <f t="shared" si="12"/>
        <v>100</v>
      </c>
      <c r="T45" s="1559" t="s">
        <v>8</v>
      </c>
      <c r="U45" s="1560">
        <f t="shared" si="13"/>
        <v>100</v>
      </c>
      <c r="V45" s="1559" t="s">
        <v>8</v>
      </c>
      <c r="W45" s="1560">
        <f t="shared" si="14"/>
        <v>100</v>
      </c>
      <c r="X45" s="1553"/>
      <c r="Y45" s="3388"/>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0"/>
      <c r="Q46" s="1558">
        <f t="shared" si="11"/>
        <v>111</v>
      </c>
      <c r="R46" s="1559" t="s">
        <v>8</v>
      </c>
      <c r="S46" s="1560">
        <f t="shared" si="12"/>
        <v>100</v>
      </c>
      <c r="T46" s="1559" t="s">
        <v>8</v>
      </c>
      <c r="U46" s="1560">
        <f t="shared" si="13"/>
        <v>100</v>
      </c>
      <c r="V46" s="1559" t="s">
        <v>8</v>
      </c>
      <c r="W46" s="1560">
        <f t="shared" si="14"/>
        <v>100</v>
      </c>
      <c r="X46" s="1553"/>
      <c r="Y46" s="3490"/>
      <c r="Z46" s="1561">
        <f t="shared" si="15"/>
        <v>111</v>
      </c>
      <c r="AA46" s="1562">
        <f t="shared" si="3"/>
        <v>1</v>
      </c>
      <c r="AB46" s="1562">
        <f t="shared" si="4"/>
        <v>1</v>
      </c>
      <c r="AC46" s="1562">
        <f t="shared" si="5"/>
        <v>1</v>
      </c>
    </row>
    <row r="47" spans="1:29" ht="15">
      <c r="A47" s="607" t="s">
        <v>736</v>
      </c>
      <c r="B47" s="886"/>
      <c r="C47" s="2590" t="s">
        <v>1</v>
      </c>
      <c r="D47" s="2591"/>
      <c r="E47" s="2592"/>
      <c r="F47" s="2593"/>
      <c r="G47" s="2594"/>
      <c r="H47" s="2595"/>
      <c r="I47" s="2592"/>
      <c r="J47" s="2595"/>
      <c r="K47" s="1596"/>
      <c r="L47" s="2129"/>
      <c r="M47" s="2130"/>
      <c r="N47" s="2119"/>
      <c r="O47" s="2130"/>
      <c r="P47" s="3383" t="str">
        <f>A47</f>
        <v>成交单价（元/平方米）</v>
      </c>
      <c r="Q47" s="3383"/>
      <c r="R47" s="3489">
        <f>E47</f>
        <v>0</v>
      </c>
      <c r="S47" s="3489"/>
      <c r="T47" s="3489">
        <f>G47</f>
        <v>0</v>
      </c>
      <c r="U47" s="3489"/>
      <c r="V47" s="3489">
        <f>I47</f>
        <v>0</v>
      </c>
      <c r="W47" s="3489"/>
      <c r="X47" s="1545"/>
      <c r="Y47" s="1567"/>
      <c r="Z47" s="1545"/>
      <c r="AA47" s="1545"/>
      <c r="AB47" s="1545"/>
      <c r="AC47" s="1545"/>
    </row>
    <row r="48" spans="1:29" ht="15.75" thickBot="1">
      <c r="A48" s="615" t="s">
        <v>2759</v>
      </c>
      <c r="B48" s="887"/>
      <c r="C48" s="2596" t="e">
        <f>R49</f>
        <v>#DIV/0!</v>
      </c>
      <c r="D48" s="2597"/>
      <c r="E48" s="2598" t="e">
        <f>R48</f>
        <v>#DIV/0!</v>
      </c>
      <c r="F48" s="2598"/>
      <c r="G48" s="2596" t="e">
        <f>T48</f>
        <v>#DIV/0!</v>
      </c>
      <c r="H48" s="2597"/>
      <c r="I48" s="2598" t="e">
        <f>V48</f>
        <v>#DIV/0!</v>
      </c>
      <c r="J48" s="2597"/>
      <c r="K48" s="1597"/>
      <c r="L48" s="2129"/>
      <c r="M48" s="2130"/>
      <c r="N48" s="2119"/>
      <c r="O48" s="2130"/>
      <c r="P48" s="3383" t="str">
        <f>A48</f>
        <v>比较价格（元/平方米）</v>
      </c>
      <c r="Q48" s="3383"/>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5"/>
      <c r="Y48" s="1545"/>
      <c r="Z48" s="1545"/>
      <c r="AA48" s="1545"/>
      <c r="AB48" s="1545"/>
      <c r="AC48" s="1545"/>
    </row>
    <row r="49" spans="1:29" ht="15.75" thickBot="1">
      <c r="A49" s="621" t="s">
        <v>2926</v>
      </c>
      <c r="B49" s="622"/>
      <c r="C49" s="2599" t="e">
        <f>R49</f>
        <v>#DIV/0!</v>
      </c>
      <c r="D49" s="2599"/>
      <c r="E49" s="2599"/>
      <c r="F49" s="2599"/>
      <c r="G49" s="2599"/>
      <c r="H49" s="2599"/>
      <c r="I49" s="2599"/>
      <c r="J49" s="2599"/>
      <c r="K49" s="1598"/>
      <c r="L49" s="2129"/>
      <c r="M49" s="2130"/>
      <c r="N49" s="2119"/>
      <c r="O49" s="2130"/>
      <c r="P49" s="3404" t="str">
        <f>A49</f>
        <v>估价对象XX用房的比较价格（楼面单价，元/平方米）</v>
      </c>
      <c r="Q49" s="3405"/>
      <c r="R49" s="3488" t="e">
        <f>IF(F1="售价",ROUND(AVERAGE(R48:V48),0),ROUND(AVERAGE(R48:V48),1))</f>
        <v>#DIV/0!</v>
      </c>
      <c r="S49" s="3488"/>
      <c r="T49" s="3488"/>
      <c r="U49" s="3488"/>
      <c r="V49" s="3488"/>
      <c r="W49" s="3488"/>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0" t="s">
        <v>2557</v>
      </c>
      <c r="C82" s="2561" t="s">
        <v>2558</v>
      </c>
      <c r="D82" s="2561" t="s">
        <v>2559</v>
      </c>
      <c r="E82" s="2561" t="s">
        <v>2560</v>
      </c>
      <c r="F82" s="2561" t="s">
        <v>2561</v>
      </c>
      <c r="G82" s="2561" t="s">
        <v>2562</v>
      </c>
      <c r="H82" s="674"/>
      <c r="I82" s="674"/>
      <c r="J82" s="674"/>
      <c r="K82" s="674"/>
      <c r="L82" s="674"/>
      <c r="M82" s="2564"/>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3" sqref="L2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1"/>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89" t="s">
        <v>522</v>
      </c>
      <c r="D4" s="3390"/>
      <c r="E4" s="3413" t="s">
        <v>523</v>
      </c>
      <c r="F4" s="3414"/>
      <c r="G4" s="3389" t="s">
        <v>524</v>
      </c>
      <c r="H4" s="3390"/>
      <c r="I4" s="3389" t="s">
        <v>525</v>
      </c>
      <c r="J4" s="3390"/>
      <c r="K4" s="514" t="s">
        <v>526</v>
      </c>
      <c r="L4" s="2118"/>
      <c r="M4" s="2119"/>
      <c r="N4" s="2119"/>
      <c r="O4" s="2119"/>
      <c r="P4" s="3491" t="s">
        <v>527</v>
      </c>
      <c r="Q4" s="3392"/>
      <c r="R4" s="3377" t="s">
        <v>523</v>
      </c>
      <c r="S4" s="3378"/>
      <c r="T4" s="3377" t="s">
        <v>524</v>
      </c>
      <c r="U4" s="3378"/>
      <c r="V4" s="3397" t="s">
        <v>525</v>
      </c>
      <c r="W4" s="3397"/>
      <c r="X4" s="1553"/>
      <c r="Y4" s="3377" t="s">
        <v>527</v>
      </c>
      <c r="Z4" s="3378"/>
      <c r="AA4" s="3372" t="s">
        <v>523</v>
      </c>
      <c r="AB4" s="3372" t="s">
        <v>524</v>
      </c>
      <c r="AC4" s="3372" t="s">
        <v>525</v>
      </c>
    </row>
    <row r="5" spans="1:29" ht="15">
      <c r="A5" s="515"/>
      <c r="B5" s="516"/>
      <c r="C5" s="3400" t="s">
        <v>2920</v>
      </c>
      <c r="D5" s="3401"/>
      <c r="E5" s="3415" t="s">
        <v>2921</v>
      </c>
      <c r="F5" s="3416"/>
      <c r="G5" s="3400" t="s">
        <v>2922</v>
      </c>
      <c r="H5" s="3401"/>
      <c r="I5" s="3400" t="s">
        <v>2923</v>
      </c>
      <c r="J5" s="3401"/>
      <c r="K5" s="514"/>
      <c r="L5" s="2118"/>
      <c r="M5" s="2119"/>
      <c r="N5" s="2119"/>
      <c r="O5" s="2119"/>
      <c r="P5" s="3492"/>
      <c r="Q5" s="3394"/>
      <c r="R5" s="3379"/>
      <c r="S5" s="3380"/>
      <c r="T5" s="3379"/>
      <c r="U5" s="3380"/>
      <c r="V5" s="3397"/>
      <c r="W5" s="3397"/>
      <c r="X5" s="1553"/>
      <c r="Y5" s="3379"/>
      <c r="Z5" s="3380"/>
      <c r="AA5" s="3373"/>
      <c r="AB5" s="3373"/>
      <c r="AC5" s="3373"/>
    </row>
    <row r="6" spans="1:29" ht="15.75" thickBot="1">
      <c r="A6" s="517"/>
      <c r="B6" s="518"/>
      <c r="C6" s="3398" t="s">
        <v>2924</v>
      </c>
      <c r="D6" s="3399"/>
      <c r="E6" s="3417" t="s">
        <v>2924</v>
      </c>
      <c r="F6" s="3418"/>
      <c r="G6" s="3398" t="s">
        <v>2924</v>
      </c>
      <c r="H6" s="3399"/>
      <c r="I6" s="3398" t="s">
        <v>2924</v>
      </c>
      <c r="J6" s="3399"/>
      <c r="K6" s="514" t="s">
        <v>528</v>
      </c>
      <c r="L6" s="2118"/>
      <c r="M6" s="2119"/>
      <c r="N6" s="2119"/>
      <c r="O6" s="2119"/>
      <c r="P6" s="3493"/>
      <c r="Q6" s="3396"/>
      <c r="R6" s="3379"/>
      <c r="S6" s="3380"/>
      <c r="T6" s="3381"/>
      <c r="U6" s="3382"/>
      <c r="V6" s="3397"/>
      <c r="W6" s="3397"/>
      <c r="X6" s="1553"/>
      <c r="Y6" s="3381"/>
      <c r="Z6" s="3382"/>
      <c r="AA6" s="3374"/>
      <c r="AB6" s="3374"/>
      <c r="AC6" s="3374"/>
    </row>
    <row r="7" spans="1:29" s="1215" customFormat="1" ht="15.75" thickBot="1">
      <c r="A7" s="2866"/>
      <c r="B7" s="2873" t="s">
        <v>529</v>
      </c>
      <c r="C7" s="519">
        <f>'数据-取费表'!B2</f>
        <v>43581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4" t="s">
        <v>530</v>
      </c>
      <c r="Q7" s="3384"/>
      <c r="R7" s="1554" t="s">
        <v>8</v>
      </c>
      <c r="S7" s="1555">
        <f t="shared" ref="S7:S15" si="0">F7</f>
        <v>0</v>
      </c>
      <c r="T7" s="1554" t="s">
        <v>8</v>
      </c>
      <c r="U7" s="1555">
        <f t="shared" ref="U7:U15" si="1">H7</f>
        <v>0</v>
      </c>
      <c r="V7" s="1554" t="s">
        <v>8</v>
      </c>
      <c r="W7" s="1555">
        <f t="shared" ref="W7:W15" si="2">J7</f>
        <v>0</v>
      </c>
      <c r="X7" s="1556"/>
      <c r="Y7" s="3375" t="s">
        <v>530</v>
      </c>
      <c r="Z7" s="3376"/>
      <c r="AA7" s="1557" t="e">
        <f>D7/F7</f>
        <v>#DIV/0!</v>
      </c>
      <c r="AB7" s="1557" t="e">
        <f>D7/H7</f>
        <v>#DIV/0!</v>
      </c>
      <c r="AC7" s="1557"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4" t="s">
        <v>533</v>
      </c>
      <c r="Q8" s="3376"/>
      <c r="R8" s="1554" t="s">
        <v>8</v>
      </c>
      <c r="S8" s="1555">
        <f t="shared" si="0"/>
        <v>0</v>
      </c>
      <c r="T8" s="1554" t="s">
        <v>8</v>
      </c>
      <c r="U8" s="1555">
        <f t="shared" si="1"/>
        <v>0</v>
      </c>
      <c r="V8" s="1554" t="s">
        <v>8</v>
      </c>
      <c r="W8" s="1555">
        <f t="shared" si="2"/>
        <v>0</v>
      </c>
      <c r="X8" s="1556"/>
      <c r="Y8" s="3375" t="s">
        <v>533</v>
      </c>
      <c r="Z8" s="3376"/>
      <c r="AA8" s="1557" t="e">
        <f t="shared" ref="AA8:AA47" si="3">D8/F8</f>
        <v>#DIV/0!</v>
      </c>
      <c r="AB8" s="1557" t="e">
        <f t="shared" ref="AB8:AB47" si="4">D8/H8</f>
        <v>#DIV/0!</v>
      </c>
      <c r="AC8" s="1557" t="e">
        <f t="shared" ref="AC8:AC47" si="5">D8/J8</f>
        <v>#DIV/0!</v>
      </c>
    </row>
    <row r="9" spans="1:29" s="1215"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3" t="s">
        <v>535</v>
      </c>
      <c r="Q9" s="1146" t="str">
        <f t="shared" ref="Q9:Q15" si="6">B9</f>
        <v>用途</v>
      </c>
      <c r="R9" s="1554" t="s">
        <v>8</v>
      </c>
      <c r="S9" s="1555">
        <f t="shared" si="0"/>
        <v>100</v>
      </c>
      <c r="T9" s="1554" t="s">
        <v>8</v>
      </c>
      <c r="U9" s="1555">
        <f t="shared" si="1"/>
        <v>100</v>
      </c>
      <c r="V9" s="1554" t="s">
        <v>8</v>
      </c>
      <c r="W9" s="1555">
        <f t="shared" si="2"/>
        <v>100</v>
      </c>
      <c r="X9" s="1556"/>
      <c r="Y9" s="3340"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3"/>
      <c r="Q10" s="1146" t="str">
        <f t="shared" si="6"/>
        <v>土地使用年限（年）</v>
      </c>
      <c r="R10" s="1554" t="s">
        <v>8</v>
      </c>
      <c r="S10" s="1555">
        <f t="shared" si="0"/>
        <v>100</v>
      </c>
      <c r="T10" s="1554" t="s">
        <v>8</v>
      </c>
      <c r="U10" s="1555">
        <f t="shared" si="1"/>
        <v>100</v>
      </c>
      <c r="V10" s="1554" t="s">
        <v>8</v>
      </c>
      <c r="W10" s="1555">
        <f t="shared" si="2"/>
        <v>100</v>
      </c>
      <c r="X10" s="1556"/>
      <c r="Y10" s="3340"/>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3"/>
      <c r="Q11" s="1146" t="str">
        <f t="shared" si="6"/>
        <v>容积率</v>
      </c>
      <c r="R11" s="1554" t="s">
        <v>8</v>
      </c>
      <c r="S11" s="1555" t="e">
        <f t="shared" si="0"/>
        <v>#N/A</v>
      </c>
      <c r="T11" s="1554" t="s">
        <v>8</v>
      </c>
      <c r="U11" s="1555" t="e">
        <f t="shared" si="1"/>
        <v>#N/A</v>
      </c>
      <c r="V11" s="1554" t="s">
        <v>8</v>
      </c>
      <c r="W11" s="1555" t="e">
        <f t="shared" si="2"/>
        <v>#N/A</v>
      </c>
      <c r="X11" s="1556"/>
      <c r="Y11" s="3340"/>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83"/>
      <c r="Q12" s="1146">
        <f t="shared" si="6"/>
        <v>111</v>
      </c>
      <c r="R12" s="1554" t="s">
        <v>8</v>
      </c>
      <c r="S12" s="1555">
        <f t="shared" si="0"/>
        <v>100</v>
      </c>
      <c r="T12" s="1554" t="s">
        <v>8</v>
      </c>
      <c r="U12" s="1555">
        <f t="shared" si="1"/>
        <v>100</v>
      </c>
      <c r="V12" s="1554" t="s">
        <v>8</v>
      </c>
      <c r="W12" s="1555">
        <f t="shared" si="2"/>
        <v>100</v>
      </c>
      <c r="X12" s="1556"/>
      <c r="Y12" s="3340"/>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83"/>
      <c r="Q13" s="1146">
        <f t="shared" si="6"/>
        <v>111</v>
      </c>
      <c r="R13" s="1554" t="s">
        <v>8</v>
      </c>
      <c r="S13" s="1555">
        <f t="shared" si="0"/>
        <v>100</v>
      </c>
      <c r="T13" s="1554" t="s">
        <v>8</v>
      </c>
      <c r="U13" s="1555">
        <f t="shared" si="1"/>
        <v>100</v>
      </c>
      <c r="V13" s="1554" t="s">
        <v>8</v>
      </c>
      <c r="W13" s="1555">
        <f t="shared" si="2"/>
        <v>100</v>
      </c>
      <c r="X13" s="1556"/>
      <c r="Y13" s="3340"/>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83"/>
      <c r="Q14" s="1146">
        <f t="shared" si="6"/>
        <v>111</v>
      </c>
      <c r="R14" s="1554" t="s">
        <v>8</v>
      </c>
      <c r="S14" s="1555">
        <f t="shared" si="0"/>
        <v>100</v>
      </c>
      <c r="T14" s="1554" t="s">
        <v>8</v>
      </c>
      <c r="U14" s="1555">
        <f t="shared" si="1"/>
        <v>100</v>
      </c>
      <c r="V14" s="1554" t="s">
        <v>8</v>
      </c>
      <c r="W14" s="1555">
        <f t="shared" si="2"/>
        <v>100</v>
      </c>
      <c r="X14" s="1556"/>
      <c r="Y14" s="3340"/>
      <c r="Z14" s="1145">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385" t="s">
        <v>540</v>
      </c>
      <c r="Q15" s="1558" t="str">
        <f t="shared" si="6"/>
        <v>办公集聚程度</v>
      </c>
      <c r="R15" s="1559" t="s">
        <v>8</v>
      </c>
      <c r="S15" s="1560">
        <f t="shared" si="0"/>
        <v>100</v>
      </c>
      <c r="T15" s="1559" t="s">
        <v>8</v>
      </c>
      <c r="U15" s="1560">
        <f t="shared" si="1"/>
        <v>100</v>
      </c>
      <c r="V15" s="1559" t="s">
        <v>8</v>
      </c>
      <c r="W15" s="1560">
        <f t="shared" si="2"/>
        <v>100</v>
      </c>
      <c r="X15" s="1553"/>
      <c r="Y15" s="3385"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386"/>
      <c r="Q16" s="1558"/>
      <c r="R16" s="1559"/>
      <c r="S16" s="1560"/>
      <c r="T16" s="1559"/>
      <c r="U16" s="1560"/>
      <c r="V16" s="1559"/>
      <c r="W16" s="1560"/>
      <c r="X16" s="1553"/>
      <c r="Y16" s="3386"/>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386"/>
      <c r="Q17" s="1558" t="str">
        <f>B17</f>
        <v>交通便捷度</v>
      </c>
      <c r="R17" s="1559" t="s">
        <v>8</v>
      </c>
      <c r="S17" s="1560">
        <f>F17</f>
        <v>100</v>
      </c>
      <c r="T17" s="1559" t="s">
        <v>8</v>
      </c>
      <c r="U17" s="1560">
        <f>H17</f>
        <v>100</v>
      </c>
      <c r="V17" s="1559" t="s">
        <v>8</v>
      </c>
      <c r="W17" s="1560">
        <f>J17</f>
        <v>100</v>
      </c>
      <c r="X17" s="1553"/>
      <c r="Y17" s="338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386"/>
      <c r="Q18" s="1558"/>
      <c r="R18" s="1559"/>
      <c r="S18" s="1560"/>
      <c r="T18" s="1559"/>
      <c r="U18" s="1560"/>
      <c r="V18" s="1559"/>
      <c r="W18" s="1560"/>
      <c r="X18" s="1553"/>
      <c r="Y18" s="3386"/>
      <c r="Z18" s="1561"/>
      <c r="AA18" s="1562">
        <v>1</v>
      </c>
      <c r="AB18" s="1562">
        <v>1</v>
      </c>
      <c r="AC18" s="1562">
        <v>1</v>
      </c>
    </row>
    <row r="19" spans="1:29" ht="42.75">
      <c r="A19" s="532"/>
      <c r="B19" s="2566" t="s">
        <v>2545</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386"/>
      <c r="Q19" s="1558" t="str">
        <f>B19</f>
        <v>公共配套设施</v>
      </c>
      <c r="R19" s="1559" t="s">
        <v>8</v>
      </c>
      <c r="S19" s="1560">
        <f>F19</f>
        <v>100</v>
      </c>
      <c r="T19" s="1559" t="s">
        <v>8</v>
      </c>
      <c r="U19" s="1560">
        <f>H19</f>
        <v>100</v>
      </c>
      <c r="V19" s="1559" t="s">
        <v>8</v>
      </c>
      <c r="W19" s="1560">
        <f>J19</f>
        <v>100</v>
      </c>
      <c r="X19" s="1553"/>
      <c r="Y19" s="338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386"/>
      <c r="Q20" s="1558"/>
      <c r="R20" s="1559"/>
      <c r="S20" s="1560"/>
      <c r="T20" s="1559"/>
      <c r="U20" s="1560"/>
      <c r="V20" s="1559"/>
      <c r="W20" s="1560"/>
      <c r="X20" s="1553"/>
      <c r="Y20" s="3386"/>
      <c r="Z20" s="1561"/>
      <c r="AA20" s="1562">
        <v>1</v>
      </c>
      <c r="AB20" s="1562">
        <v>1</v>
      </c>
      <c r="AC20" s="1562">
        <v>1</v>
      </c>
    </row>
    <row r="21" spans="1:29" ht="42.75">
      <c r="A21" s="532"/>
      <c r="B21" s="2554" t="s">
        <v>2557</v>
      </c>
      <c r="C21" s="573" t="str">
        <f>估价对象房地状况!C8</f>
        <v>估价对象所在区域基础设施水平较高</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386"/>
      <c r="Q21" s="2542" t="str">
        <f>B21</f>
        <v>基础设施水平</v>
      </c>
      <c r="R21" s="1559" t="s">
        <v>8</v>
      </c>
      <c r="S21" s="1560">
        <f>F21</f>
        <v>100</v>
      </c>
      <c r="T21" s="1559" t="s">
        <v>8</v>
      </c>
      <c r="U21" s="1560">
        <f>H21</f>
        <v>100</v>
      </c>
      <c r="V21" s="1559" t="s">
        <v>8</v>
      </c>
      <c r="W21" s="1560">
        <f>J21</f>
        <v>100</v>
      </c>
      <c r="X21" s="2544"/>
      <c r="Y21" s="3386"/>
      <c r="Z21" s="2543"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5"/>
      <c r="L22" s="2127"/>
      <c r="M22" s="2119"/>
      <c r="N22" s="2119"/>
      <c r="O22" s="2119"/>
      <c r="P22" s="3386"/>
      <c r="Q22" s="2542"/>
      <c r="R22" s="1559"/>
      <c r="S22" s="1560"/>
      <c r="T22" s="1559"/>
      <c r="U22" s="1560"/>
      <c r="V22" s="1559"/>
      <c r="W22" s="1560"/>
      <c r="X22" s="2544"/>
      <c r="Y22" s="3386"/>
      <c r="Z22" s="2543"/>
      <c r="AA22" s="1562">
        <v>1</v>
      </c>
      <c r="AB22" s="1562">
        <v>1</v>
      </c>
      <c r="AC22" s="1562">
        <v>1</v>
      </c>
    </row>
    <row r="23" spans="1:29" ht="57">
      <c r="A23" s="532"/>
      <c r="B23" s="560" t="s">
        <v>778</v>
      </c>
      <c r="C23" s="573" t="str">
        <f>估价对象房地状况!C9</f>
        <v>区域自然环境较好；人文环境一般；综合评价环境状况较好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386"/>
      <c r="Q23" s="1558" t="str">
        <f>B23</f>
        <v>环境质量</v>
      </c>
      <c r="R23" s="1559" t="s">
        <v>8</v>
      </c>
      <c r="S23" s="1560">
        <f>F23</f>
        <v>100</v>
      </c>
      <c r="T23" s="1559" t="s">
        <v>8</v>
      </c>
      <c r="U23" s="1560">
        <f>H23</f>
        <v>100</v>
      </c>
      <c r="V23" s="1559" t="s">
        <v>8</v>
      </c>
      <c r="W23" s="1560">
        <f>J23</f>
        <v>100</v>
      </c>
      <c r="X23" s="1553"/>
      <c r="Y23" s="338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386"/>
      <c r="Q24" s="1558"/>
      <c r="R24" s="1559"/>
      <c r="S24" s="1560"/>
      <c r="T24" s="1559"/>
      <c r="U24" s="1560"/>
      <c r="V24" s="1559"/>
      <c r="W24" s="1560"/>
      <c r="X24" s="1553"/>
      <c r="Y24" s="3386"/>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386"/>
      <c r="Q25" s="1558" t="str">
        <f>B25</f>
        <v>毗邻道路的类型与等级</v>
      </c>
      <c r="R25" s="1559" t="s">
        <v>8</v>
      </c>
      <c r="S25" s="1560">
        <f>F25</f>
        <v>100</v>
      </c>
      <c r="T25" s="1559" t="s">
        <v>8</v>
      </c>
      <c r="U25" s="1560">
        <f>H25</f>
        <v>100</v>
      </c>
      <c r="V25" s="1559" t="s">
        <v>8</v>
      </c>
      <c r="W25" s="1560">
        <f>J25</f>
        <v>100</v>
      </c>
      <c r="X25" s="1553"/>
      <c r="Y25" s="338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386"/>
      <c r="Q26" s="1558"/>
      <c r="R26" s="1559"/>
      <c r="S26" s="1560"/>
      <c r="T26" s="1559"/>
      <c r="U26" s="1560"/>
      <c r="V26" s="1559"/>
      <c r="W26" s="1560"/>
      <c r="X26" s="1553"/>
      <c r="Y26" s="3386"/>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6"/>
      <c r="Q27" s="1558" t="str">
        <f t="shared" ref="Q27:Q47" si="11">B27</f>
        <v>楼层</v>
      </c>
      <c r="R27" s="1559" t="s">
        <v>8</v>
      </c>
      <c r="S27" s="1560">
        <f>F27</f>
        <v>100</v>
      </c>
      <c r="T27" s="1559" t="s">
        <v>8</v>
      </c>
      <c r="U27" s="1560">
        <f>H27</f>
        <v>100</v>
      </c>
      <c r="V27" s="1559" t="s">
        <v>8</v>
      </c>
      <c r="W27" s="1560">
        <f>J27</f>
        <v>100</v>
      </c>
      <c r="X27" s="1553"/>
      <c r="Y27" s="3386"/>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386"/>
      <c r="Q28" s="1146" t="str">
        <f t="shared" si="11"/>
        <v>朝向</v>
      </c>
      <c r="R28" s="1554" t="s">
        <v>8</v>
      </c>
      <c r="S28" s="1555">
        <f>F28</f>
        <v>100</v>
      </c>
      <c r="T28" s="1554" t="s">
        <v>8</v>
      </c>
      <c r="U28" s="1555">
        <f>H28</f>
        <v>100</v>
      </c>
      <c r="V28" s="1554" t="s">
        <v>8</v>
      </c>
      <c r="W28" s="1555">
        <f>J28</f>
        <v>100</v>
      </c>
      <c r="X28" s="1556"/>
      <c r="Y28" s="3386"/>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386"/>
      <c r="Q29" s="1558">
        <f t="shared" si="11"/>
        <v>111</v>
      </c>
      <c r="R29" s="1559" t="s">
        <v>8</v>
      </c>
      <c r="S29" s="1560">
        <f t="shared" ref="S29:S47" si="12">F29</f>
        <v>100</v>
      </c>
      <c r="T29" s="1559" t="s">
        <v>8</v>
      </c>
      <c r="U29" s="1560">
        <f t="shared" ref="U29:U47" si="13">H29</f>
        <v>100</v>
      </c>
      <c r="V29" s="1559" t="s">
        <v>8</v>
      </c>
      <c r="W29" s="1560">
        <f t="shared" ref="W29:W47" si="14">J29</f>
        <v>100</v>
      </c>
      <c r="X29" s="1553"/>
      <c r="Y29" s="3386"/>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386"/>
      <c r="Q30" s="1558">
        <f t="shared" si="11"/>
        <v>111</v>
      </c>
      <c r="R30" s="1559" t="s">
        <v>8</v>
      </c>
      <c r="S30" s="1560">
        <f t="shared" si="12"/>
        <v>100</v>
      </c>
      <c r="T30" s="1559" t="s">
        <v>8</v>
      </c>
      <c r="U30" s="1560">
        <f t="shared" si="13"/>
        <v>100</v>
      </c>
      <c r="V30" s="1559" t="s">
        <v>8</v>
      </c>
      <c r="W30" s="1560">
        <f t="shared" si="14"/>
        <v>100</v>
      </c>
      <c r="X30" s="1553"/>
      <c r="Y30" s="3386"/>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386"/>
      <c r="Q31" s="1558">
        <f t="shared" si="11"/>
        <v>111</v>
      </c>
      <c r="R31" s="1559" t="s">
        <v>8</v>
      </c>
      <c r="S31" s="1560">
        <f t="shared" si="12"/>
        <v>100</v>
      </c>
      <c r="T31" s="1559" t="s">
        <v>8</v>
      </c>
      <c r="U31" s="1560">
        <f t="shared" si="13"/>
        <v>100</v>
      </c>
      <c r="V31" s="1559" t="s">
        <v>8</v>
      </c>
      <c r="W31" s="1560">
        <f t="shared" si="14"/>
        <v>100</v>
      </c>
      <c r="X31" s="1553"/>
      <c r="Y31" s="3386"/>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386"/>
      <c r="Q32" s="1558">
        <f t="shared" si="11"/>
        <v>111</v>
      </c>
      <c r="R32" s="1559" t="s">
        <v>8</v>
      </c>
      <c r="S32" s="1560">
        <f t="shared" si="12"/>
        <v>100</v>
      </c>
      <c r="T32" s="1559" t="s">
        <v>8</v>
      </c>
      <c r="U32" s="1560">
        <f t="shared" si="13"/>
        <v>100</v>
      </c>
      <c r="V32" s="1559" t="s">
        <v>8</v>
      </c>
      <c r="W32" s="1560">
        <f t="shared" si="14"/>
        <v>100</v>
      </c>
      <c r="X32" s="1553"/>
      <c r="Y32" s="3386"/>
      <c r="Z32" s="1561">
        <f t="shared" si="15"/>
        <v>111</v>
      </c>
      <c r="AA32" s="1562">
        <f t="shared" si="3"/>
        <v>1</v>
      </c>
      <c r="AB32" s="1562">
        <f t="shared" si="4"/>
        <v>1</v>
      </c>
      <c r="AC32" s="1562">
        <f t="shared" si="5"/>
        <v>1</v>
      </c>
    </row>
    <row r="33" spans="1:29" ht="15">
      <c r="A33" s="2861"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387" t="s">
        <v>550</v>
      </c>
      <c r="Q33" s="1558" t="str">
        <f t="shared" si="11"/>
        <v>建筑类型</v>
      </c>
      <c r="R33" s="1559" t="s">
        <v>8</v>
      </c>
      <c r="S33" s="1560">
        <f t="shared" si="12"/>
        <v>100</v>
      </c>
      <c r="T33" s="1559" t="s">
        <v>8</v>
      </c>
      <c r="U33" s="1560">
        <f t="shared" si="13"/>
        <v>100</v>
      </c>
      <c r="V33" s="1559" t="s">
        <v>8</v>
      </c>
      <c r="W33" s="1560">
        <f t="shared" si="14"/>
        <v>100</v>
      </c>
      <c r="X33" s="1553"/>
      <c r="Y33" s="3388"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8"/>
      <c r="Q34" s="1590" t="str">
        <f t="shared" si="11"/>
        <v>项目建筑规模</v>
      </c>
      <c r="R34" s="1563" t="s">
        <v>8</v>
      </c>
      <c r="S34" s="1564" t="e">
        <f t="shared" si="12"/>
        <v>#N/A</v>
      </c>
      <c r="T34" s="1563" t="s">
        <v>8</v>
      </c>
      <c r="U34" s="1564" t="e">
        <f t="shared" si="13"/>
        <v>#N/A</v>
      </c>
      <c r="V34" s="1563" t="s">
        <v>8</v>
      </c>
      <c r="W34" s="1564" t="e">
        <f t="shared" si="14"/>
        <v>#N/A</v>
      </c>
      <c r="X34" s="1565"/>
      <c r="Y34" s="3388"/>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8"/>
      <c r="Q35" s="1558" t="str">
        <f t="shared" si="11"/>
        <v>建筑结构</v>
      </c>
      <c r="R35" s="1559" t="s">
        <v>8</v>
      </c>
      <c r="S35" s="1560">
        <f t="shared" si="12"/>
        <v>100</v>
      </c>
      <c r="T35" s="1559" t="s">
        <v>8</v>
      </c>
      <c r="U35" s="1560">
        <f t="shared" si="13"/>
        <v>100</v>
      </c>
      <c r="V35" s="1559" t="s">
        <v>8</v>
      </c>
      <c r="W35" s="1560">
        <f t="shared" si="14"/>
        <v>100</v>
      </c>
      <c r="X35" s="1553"/>
      <c r="Y35" s="3388"/>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8"/>
      <c r="Q36" s="1558" t="str">
        <f t="shared" si="11"/>
        <v>公共部分装修</v>
      </c>
      <c r="R36" s="1559" t="s">
        <v>8</v>
      </c>
      <c r="S36" s="1560">
        <f t="shared" si="12"/>
        <v>100</v>
      </c>
      <c r="T36" s="1559" t="s">
        <v>8</v>
      </c>
      <c r="U36" s="1560">
        <f t="shared" si="13"/>
        <v>100</v>
      </c>
      <c r="V36" s="1559" t="s">
        <v>8</v>
      </c>
      <c r="W36" s="1560">
        <f t="shared" si="14"/>
        <v>100</v>
      </c>
      <c r="X36" s="1553"/>
      <c r="Y36" s="3388"/>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388"/>
      <c r="Q37" s="1558" t="str">
        <f t="shared" si="11"/>
        <v>成新度</v>
      </c>
      <c r="R37" s="1559" t="s">
        <v>8</v>
      </c>
      <c r="S37" s="1560" t="e">
        <f t="shared" si="12"/>
        <v>#N/A</v>
      </c>
      <c r="T37" s="1559" t="s">
        <v>8</v>
      </c>
      <c r="U37" s="1560" t="e">
        <f t="shared" si="13"/>
        <v>#N/A</v>
      </c>
      <c r="V37" s="1559" t="s">
        <v>8</v>
      </c>
      <c r="W37" s="1560" t="e">
        <f t="shared" si="14"/>
        <v>#N/A</v>
      </c>
      <c r="X37" s="1553"/>
      <c r="Y37" s="3388"/>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8"/>
      <c r="Q38" s="1146" t="str">
        <f t="shared" si="11"/>
        <v>写字楼等级</v>
      </c>
      <c r="R38" s="1554" t="s">
        <v>8</v>
      </c>
      <c r="S38" s="1555">
        <f t="shared" si="12"/>
        <v>100</v>
      </c>
      <c r="T38" s="1554" t="s">
        <v>8</v>
      </c>
      <c r="U38" s="1555">
        <f t="shared" si="13"/>
        <v>100</v>
      </c>
      <c r="V38" s="1554" t="s">
        <v>8</v>
      </c>
      <c r="W38" s="1555">
        <f t="shared" si="14"/>
        <v>100</v>
      </c>
      <c r="X38" s="1556"/>
      <c r="Y38" s="3388"/>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8" t="s">
        <v>550</v>
      </c>
      <c r="Q39" s="1558" t="str">
        <f t="shared" si="11"/>
        <v>物业管理</v>
      </c>
      <c r="R39" s="1559" t="s">
        <v>8</v>
      </c>
      <c r="S39" s="1560">
        <f t="shared" si="12"/>
        <v>100</v>
      </c>
      <c r="T39" s="1559" t="s">
        <v>8</v>
      </c>
      <c r="U39" s="1560">
        <f t="shared" si="13"/>
        <v>100</v>
      </c>
      <c r="V39" s="1559" t="s">
        <v>8</v>
      </c>
      <c r="W39" s="1560">
        <f t="shared" si="14"/>
        <v>100</v>
      </c>
      <c r="X39" s="1553"/>
      <c r="Y39" s="3388"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8"/>
      <c r="Q40" s="1558" t="str">
        <f t="shared" si="11"/>
        <v>市政基础设施</v>
      </c>
      <c r="R40" s="1559" t="s">
        <v>8</v>
      </c>
      <c r="S40" s="1560">
        <f t="shared" si="12"/>
        <v>100</v>
      </c>
      <c r="T40" s="1559" t="s">
        <v>8</v>
      </c>
      <c r="U40" s="1560">
        <f t="shared" si="13"/>
        <v>100</v>
      </c>
      <c r="V40" s="1559" t="s">
        <v>8</v>
      </c>
      <c r="W40" s="1560">
        <f t="shared" si="14"/>
        <v>100</v>
      </c>
      <c r="X40" s="1553"/>
      <c r="Y40" s="3388"/>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8"/>
      <c r="Q41" s="1558" t="str">
        <f t="shared" si="11"/>
        <v>层高</v>
      </c>
      <c r="R41" s="1559" t="s">
        <v>8</v>
      </c>
      <c r="S41" s="1560">
        <f t="shared" si="12"/>
        <v>100</v>
      </c>
      <c r="T41" s="1559" t="s">
        <v>8</v>
      </c>
      <c r="U41" s="1560">
        <f t="shared" si="13"/>
        <v>100</v>
      </c>
      <c r="V41" s="1559" t="s">
        <v>8</v>
      </c>
      <c r="W41" s="1560">
        <f t="shared" si="14"/>
        <v>100</v>
      </c>
      <c r="X41" s="1553"/>
      <c r="Y41" s="3388"/>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8"/>
      <c r="Q42" s="1590" t="str">
        <f t="shared" si="11"/>
        <v>单套建筑面积</v>
      </c>
      <c r="R42" s="1563" t="s">
        <v>8</v>
      </c>
      <c r="S42" s="1564">
        <f t="shared" si="12"/>
        <v>100</v>
      </c>
      <c r="T42" s="1563" t="s">
        <v>8</v>
      </c>
      <c r="U42" s="1564">
        <f t="shared" si="13"/>
        <v>100</v>
      </c>
      <c r="V42" s="1563" t="s">
        <v>8</v>
      </c>
      <c r="W42" s="1564">
        <f t="shared" si="14"/>
        <v>100</v>
      </c>
      <c r="X42" s="1565"/>
      <c r="Y42" s="3388"/>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8"/>
      <c r="Q43" s="1558" t="str">
        <f t="shared" si="11"/>
        <v>内部装修</v>
      </c>
      <c r="R43" s="1559" t="s">
        <v>8</v>
      </c>
      <c r="S43" s="1560">
        <f t="shared" si="12"/>
        <v>100</v>
      </c>
      <c r="T43" s="1559" t="s">
        <v>8</v>
      </c>
      <c r="U43" s="1560">
        <f t="shared" si="13"/>
        <v>100</v>
      </c>
      <c r="V43" s="1559" t="s">
        <v>8</v>
      </c>
      <c r="W43" s="1560">
        <f t="shared" si="14"/>
        <v>100</v>
      </c>
      <c r="X43" s="1553"/>
      <c r="Y43" s="3388"/>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8"/>
      <c r="Q44" s="1558" t="str">
        <f t="shared" si="11"/>
        <v>内部装修维护情况</v>
      </c>
      <c r="R44" s="1559" t="s">
        <v>8</v>
      </c>
      <c r="S44" s="1560">
        <f t="shared" si="12"/>
        <v>100</v>
      </c>
      <c r="T44" s="1559" t="s">
        <v>8</v>
      </c>
      <c r="U44" s="1560">
        <f t="shared" si="13"/>
        <v>100</v>
      </c>
      <c r="V44" s="1559" t="s">
        <v>8</v>
      </c>
      <c r="W44" s="1560">
        <f t="shared" si="14"/>
        <v>100</v>
      </c>
      <c r="X44" s="1553"/>
      <c r="Y44" s="3388"/>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8"/>
      <c r="Q45" s="1146">
        <f t="shared" si="11"/>
        <v>111</v>
      </c>
      <c r="R45" s="1554" t="s">
        <v>8</v>
      </c>
      <c r="S45" s="1555">
        <f t="shared" si="12"/>
        <v>100</v>
      </c>
      <c r="T45" s="1554" t="s">
        <v>8</v>
      </c>
      <c r="U45" s="1555">
        <f t="shared" si="13"/>
        <v>100</v>
      </c>
      <c r="V45" s="1554" t="s">
        <v>8</v>
      </c>
      <c r="W45" s="1555">
        <f t="shared" si="14"/>
        <v>100</v>
      </c>
      <c r="X45" s="1556"/>
      <c r="Y45" s="3388"/>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8"/>
      <c r="Q46" s="1558">
        <f t="shared" si="11"/>
        <v>111</v>
      </c>
      <c r="R46" s="1559" t="s">
        <v>8</v>
      </c>
      <c r="S46" s="1560">
        <f t="shared" si="12"/>
        <v>100</v>
      </c>
      <c r="T46" s="1559" t="s">
        <v>8</v>
      </c>
      <c r="U46" s="1560">
        <f t="shared" si="13"/>
        <v>100</v>
      </c>
      <c r="V46" s="1559" t="s">
        <v>8</v>
      </c>
      <c r="W46" s="1560">
        <f t="shared" si="14"/>
        <v>100</v>
      </c>
      <c r="X46" s="1553"/>
      <c r="Y46" s="3388"/>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0"/>
      <c r="Q47" s="1558">
        <f t="shared" si="11"/>
        <v>111</v>
      </c>
      <c r="R47" s="1559" t="s">
        <v>8</v>
      </c>
      <c r="S47" s="1560">
        <f t="shared" si="12"/>
        <v>100</v>
      </c>
      <c r="T47" s="1559" t="s">
        <v>8</v>
      </c>
      <c r="U47" s="1560">
        <f t="shared" si="13"/>
        <v>100</v>
      </c>
      <c r="V47" s="1559" t="s">
        <v>8</v>
      </c>
      <c r="W47" s="1560">
        <f t="shared" si="14"/>
        <v>100</v>
      </c>
      <c r="X47" s="1553"/>
      <c r="Y47" s="3490"/>
      <c r="Z47" s="1561">
        <f t="shared" si="15"/>
        <v>111</v>
      </c>
      <c r="AA47" s="1562">
        <f t="shared" si="3"/>
        <v>1</v>
      </c>
      <c r="AB47" s="1562">
        <f t="shared" si="4"/>
        <v>1</v>
      </c>
      <c r="AC47" s="1562">
        <f t="shared" si="5"/>
        <v>1</v>
      </c>
    </row>
    <row r="48" spans="1:29" ht="15">
      <c r="A48" s="607" t="s">
        <v>736</v>
      </c>
      <c r="B48" s="886"/>
      <c r="C48" s="2590" t="s">
        <v>1</v>
      </c>
      <c r="D48" s="2591"/>
      <c r="E48" s="2592"/>
      <c r="F48" s="2593"/>
      <c r="G48" s="2594"/>
      <c r="H48" s="2595"/>
      <c r="I48" s="2592"/>
      <c r="J48" s="2595"/>
      <c r="K48" s="1596"/>
      <c r="L48" s="2129"/>
      <c r="M48" s="2119"/>
      <c r="N48" s="2119"/>
      <c r="O48" s="2119"/>
      <c r="P48" s="3405" t="str">
        <f>A48</f>
        <v>成交单价（元/平方米）</v>
      </c>
      <c r="Q48" s="3383"/>
      <c r="R48" s="3489">
        <f>E48</f>
        <v>0</v>
      </c>
      <c r="S48" s="3489"/>
      <c r="T48" s="3489">
        <f>G48</f>
        <v>0</v>
      </c>
      <c r="U48" s="3489"/>
      <c r="V48" s="3489">
        <f>I48</f>
        <v>0</v>
      </c>
      <c r="W48" s="3489"/>
      <c r="X48" s="1545"/>
      <c r="Y48" s="1567"/>
      <c r="Z48" s="1545"/>
      <c r="AA48" s="1545"/>
      <c r="AB48" s="1545"/>
      <c r="AC48" s="1545"/>
    </row>
    <row r="49" spans="1:29" ht="15.75" thickBot="1">
      <c r="A49" s="615" t="s">
        <v>2759</v>
      </c>
      <c r="B49" s="887"/>
      <c r="C49" s="2596" t="e">
        <f>R50</f>
        <v>#DIV/0!</v>
      </c>
      <c r="D49" s="2597"/>
      <c r="E49" s="2598" t="e">
        <f>R49</f>
        <v>#DIV/0!</v>
      </c>
      <c r="F49" s="2598"/>
      <c r="G49" s="2596" t="e">
        <f>T49</f>
        <v>#DIV/0!</v>
      </c>
      <c r="H49" s="2597"/>
      <c r="I49" s="2598" t="e">
        <f>V49</f>
        <v>#DIV/0!</v>
      </c>
      <c r="J49" s="2597"/>
      <c r="K49" s="1597"/>
      <c r="L49" s="2129"/>
      <c r="M49" s="2119"/>
      <c r="N49" s="2119"/>
      <c r="O49" s="2119"/>
      <c r="P49" s="3405" t="str">
        <f>A49</f>
        <v>比较价格（元/平方米）</v>
      </c>
      <c r="Q49" s="3383"/>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45"/>
      <c r="Y49" s="1545"/>
      <c r="Z49" s="1545"/>
      <c r="AA49" s="1545"/>
      <c r="AB49" s="1545"/>
      <c r="AC49" s="1545"/>
    </row>
    <row r="50" spans="1:29" ht="15.75" thickBot="1">
      <c r="A50" s="621" t="s">
        <v>2926</v>
      </c>
      <c r="B50" s="622"/>
      <c r="C50" s="2599" t="e">
        <f>R50</f>
        <v>#DIV/0!</v>
      </c>
      <c r="D50" s="2599"/>
      <c r="E50" s="2599"/>
      <c r="F50" s="2599"/>
      <c r="G50" s="2599"/>
      <c r="H50" s="2599"/>
      <c r="I50" s="2599"/>
      <c r="J50" s="2599"/>
      <c r="K50" s="1598"/>
      <c r="L50" s="2129"/>
      <c r="M50" s="2119"/>
      <c r="N50" s="2119"/>
      <c r="O50" s="2119"/>
      <c r="P50" s="3494" t="str">
        <f>A50</f>
        <v>估价对象XX用房的比较价格（楼面单价，元/平方米）</v>
      </c>
      <c r="Q50" s="3405"/>
      <c r="R50" s="3488" t="e">
        <f>IF(F1="售价",ROUND(AVERAGE(R49:V49),0),ROUND(AVERAGE(R49:V49),1))</f>
        <v>#DIV/0!</v>
      </c>
      <c r="S50" s="3488"/>
      <c r="T50" s="3488"/>
      <c r="U50" s="3488"/>
      <c r="V50" s="3488"/>
      <c r="W50" s="3488"/>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0" t="s">
        <v>2557</v>
      </c>
      <c r="C83" s="2561" t="s">
        <v>2558</v>
      </c>
      <c r="D83" s="2561" t="s">
        <v>2559</v>
      </c>
      <c r="E83" s="2561" t="s">
        <v>2560</v>
      </c>
      <c r="F83" s="2561" t="s">
        <v>2561</v>
      </c>
      <c r="G83" s="2561" t="s">
        <v>2562</v>
      </c>
      <c r="H83" s="674"/>
      <c r="I83" s="674"/>
      <c r="J83" s="674"/>
      <c r="K83" s="674"/>
      <c r="L83" s="674"/>
      <c r="M83" s="2564"/>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1"/>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89" t="s">
        <v>522</v>
      </c>
      <c r="D4" s="3390"/>
      <c r="E4" s="3413" t="s">
        <v>523</v>
      </c>
      <c r="F4" s="3414"/>
      <c r="G4" s="3389" t="s">
        <v>524</v>
      </c>
      <c r="H4" s="3390"/>
      <c r="I4" s="3389" t="s">
        <v>525</v>
      </c>
      <c r="J4" s="3390"/>
      <c r="K4" s="514" t="s">
        <v>526</v>
      </c>
      <c r="L4" s="2118"/>
      <c r="M4" s="2119"/>
      <c r="N4" s="2119"/>
      <c r="O4" s="2119"/>
      <c r="P4" s="3391" t="s">
        <v>527</v>
      </c>
      <c r="Q4" s="3392"/>
      <c r="R4" s="3377" t="s">
        <v>523</v>
      </c>
      <c r="S4" s="3378"/>
      <c r="T4" s="3377" t="s">
        <v>524</v>
      </c>
      <c r="U4" s="3378"/>
      <c r="V4" s="3397" t="s">
        <v>525</v>
      </c>
      <c r="W4" s="3397"/>
      <c r="X4" s="1553"/>
      <c r="Y4" s="3377" t="s">
        <v>527</v>
      </c>
      <c r="Z4" s="3378"/>
      <c r="AA4" s="3372" t="s">
        <v>523</v>
      </c>
      <c r="AB4" s="3373" t="s">
        <v>524</v>
      </c>
      <c r="AC4" s="3372" t="s">
        <v>525</v>
      </c>
    </row>
    <row r="5" spans="1:29" ht="15">
      <c r="A5" s="515"/>
      <c r="B5" s="516"/>
      <c r="C5" s="3400" t="s">
        <v>2920</v>
      </c>
      <c r="D5" s="3401"/>
      <c r="E5" s="3415" t="s">
        <v>2921</v>
      </c>
      <c r="F5" s="3416"/>
      <c r="G5" s="3400" t="s">
        <v>2922</v>
      </c>
      <c r="H5" s="3401"/>
      <c r="I5" s="3400" t="s">
        <v>2923</v>
      </c>
      <c r="J5" s="3401"/>
      <c r="K5" s="514"/>
      <c r="L5" s="2118"/>
      <c r="M5" s="2119"/>
      <c r="N5" s="2119"/>
      <c r="O5" s="2119"/>
      <c r="P5" s="3393"/>
      <c r="Q5" s="3394"/>
      <c r="R5" s="3379"/>
      <c r="S5" s="3380"/>
      <c r="T5" s="3379"/>
      <c r="U5" s="3380"/>
      <c r="V5" s="3397"/>
      <c r="W5" s="3397"/>
      <c r="X5" s="1553"/>
      <c r="Y5" s="3379"/>
      <c r="Z5" s="3380"/>
      <c r="AA5" s="3373"/>
      <c r="AB5" s="3373"/>
      <c r="AC5" s="3373"/>
    </row>
    <row r="6" spans="1:29" ht="15.75" thickBot="1">
      <c r="A6" s="517"/>
      <c r="B6" s="518"/>
      <c r="C6" s="3398" t="s">
        <v>2924</v>
      </c>
      <c r="D6" s="3399"/>
      <c r="E6" s="3417" t="s">
        <v>2924</v>
      </c>
      <c r="F6" s="3418"/>
      <c r="G6" s="3398" t="s">
        <v>2924</v>
      </c>
      <c r="H6" s="3399"/>
      <c r="I6" s="3398" t="s">
        <v>2924</v>
      </c>
      <c r="J6" s="3399"/>
      <c r="K6" s="514" t="s">
        <v>528</v>
      </c>
      <c r="L6" s="2118"/>
      <c r="M6" s="2119"/>
      <c r="N6" s="2119"/>
      <c r="O6" s="2119"/>
      <c r="P6" s="3395"/>
      <c r="Q6" s="3396"/>
      <c r="R6" s="3379"/>
      <c r="S6" s="3380"/>
      <c r="T6" s="3381"/>
      <c r="U6" s="3382"/>
      <c r="V6" s="3397"/>
      <c r="W6" s="3397"/>
      <c r="X6" s="1553"/>
      <c r="Y6" s="3381"/>
      <c r="Z6" s="3382"/>
      <c r="AA6" s="3374"/>
      <c r="AB6" s="3374"/>
      <c r="AC6" s="3374"/>
    </row>
    <row r="7" spans="1:29" s="1215" customFormat="1" ht="15.75" thickBot="1">
      <c r="A7" s="2866"/>
      <c r="B7" s="2873" t="s">
        <v>529</v>
      </c>
      <c r="C7" s="519">
        <f>'数据-取费表'!B2</f>
        <v>43581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5" t="s">
        <v>530</v>
      </c>
      <c r="Q7" s="3384"/>
      <c r="R7" s="1554" t="s">
        <v>8</v>
      </c>
      <c r="S7" s="1555">
        <f t="shared" ref="S7:S15" si="0">F7</f>
        <v>0</v>
      </c>
      <c r="T7" s="1554" t="s">
        <v>8</v>
      </c>
      <c r="U7" s="1555">
        <f t="shared" ref="U7:U15" si="1">H7</f>
        <v>0</v>
      </c>
      <c r="V7" s="1554" t="s">
        <v>8</v>
      </c>
      <c r="W7" s="1555">
        <f t="shared" ref="W7:W15" si="2">J7</f>
        <v>0</v>
      </c>
      <c r="X7" s="1556"/>
      <c r="Y7" s="3375" t="s">
        <v>530</v>
      </c>
      <c r="Z7" s="3376"/>
      <c r="AA7" s="1557" t="e">
        <f>D7/F7</f>
        <v>#DIV/0!</v>
      </c>
      <c r="AB7" s="1557" t="e">
        <f>D7/H7</f>
        <v>#DIV/0!</v>
      </c>
      <c r="AC7" s="1557"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5" t="s">
        <v>533</v>
      </c>
      <c r="Q8" s="3376"/>
      <c r="R8" s="1554" t="s">
        <v>8</v>
      </c>
      <c r="S8" s="1555">
        <f t="shared" si="0"/>
        <v>0</v>
      </c>
      <c r="T8" s="1554" t="s">
        <v>8</v>
      </c>
      <c r="U8" s="1555">
        <f t="shared" si="1"/>
        <v>0</v>
      </c>
      <c r="V8" s="1554" t="s">
        <v>8</v>
      </c>
      <c r="W8" s="1555">
        <f t="shared" si="2"/>
        <v>0</v>
      </c>
      <c r="X8" s="1556"/>
      <c r="Y8" s="3375" t="s">
        <v>533</v>
      </c>
      <c r="Z8" s="3376"/>
      <c r="AA8" s="1557" t="e">
        <f t="shared" ref="AA8:AA40" si="3">D8/F8</f>
        <v>#DIV/0!</v>
      </c>
      <c r="AB8" s="1557" t="e">
        <f t="shared" ref="AB8:AB40" si="4">D8/H8</f>
        <v>#DIV/0!</v>
      </c>
      <c r="AC8" s="1557" t="e">
        <f t="shared" ref="AC8:AC40" si="5">D8/J8</f>
        <v>#DIV/0!</v>
      </c>
    </row>
    <row r="9" spans="1:29" s="1215"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3" t="s">
        <v>535</v>
      </c>
      <c r="Q9" s="1146" t="str">
        <f t="shared" ref="Q9:Q15" si="6">B9</f>
        <v>用途</v>
      </c>
      <c r="R9" s="1554" t="s">
        <v>8</v>
      </c>
      <c r="S9" s="1555">
        <f t="shared" si="0"/>
        <v>100</v>
      </c>
      <c r="T9" s="1554" t="s">
        <v>8</v>
      </c>
      <c r="U9" s="1555">
        <f t="shared" si="1"/>
        <v>100</v>
      </c>
      <c r="V9" s="1554" t="s">
        <v>8</v>
      </c>
      <c r="W9" s="1555">
        <f t="shared" si="2"/>
        <v>100</v>
      </c>
      <c r="X9" s="1556"/>
      <c r="Y9" s="3340"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3"/>
      <c r="Q10" s="1146" t="str">
        <f t="shared" si="6"/>
        <v>土地使用年限（年）</v>
      </c>
      <c r="R10" s="1554" t="s">
        <v>8</v>
      </c>
      <c r="S10" s="1555">
        <f t="shared" si="0"/>
        <v>100</v>
      </c>
      <c r="T10" s="1554" t="s">
        <v>8</v>
      </c>
      <c r="U10" s="1555">
        <f t="shared" si="1"/>
        <v>100</v>
      </c>
      <c r="V10" s="1554" t="s">
        <v>8</v>
      </c>
      <c r="W10" s="1555">
        <f t="shared" si="2"/>
        <v>100</v>
      </c>
      <c r="X10" s="1556"/>
      <c r="Y10" s="3340"/>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3"/>
      <c r="Q11" s="1146" t="str">
        <f t="shared" si="6"/>
        <v>容积率</v>
      </c>
      <c r="R11" s="1554" t="s">
        <v>8</v>
      </c>
      <c r="S11" s="1555" t="e">
        <f t="shared" si="0"/>
        <v>#N/A</v>
      </c>
      <c r="T11" s="1554" t="s">
        <v>8</v>
      </c>
      <c r="U11" s="1555" t="e">
        <f t="shared" si="1"/>
        <v>#N/A</v>
      </c>
      <c r="V11" s="1554" t="s">
        <v>8</v>
      </c>
      <c r="W11" s="1555" t="e">
        <f t="shared" si="2"/>
        <v>#N/A</v>
      </c>
      <c r="X11" s="1556"/>
      <c r="Y11" s="3340"/>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83"/>
      <c r="Q12" s="1146">
        <f t="shared" si="6"/>
        <v>111</v>
      </c>
      <c r="R12" s="1554" t="s">
        <v>8</v>
      </c>
      <c r="S12" s="1555">
        <f t="shared" si="0"/>
        <v>100</v>
      </c>
      <c r="T12" s="1554" t="s">
        <v>8</v>
      </c>
      <c r="U12" s="1555">
        <f t="shared" si="1"/>
        <v>100</v>
      </c>
      <c r="V12" s="1554" t="s">
        <v>8</v>
      </c>
      <c r="W12" s="1555">
        <f t="shared" si="2"/>
        <v>100</v>
      </c>
      <c r="X12" s="1556"/>
      <c r="Y12" s="3340"/>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83"/>
      <c r="Q13" s="1146">
        <f t="shared" si="6"/>
        <v>111</v>
      </c>
      <c r="R13" s="1554" t="s">
        <v>8</v>
      </c>
      <c r="S13" s="1555">
        <f t="shared" si="0"/>
        <v>100</v>
      </c>
      <c r="T13" s="1554" t="s">
        <v>8</v>
      </c>
      <c r="U13" s="1555">
        <f t="shared" si="1"/>
        <v>100</v>
      </c>
      <c r="V13" s="1554" t="s">
        <v>8</v>
      </c>
      <c r="W13" s="1555">
        <f t="shared" si="2"/>
        <v>100</v>
      </c>
      <c r="X13" s="1556"/>
      <c r="Y13" s="3340"/>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83"/>
      <c r="Q14" s="1146">
        <f t="shared" si="6"/>
        <v>111</v>
      </c>
      <c r="R14" s="1554" t="s">
        <v>8</v>
      </c>
      <c r="S14" s="1555">
        <f t="shared" si="0"/>
        <v>100</v>
      </c>
      <c r="T14" s="1554" t="s">
        <v>8</v>
      </c>
      <c r="U14" s="1555">
        <f t="shared" si="1"/>
        <v>100</v>
      </c>
      <c r="V14" s="1554" t="s">
        <v>8</v>
      </c>
      <c r="W14" s="1555">
        <f t="shared" si="2"/>
        <v>100</v>
      </c>
      <c r="X14" s="1556"/>
      <c r="Y14" s="3340"/>
      <c r="Z14" s="1145">
        <f t="shared" si="7"/>
        <v>111</v>
      </c>
      <c r="AA14" s="1557">
        <f t="shared" si="3"/>
        <v>1</v>
      </c>
      <c r="AB14" s="1557">
        <f t="shared" si="4"/>
        <v>1</v>
      </c>
      <c r="AC14" s="1557">
        <f t="shared" si="5"/>
        <v>1</v>
      </c>
    </row>
    <row r="15" spans="1:29" ht="15">
      <c r="A15" s="2864" t="s">
        <v>2753</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385" t="s">
        <v>540</v>
      </c>
      <c r="Q15" s="1558" t="str">
        <f t="shared" si="6"/>
        <v>产业集聚程度</v>
      </c>
      <c r="R15" s="1559" t="s">
        <v>8</v>
      </c>
      <c r="S15" s="1560">
        <f t="shared" si="0"/>
        <v>100</v>
      </c>
      <c r="T15" s="1559" t="s">
        <v>8</v>
      </c>
      <c r="U15" s="1560">
        <f t="shared" si="1"/>
        <v>100</v>
      </c>
      <c r="V15" s="1559" t="s">
        <v>8</v>
      </c>
      <c r="W15" s="1560">
        <f t="shared" si="2"/>
        <v>100</v>
      </c>
      <c r="X15" s="1553"/>
      <c r="Y15" s="3385"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386"/>
      <c r="Q16" s="1558"/>
      <c r="R16" s="1559"/>
      <c r="S16" s="1560"/>
      <c r="T16" s="1559"/>
      <c r="U16" s="1560"/>
      <c r="V16" s="1559"/>
      <c r="W16" s="1560"/>
      <c r="X16" s="1553"/>
      <c r="Y16" s="3386"/>
      <c r="Z16" s="1561"/>
      <c r="AA16" s="1562">
        <v>1</v>
      </c>
      <c r="AB16" s="1562">
        <v>1</v>
      </c>
      <c r="AC16" s="156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386"/>
      <c r="Q17" s="1558" t="str">
        <f>B17</f>
        <v>交通便捷度</v>
      </c>
      <c r="R17" s="1559" t="s">
        <v>8</v>
      </c>
      <c r="S17" s="1560">
        <f>F17</f>
        <v>100</v>
      </c>
      <c r="T17" s="1559" t="s">
        <v>8</v>
      </c>
      <c r="U17" s="1560">
        <f>H17</f>
        <v>100</v>
      </c>
      <c r="V17" s="1559" t="s">
        <v>8</v>
      </c>
      <c r="W17" s="1560">
        <f>J17</f>
        <v>100</v>
      </c>
      <c r="X17" s="1553"/>
      <c r="Y17" s="338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386"/>
      <c r="Q18" s="1558"/>
      <c r="R18" s="1559"/>
      <c r="S18" s="1560"/>
      <c r="T18" s="1559"/>
      <c r="U18" s="1560"/>
      <c r="V18" s="1559"/>
      <c r="W18" s="1560"/>
      <c r="X18" s="1553"/>
      <c r="Y18" s="3386"/>
      <c r="Z18" s="1561"/>
      <c r="AA18" s="1562">
        <v>1</v>
      </c>
      <c r="AB18" s="1562">
        <v>1</v>
      </c>
      <c r="AC18" s="1562">
        <v>1</v>
      </c>
    </row>
    <row r="19" spans="1:29" ht="15">
      <c r="A19" s="532"/>
      <c r="B19" s="2566" t="s">
        <v>2545</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386"/>
      <c r="Q19" s="1558" t="str">
        <f>B19</f>
        <v>公共配套设施</v>
      </c>
      <c r="R19" s="1559" t="s">
        <v>8</v>
      </c>
      <c r="S19" s="1560">
        <f>F19</f>
        <v>100</v>
      </c>
      <c r="T19" s="1559" t="s">
        <v>8</v>
      </c>
      <c r="U19" s="1560">
        <f>H19</f>
        <v>100</v>
      </c>
      <c r="V19" s="1559" t="s">
        <v>8</v>
      </c>
      <c r="W19" s="1560">
        <f>J19</f>
        <v>100</v>
      </c>
      <c r="X19" s="1553"/>
      <c r="Y19" s="338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386"/>
      <c r="Q20" s="1558"/>
      <c r="R20" s="1559"/>
      <c r="S20" s="1560"/>
      <c r="T20" s="1559"/>
      <c r="U20" s="1560"/>
      <c r="V20" s="1559"/>
      <c r="W20" s="1560"/>
      <c r="X20" s="1553"/>
      <c r="Y20" s="3386"/>
      <c r="Z20" s="1561"/>
      <c r="AA20" s="1562">
        <v>1</v>
      </c>
      <c r="AB20" s="1562">
        <v>1</v>
      </c>
      <c r="AC20" s="1562">
        <v>1</v>
      </c>
    </row>
    <row r="21" spans="1:29" ht="15">
      <c r="A21" s="532"/>
      <c r="B21" s="2554" t="s">
        <v>2557</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386"/>
      <c r="Q21" s="2542" t="str">
        <f>B21</f>
        <v>基础设施水平</v>
      </c>
      <c r="R21" s="1559" t="s">
        <v>8</v>
      </c>
      <c r="S21" s="1560">
        <f>F21</f>
        <v>100</v>
      </c>
      <c r="T21" s="1559" t="s">
        <v>8</v>
      </c>
      <c r="U21" s="1560">
        <f>H21</f>
        <v>100</v>
      </c>
      <c r="V21" s="1559" t="s">
        <v>8</v>
      </c>
      <c r="W21" s="1560">
        <f>J21</f>
        <v>100</v>
      </c>
      <c r="X21" s="2544"/>
      <c r="Y21" s="3386"/>
      <c r="Z21" s="2543"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5"/>
      <c r="L22" s="2127"/>
      <c r="M22" s="2119"/>
      <c r="N22" s="2119"/>
      <c r="O22" s="2126"/>
      <c r="P22" s="3386"/>
      <c r="Q22" s="2542"/>
      <c r="R22" s="1559"/>
      <c r="S22" s="1560"/>
      <c r="T22" s="1559"/>
      <c r="U22" s="1560"/>
      <c r="V22" s="1559"/>
      <c r="W22" s="1560"/>
      <c r="X22" s="2544"/>
      <c r="Y22" s="3386"/>
      <c r="Z22" s="2543"/>
      <c r="AA22" s="1562">
        <v>1</v>
      </c>
      <c r="AB22" s="1562">
        <v>1</v>
      </c>
      <c r="AC22" s="1562">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386"/>
      <c r="Q23" s="1558" t="str">
        <f>B23</f>
        <v>环境质量</v>
      </c>
      <c r="R23" s="1559" t="s">
        <v>8</v>
      </c>
      <c r="S23" s="1560">
        <f>F23</f>
        <v>100</v>
      </c>
      <c r="T23" s="1559" t="s">
        <v>8</v>
      </c>
      <c r="U23" s="1560">
        <f>H23</f>
        <v>100</v>
      </c>
      <c r="V23" s="1559" t="s">
        <v>8</v>
      </c>
      <c r="W23" s="1560">
        <f>J23</f>
        <v>100</v>
      </c>
      <c r="X23" s="1553"/>
      <c r="Y23" s="3386"/>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386"/>
      <c r="Q24" s="1558"/>
      <c r="R24" s="1559"/>
      <c r="S24" s="1560"/>
      <c r="T24" s="1559"/>
      <c r="U24" s="1560"/>
      <c r="V24" s="1559"/>
      <c r="W24" s="1560"/>
      <c r="X24" s="1553"/>
      <c r="Y24" s="338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6"/>
      <c r="Q25" s="1558">
        <f>B25</f>
        <v>111</v>
      </c>
      <c r="R25" s="1559" t="s">
        <v>8</v>
      </c>
      <c r="S25" s="1560">
        <f>F25</f>
        <v>100</v>
      </c>
      <c r="T25" s="1559" t="s">
        <v>8</v>
      </c>
      <c r="U25" s="1560">
        <f>H25</f>
        <v>100</v>
      </c>
      <c r="V25" s="1559" t="s">
        <v>8</v>
      </c>
      <c r="W25" s="1560">
        <f>J25</f>
        <v>100</v>
      </c>
      <c r="X25" s="1553"/>
      <c r="Y25" s="338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6"/>
      <c r="Q26" s="1558">
        <f t="shared" ref="Q26:Q40" si="11">B26</f>
        <v>111</v>
      </c>
      <c r="R26" s="1559" t="s">
        <v>8</v>
      </c>
      <c r="S26" s="1560">
        <f>F26</f>
        <v>100</v>
      </c>
      <c r="T26" s="1559" t="s">
        <v>8</v>
      </c>
      <c r="U26" s="1560">
        <f>H26</f>
        <v>100</v>
      </c>
      <c r="V26" s="1559" t="s">
        <v>8</v>
      </c>
      <c r="W26" s="1560">
        <f>J26</f>
        <v>100</v>
      </c>
      <c r="X26" s="1553"/>
      <c r="Y26" s="3386"/>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6"/>
      <c r="Q27" s="1146">
        <f t="shared" si="11"/>
        <v>111</v>
      </c>
      <c r="R27" s="1554" t="s">
        <v>8</v>
      </c>
      <c r="S27" s="1555">
        <f>F27</f>
        <v>100</v>
      </c>
      <c r="T27" s="1554" t="s">
        <v>8</v>
      </c>
      <c r="U27" s="1555">
        <f>H27</f>
        <v>100</v>
      </c>
      <c r="V27" s="1554" t="s">
        <v>8</v>
      </c>
      <c r="W27" s="1555">
        <f>J27</f>
        <v>100</v>
      </c>
      <c r="X27" s="1556"/>
      <c r="Y27" s="3386"/>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386"/>
      <c r="Q28" s="1558">
        <f t="shared" si="11"/>
        <v>111</v>
      </c>
      <c r="R28" s="1559" t="s">
        <v>8</v>
      </c>
      <c r="S28" s="1560">
        <f t="shared" ref="S28:S40" si="12">F28</f>
        <v>100</v>
      </c>
      <c r="T28" s="1559" t="s">
        <v>8</v>
      </c>
      <c r="U28" s="1560">
        <f t="shared" ref="U28:U40" si="13">H28</f>
        <v>100</v>
      </c>
      <c r="V28" s="1559" t="s">
        <v>8</v>
      </c>
      <c r="W28" s="1560">
        <f t="shared" ref="W28:W40" si="14">J28</f>
        <v>100</v>
      </c>
      <c r="X28" s="1553"/>
      <c r="Y28" s="3386"/>
      <c r="Z28" s="1561">
        <f t="shared" ref="Z28:Z40" si="15">Q28</f>
        <v>111</v>
      </c>
      <c r="AA28" s="1562">
        <f t="shared" si="3"/>
        <v>1</v>
      </c>
      <c r="AB28" s="1562">
        <f t="shared" si="4"/>
        <v>1</v>
      </c>
      <c r="AC28" s="1562">
        <f t="shared" si="5"/>
        <v>1</v>
      </c>
    </row>
    <row r="29" spans="1:29" ht="15">
      <c r="A29" s="2861"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387" t="s">
        <v>550</v>
      </c>
      <c r="Q29" s="1558" t="str">
        <f t="shared" si="11"/>
        <v>建筑类型</v>
      </c>
      <c r="R29" s="1559" t="s">
        <v>8</v>
      </c>
      <c r="S29" s="1560">
        <f t="shared" si="12"/>
        <v>100</v>
      </c>
      <c r="T29" s="1559" t="s">
        <v>8</v>
      </c>
      <c r="U29" s="1560">
        <f t="shared" si="13"/>
        <v>100</v>
      </c>
      <c r="V29" s="1559" t="s">
        <v>8</v>
      </c>
      <c r="W29" s="1560">
        <f t="shared" si="14"/>
        <v>100</v>
      </c>
      <c r="X29" s="1553"/>
      <c r="Y29" s="3388"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8"/>
      <c r="Q30" s="1590" t="str">
        <f t="shared" si="11"/>
        <v>项目建筑规模</v>
      </c>
      <c r="R30" s="1563" t="s">
        <v>8</v>
      </c>
      <c r="S30" s="1564" t="e">
        <f t="shared" si="12"/>
        <v>#N/A</v>
      </c>
      <c r="T30" s="1563" t="s">
        <v>8</v>
      </c>
      <c r="U30" s="1564" t="e">
        <f t="shared" si="13"/>
        <v>#N/A</v>
      </c>
      <c r="V30" s="1563" t="s">
        <v>8</v>
      </c>
      <c r="W30" s="1564" t="e">
        <f t="shared" si="14"/>
        <v>#N/A</v>
      </c>
      <c r="X30" s="1565"/>
      <c r="Y30" s="3388"/>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8"/>
      <c r="Q31" s="1558" t="str">
        <f t="shared" si="11"/>
        <v>建筑结构</v>
      </c>
      <c r="R31" s="1559" t="s">
        <v>8</v>
      </c>
      <c r="S31" s="1560">
        <f t="shared" si="12"/>
        <v>100</v>
      </c>
      <c r="T31" s="1559" t="s">
        <v>8</v>
      </c>
      <c r="U31" s="1560">
        <f t="shared" si="13"/>
        <v>100</v>
      </c>
      <c r="V31" s="1559" t="s">
        <v>8</v>
      </c>
      <c r="W31" s="1560">
        <f t="shared" si="14"/>
        <v>100</v>
      </c>
      <c r="X31" s="1553"/>
      <c r="Y31" s="3388"/>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8"/>
      <c r="Q32" s="1558" t="str">
        <f t="shared" si="11"/>
        <v>公共部分装修</v>
      </c>
      <c r="R32" s="1559" t="s">
        <v>8</v>
      </c>
      <c r="S32" s="1560">
        <f t="shared" si="12"/>
        <v>100</v>
      </c>
      <c r="T32" s="1559" t="s">
        <v>8</v>
      </c>
      <c r="U32" s="1560">
        <f t="shared" si="13"/>
        <v>100</v>
      </c>
      <c r="V32" s="1559" t="s">
        <v>8</v>
      </c>
      <c r="W32" s="1560">
        <f t="shared" si="14"/>
        <v>100</v>
      </c>
      <c r="X32" s="1553"/>
      <c r="Y32" s="3388"/>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388"/>
      <c r="Q33" s="1558" t="str">
        <f t="shared" si="11"/>
        <v>成新度</v>
      </c>
      <c r="R33" s="1559" t="s">
        <v>8</v>
      </c>
      <c r="S33" s="1560" t="e">
        <f t="shared" si="12"/>
        <v>#N/A</v>
      </c>
      <c r="T33" s="1559" t="s">
        <v>8</v>
      </c>
      <c r="U33" s="1560" t="e">
        <f t="shared" si="13"/>
        <v>#N/A</v>
      </c>
      <c r="V33" s="1559" t="s">
        <v>8</v>
      </c>
      <c r="W33" s="1560" t="e">
        <f t="shared" si="14"/>
        <v>#N/A</v>
      </c>
      <c r="X33" s="1553"/>
      <c r="Y33" s="3388"/>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8"/>
      <c r="Q34" s="1146" t="str">
        <f t="shared" si="11"/>
        <v>物业管理</v>
      </c>
      <c r="R34" s="1554" t="s">
        <v>8</v>
      </c>
      <c r="S34" s="1555">
        <f t="shared" si="12"/>
        <v>100</v>
      </c>
      <c r="T34" s="1554" t="s">
        <v>8</v>
      </c>
      <c r="U34" s="1555">
        <f t="shared" si="13"/>
        <v>100</v>
      </c>
      <c r="V34" s="1554" t="s">
        <v>8</v>
      </c>
      <c r="W34" s="1555">
        <f t="shared" si="14"/>
        <v>100</v>
      </c>
      <c r="X34" s="1556"/>
      <c r="Y34" s="3388"/>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8" t="s">
        <v>550</v>
      </c>
      <c r="Q35" s="1558" t="str">
        <f t="shared" si="11"/>
        <v>市政基础设施</v>
      </c>
      <c r="R35" s="1559" t="s">
        <v>8</v>
      </c>
      <c r="S35" s="1560">
        <f t="shared" si="12"/>
        <v>100</v>
      </c>
      <c r="T35" s="1559" t="s">
        <v>8</v>
      </c>
      <c r="U35" s="1560">
        <f t="shared" si="13"/>
        <v>100</v>
      </c>
      <c r="V35" s="1559" t="s">
        <v>8</v>
      </c>
      <c r="W35" s="1560">
        <f t="shared" si="14"/>
        <v>100</v>
      </c>
      <c r="X35" s="1553"/>
      <c r="Y35" s="3388"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8"/>
      <c r="Q36" s="1558" t="str">
        <f t="shared" si="11"/>
        <v>内部装修</v>
      </c>
      <c r="R36" s="1559" t="s">
        <v>8</v>
      </c>
      <c r="S36" s="1560">
        <f t="shared" si="12"/>
        <v>100</v>
      </c>
      <c r="T36" s="1559" t="s">
        <v>8</v>
      </c>
      <c r="U36" s="1560">
        <f t="shared" si="13"/>
        <v>100</v>
      </c>
      <c r="V36" s="1559" t="s">
        <v>8</v>
      </c>
      <c r="W36" s="1560">
        <f t="shared" si="14"/>
        <v>100</v>
      </c>
      <c r="X36" s="1553"/>
      <c r="Y36" s="3388"/>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8"/>
      <c r="Q37" s="1558" t="str">
        <f t="shared" si="11"/>
        <v>内部装修状况</v>
      </c>
      <c r="R37" s="1559" t="s">
        <v>8</v>
      </c>
      <c r="S37" s="1560">
        <f t="shared" si="12"/>
        <v>100</v>
      </c>
      <c r="T37" s="1559" t="s">
        <v>8</v>
      </c>
      <c r="U37" s="1560">
        <f t="shared" si="13"/>
        <v>100</v>
      </c>
      <c r="V37" s="1559" t="s">
        <v>8</v>
      </c>
      <c r="W37" s="1560">
        <f t="shared" si="14"/>
        <v>100</v>
      </c>
      <c r="X37" s="1553"/>
      <c r="Y37" s="3388"/>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388"/>
      <c r="Q38" s="1590">
        <f t="shared" si="11"/>
        <v>111</v>
      </c>
      <c r="R38" s="1563" t="s">
        <v>8</v>
      </c>
      <c r="S38" s="1564">
        <f t="shared" si="12"/>
        <v>100</v>
      </c>
      <c r="T38" s="1563" t="s">
        <v>8</v>
      </c>
      <c r="U38" s="1564">
        <f t="shared" si="13"/>
        <v>100</v>
      </c>
      <c r="V38" s="1563" t="s">
        <v>8</v>
      </c>
      <c r="W38" s="1564">
        <f t="shared" si="14"/>
        <v>100</v>
      </c>
      <c r="X38" s="1565"/>
      <c r="Y38" s="3388"/>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388"/>
      <c r="Q39" s="1558">
        <f t="shared" si="11"/>
        <v>111</v>
      </c>
      <c r="R39" s="1559" t="s">
        <v>8</v>
      </c>
      <c r="S39" s="1560">
        <f t="shared" si="12"/>
        <v>100</v>
      </c>
      <c r="T39" s="1559" t="s">
        <v>8</v>
      </c>
      <c r="U39" s="1560">
        <f t="shared" si="13"/>
        <v>100</v>
      </c>
      <c r="V39" s="1559" t="s">
        <v>8</v>
      </c>
      <c r="W39" s="1560">
        <f t="shared" si="14"/>
        <v>100</v>
      </c>
      <c r="X39" s="1553"/>
      <c r="Y39" s="3388"/>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490"/>
      <c r="Q40" s="1558">
        <f t="shared" si="11"/>
        <v>111</v>
      </c>
      <c r="R40" s="1559" t="s">
        <v>8</v>
      </c>
      <c r="S40" s="1560">
        <f t="shared" si="12"/>
        <v>100</v>
      </c>
      <c r="T40" s="1559" t="s">
        <v>8</v>
      </c>
      <c r="U40" s="1560">
        <f t="shared" si="13"/>
        <v>100</v>
      </c>
      <c r="V40" s="1559" t="s">
        <v>8</v>
      </c>
      <c r="W40" s="1560">
        <f t="shared" si="14"/>
        <v>100</v>
      </c>
      <c r="X40" s="1553"/>
      <c r="Y40" s="3490"/>
      <c r="Z40" s="1561">
        <f t="shared" si="15"/>
        <v>111</v>
      </c>
      <c r="AA40" s="1562">
        <f t="shared" si="3"/>
        <v>1</v>
      </c>
      <c r="AB40" s="1562">
        <f t="shared" si="4"/>
        <v>1</v>
      </c>
      <c r="AC40" s="1562">
        <f t="shared" si="5"/>
        <v>1</v>
      </c>
    </row>
    <row r="41" spans="1:29" ht="15">
      <c r="A41" s="607" t="s">
        <v>736</v>
      </c>
      <c r="B41" s="886"/>
      <c r="C41" s="2590" t="s">
        <v>1</v>
      </c>
      <c r="D41" s="2591"/>
      <c r="E41" s="2592"/>
      <c r="F41" s="2593"/>
      <c r="G41" s="2594"/>
      <c r="H41" s="2595"/>
      <c r="I41" s="2592"/>
      <c r="J41" s="2595"/>
      <c r="K41" s="1596"/>
      <c r="L41" s="2129"/>
      <c r="M41" s="2130"/>
      <c r="N41" s="2119"/>
      <c r="O41" s="2130"/>
      <c r="P41" s="3383" t="str">
        <f>A41</f>
        <v>成交单价（元/平方米）</v>
      </c>
      <c r="Q41" s="3383"/>
      <c r="R41" s="3489">
        <f>E41</f>
        <v>0</v>
      </c>
      <c r="S41" s="3489"/>
      <c r="T41" s="3489">
        <f>G41</f>
        <v>0</v>
      </c>
      <c r="U41" s="3489"/>
      <c r="V41" s="3489">
        <f>I41</f>
        <v>0</v>
      </c>
      <c r="W41" s="3489"/>
      <c r="X41" s="1545"/>
      <c r="Y41" s="1567"/>
      <c r="Z41" s="1545"/>
      <c r="AA41" s="1545"/>
      <c r="AB41" s="1545"/>
      <c r="AC41" s="1545"/>
    </row>
    <row r="42" spans="1:29" ht="15.75" thickBot="1">
      <c r="A42" s="615" t="s">
        <v>2759</v>
      </c>
      <c r="B42" s="887"/>
      <c r="C42" s="2596" t="e">
        <f>R43</f>
        <v>#DIV/0!</v>
      </c>
      <c r="D42" s="2597"/>
      <c r="E42" s="2598" t="e">
        <f>R42</f>
        <v>#DIV/0!</v>
      </c>
      <c r="F42" s="2598"/>
      <c r="G42" s="2596" t="e">
        <f>T42</f>
        <v>#DIV/0!</v>
      </c>
      <c r="H42" s="2597"/>
      <c r="I42" s="2598" t="e">
        <f>V42</f>
        <v>#DIV/0!</v>
      </c>
      <c r="J42" s="2597"/>
      <c r="K42" s="1597"/>
      <c r="L42" s="2129"/>
      <c r="M42" s="2130"/>
      <c r="N42" s="2119"/>
      <c r="O42" s="2130"/>
      <c r="P42" s="3383" t="str">
        <f>A42</f>
        <v>比较价格（元/平方米）</v>
      </c>
      <c r="Q42" s="3383"/>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45"/>
      <c r="Y42" s="1545"/>
      <c r="Z42" s="1545"/>
      <c r="AA42" s="1545"/>
      <c r="AB42" s="1545"/>
      <c r="AC42" s="1545"/>
    </row>
    <row r="43" spans="1:29" ht="15.75" thickBot="1">
      <c r="A43" s="621" t="s">
        <v>2926</v>
      </c>
      <c r="B43" s="622"/>
      <c r="C43" s="2599" t="e">
        <f>R43</f>
        <v>#DIV/0!</v>
      </c>
      <c r="D43" s="2599"/>
      <c r="E43" s="2599"/>
      <c r="F43" s="2599"/>
      <c r="G43" s="2599"/>
      <c r="H43" s="2599"/>
      <c r="I43" s="2599"/>
      <c r="J43" s="2599"/>
      <c r="K43" s="1598"/>
      <c r="L43" s="2129"/>
      <c r="M43" s="2130"/>
      <c r="N43" s="2130"/>
      <c r="O43" s="2130"/>
      <c r="P43" s="3404" t="str">
        <f>A43</f>
        <v>估价对象XX用房的比较价格（楼面单价，元/平方米）</v>
      </c>
      <c r="Q43" s="3405"/>
      <c r="R43" s="3488" t="e">
        <f>IF(F1="售价",ROUND(AVERAGE(R42:V42),0),ROUND(AVERAGE(R42:V42),1))</f>
        <v>#DIV/0!</v>
      </c>
      <c r="S43" s="3488"/>
      <c r="T43" s="3488"/>
      <c r="U43" s="3488"/>
      <c r="V43" s="3488"/>
      <c r="W43" s="3488"/>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0" t="s">
        <v>2557</v>
      </c>
      <c r="C76" s="2561" t="s">
        <v>2558</v>
      </c>
      <c r="D76" s="2561" t="s">
        <v>2559</v>
      </c>
      <c r="E76" s="2561" t="s">
        <v>2560</v>
      </c>
      <c r="F76" s="2561" t="s">
        <v>2561</v>
      </c>
      <c r="G76" s="2561"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9" t="s">
        <v>798</v>
      </c>
      <c r="D4" s="3390"/>
      <c r="E4" s="3389" t="s">
        <v>799</v>
      </c>
      <c r="F4" s="3390"/>
      <c r="G4" s="3389" t="s">
        <v>800</v>
      </c>
      <c r="H4" s="3390"/>
      <c r="I4" s="3389" t="s">
        <v>801</v>
      </c>
      <c r="J4" s="3390"/>
      <c r="K4" s="514" t="s">
        <v>802</v>
      </c>
      <c r="L4" s="2118"/>
      <c r="M4" s="2119"/>
      <c r="N4" s="2119"/>
      <c r="O4" s="2119"/>
      <c r="P4" s="3391" t="s">
        <v>803</v>
      </c>
      <c r="Q4" s="3392"/>
      <c r="R4" s="3377" t="s">
        <v>799</v>
      </c>
      <c r="S4" s="3378"/>
      <c r="T4" s="3377" t="s">
        <v>800</v>
      </c>
      <c r="U4" s="3378"/>
      <c r="V4" s="3397" t="s">
        <v>801</v>
      </c>
      <c r="W4" s="3397"/>
      <c r="X4" s="1553"/>
      <c r="Y4" s="3377" t="s">
        <v>803</v>
      </c>
      <c r="Z4" s="3378"/>
      <c r="AA4" s="3372" t="s">
        <v>799</v>
      </c>
      <c r="AB4" s="3373" t="s">
        <v>800</v>
      </c>
      <c r="AC4" s="3372" t="s">
        <v>801</v>
      </c>
    </row>
    <row r="5" spans="1:29" ht="15">
      <c r="A5" s="515"/>
      <c r="B5" s="516"/>
      <c r="C5" s="3400" t="s">
        <v>2920</v>
      </c>
      <c r="D5" s="3401"/>
      <c r="E5" s="3400" t="s">
        <v>2921</v>
      </c>
      <c r="F5" s="3401"/>
      <c r="G5" s="3400" t="s">
        <v>2922</v>
      </c>
      <c r="H5" s="3401"/>
      <c r="I5" s="3400" t="s">
        <v>2923</v>
      </c>
      <c r="J5" s="3401"/>
      <c r="K5" s="514"/>
      <c r="L5" s="2118"/>
      <c r="M5" s="2119"/>
      <c r="N5" s="2119"/>
      <c r="O5" s="2119"/>
      <c r="P5" s="3393"/>
      <c r="Q5" s="3394"/>
      <c r="R5" s="3379"/>
      <c r="S5" s="3380"/>
      <c r="T5" s="3379"/>
      <c r="U5" s="3380"/>
      <c r="V5" s="3397"/>
      <c r="W5" s="3397"/>
      <c r="X5" s="1553"/>
      <c r="Y5" s="3379"/>
      <c r="Z5" s="3380"/>
      <c r="AA5" s="3373"/>
      <c r="AB5" s="3373"/>
      <c r="AC5" s="3373"/>
    </row>
    <row r="6" spans="1:29" ht="15.75" thickBot="1">
      <c r="A6" s="517"/>
      <c r="B6" s="518"/>
      <c r="C6" s="3398" t="s">
        <v>2924</v>
      </c>
      <c r="D6" s="3399"/>
      <c r="E6" s="3402" t="s">
        <v>2924</v>
      </c>
      <c r="F6" s="3403"/>
      <c r="G6" s="3398" t="s">
        <v>2924</v>
      </c>
      <c r="H6" s="3399"/>
      <c r="I6" s="3398" t="s">
        <v>2924</v>
      </c>
      <c r="J6" s="3399"/>
      <c r="K6" s="514" t="s">
        <v>528</v>
      </c>
      <c r="L6" s="2118"/>
      <c r="M6" s="2119"/>
      <c r="N6" s="2119"/>
      <c r="O6" s="2119"/>
      <c r="P6" s="3395"/>
      <c r="Q6" s="3396"/>
      <c r="R6" s="3379"/>
      <c r="S6" s="3380"/>
      <c r="T6" s="3381"/>
      <c r="U6" s="3382"/>
      <c r="V6" s="3397"/>
      <c r="W6" s="3397"/>
      <c r="X6" s="1553"/>
      <c r="Y6" s="3381"/>
      <c r="Z6" s="3382"/>
      <c r="AA6" s="3374"/>
      <c r="AB6" s="3374"/>
      <c r="AC6" s="3374"/>
    </row>
    <row r="7" spans="1:29" s="1215" customFormat="1" ht="15.75" thickBot="1">
      <c r="A7" s="2866"/>
      <c r="B7" s="2873" t="s">
        <v>529</v>
      </c>
      <c r="C7" s="519">
        <f>'数据-取费表'!B2</f>
        <v>43581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5" t="s">
        <v>530</v>
      </c>
      <c r="Q7" s="3384"/>
      <c r="R7" s="1554" t="s">
        <v>8</v>
      </c>
      <c r="S7" s="1555">
        <f t="shared" ref="S7:S14" si="0">F7</f>
        <v>0</v>
      </c>
      <c r="T7" s="1554" t="s">
        <v>8</v>
      </c>
      <c r="U7" s="1555">
        <f t="shared" ref="U7:U14" si="1">H7</f>
        <v>0</v>
      </c>
      <c r="V7" s="1554" t="s">
        <v>8</v>
      </c>
      <c r="W7" s="1555">
        <f t="shared" ref="W7:W14" si="2">J7</f>
        <v>0</v>
      </c>
      <c r="X7" s="1556"/>
      <c r="Y7" s="3375" t="s">
        <v>530</v>
      </c>
      <c r="Z7" s="3376"/>
      <c r="AA7" s="1557" t="e">
        <f>D7/F7</f>
        <v>#DIV/0!</v>
      </c>
      <c r="AB7" s="1557" t="e">
        <f>D7/H7</f>
        <v>#DIV/0!</v>
      </c>
      <c r="AC7" s="1557"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5" t="s">
        <v>533</v>
      </c>
      <c r="Q8" s="3376"/>
      <c r="R8" s="1554" t="s">
        <v>8</v>
      </c>
      <c r="S8" s="1555">
        <f t="shared" si="0"/>
        <v>0</v>
      </c>
      <c r="T8" s="1554" t="s">
        <v>8</v>
      </c>
      <c r="U8" s="1555">
        <f t="shared" si="1"/>
        <v>0</v>
      </c>
      <c r="V8" s="1554" t="s">
        <v>8</v>
      </c>
      <c r="W8" s="1555">
        <f t="shared" si="2"/>
        <v>0</v>
      </c>
      <c r="X8" s="1556"/>
      <c r="Y8" s="3375" t="s">
        <v>533</v>
      </c>
      <c r="Z8" s="3376"/>
      <c r="AA8" s="1557" t="e">
        <f t="shared" ref="AA8:AA36" si="3">D8/F8</f>
        <v>#DIV/0!</v>
      </c>
      <c r="AB8" s="1557" t="e">
        <f t="shared" ref="AB8:AB36" si="4">D8/H8</f>
        <v>#DIV/0!</v>
      </c>
      <c r="AC8" s="1557" t="e">
        <f t="shared" ref="AC8:AC36" si="5">D8/J8</f>
        <v>#DIV/0!</v>
      </c>
    </row>
    <row r="9" spans="1:29" s="1215"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3" t="s">
        <v>535</v>
      </c>
      <c r="Q9" s="1146" t="str">
        <f t="shared" ref="Q9:Q14" si="6">B9</f>
        <v>用途</v>
      </c>
      <c r="R9" s="1554" t="s">
        <v>8</v>
      </c>
      <c r="S9" s="1555">
        <f t="shared" si="0"/>
        <v>100</v>
      </c>
      <c r="T9" s="1554" t="s">
        <v>8</v>
      </c>
      <c r="U9" s="1555">
        <f t="shared" si="1"/>
        <v>100</v>
      </c>
      <c r="V9" s="1554" t="s">
        <v>8</v>
      </c>
      <c r="W9" s="1555">
        <f t="shared" si="2"/>
        <v>100</v>
      </c>
      <c r="X9" s="1556"/>
      <c r="Y9" s="3340"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3"/>
      <c r="Q10" s="1146" t="str">
        <f t="shared" si="6"/>
        <v>土地使用年限（年）</v>
      </c>
      <c r="R10" s="1554" t="s">
        <v>8</v>
      </c>
      <c r="S10" s="1555">
        <f t="shared" si="0"/>
        <v>100</v>
      </c>
      <c r="T10" s="1554" t="s">
        <v>8</v>
      </c>
      <c r="U10" s="1555">
        <f t="shared" si="1"/>
        <v>100</v>
      </c>
      <c r="V10" s="1554" t="s">
        <v>8</v>
      </c>
      <c r="W10" s="1555">
        <f t="shared" si="2"/>
        <v>100</v>
      </c>
      <c r="X10" s="1556"/>
      <c r="Y10" s="3340"/>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3"/>
      <c r="Q11" s="1146">
        <f t="shared" si="6"/>
        <v>111</v>
      </c>
      <c r="R11" s="1554" t="s">
        <v>8</v>
      </c>
      <c r="S11" s="1555">
        <f t="shared" si="0"/>
        <v>100</v>
      </c>
      <c r="T11" s="1554" t="s">
        <v>8</v>
      </c>
      <c r="U11" s="1555">
        <f t="shared" si="1"/>
        <v>100</v>
      </c>
      <c r="V11" s="1554" t="s">
        <v>8</v>
      </c>
      <c r="W11" s="1555">
        <f t="shared" si="2"/>
        <v>100</v>
      </c>
      <c r="X11" s="1556"/>
      <c r="Y11" s="3340"/>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3"/>
      <c r="Q12" s="1146">
        <f t="shared" si="6"/>
        <v>111</v>
      </c>
      <c r="R12" s="1554" t="s">
        <v>8</v>
      </c>
      <c r="S12" s="1555">
        <f t="shared" si="0"/>
        <v>100</v>
      </c>
      <c r="T12" s="1554" t="s">
        <v>8</v>
      </c>
      <c r="U12" s="1555">
        <f t="shared" si="1"/>
        <v>100</v>
      </c>
      <c r="V12" s="1554" t="s">
        <v>8</v>
      </c>
      <c r="W12" s="1555">
        <f t="shared" si="2"/>
        <v>100</v>
      </c>
      <c r="X12" s="1556"/>
      <c r="Y12" s="3340"/>
      <c r="Z12" s="1145">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3"/>
      <c r="Q13" s="1146">
        <f t="shared" si="6"/>
        <v>111</v>
      </c>
      <c r="R13" s="1554" t="s">
        <v>8</v>
      </c>
      <c r="S13" s="1555">
        <f t="shared" si="0"/>
        <v>100</v>
      </c>
      <c r="T13" s="1554" t="s">
        <v>8</v>
      </c>
      <c r="U13" s="1555">
        <f t="shared" si="1"/>
        <v>100</v>
      </c>
      <c r="V13" s="1554" t="s">
        <v>8</v>
      </c>
      <c r="W13" s="1555">
        <f t="shared" si="2"/>
        <v>100</v>
      </c>
      <c r="X13" s="1556"/>
      <c r="Y13" s="3340"/>
      <c r="Z13" s="1145">
        <f t="shared" si="7"/>
        <v>111</v>
      </c>
      <c r="AA13" s="1557">
        <f t="shared" si="3"/>
        <v>1</v>
      </c>
      <c r="AB13" s="1557">
        <f t="shared" si="4"/>
        <v>1</v>
      </c>
      <c r="AC13" s="1557">
        <f t="shared" si="5"/>
        <v>1</v>
      </c>
    </row>
    <row r="14" spans="1:29" ht="85.5">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385" t="s">
        <v>540</v>
      </c>
      <c r="Q14" s="1558" t="str">
        <f t="shared" si="6"/>
        <v>交通便捷度</v>
      </c>
      <c r="R14" s="1559" t="s">
        <v>8</v>
      </c>
      <c r="S14" s="1560">
        <f t="shared" si="0"/>
        <v>100</v>
      </c>
      <c r="T14" s="1559" t="s">
        <v>8</v>
      </c>
      <c r="U14" s="1560">
        <f t="shared" si="1"/>
        <v>100</v>
      </c>
      <c r="V14" s="1559" t="s">
        <v>8</v>
      </c>
      <c r="W14" s="1560">
        <f t="shared" si="2"/>
        <v>100</v>
      </c>
      <c r="X14" s="1553"/>
      <c r="Y14" s="3385"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386"/>
      <c r="Q15" s="1558"/>
      <c r="R15" s="1559"/>
      <c r="S15" s="1560"/>
      <c r="T15" s="1559"/>
      <c r="U15" s="1560"/>
      <c r="V15" s="1559"/>
      <c r="W15" s="1560"/>
      <c r="X15" s="1553"/>
      <c r="Y15" s="3386"/>
      <c r="Z15" s="1561"/>
      <c r="AA15" s="1562">
        <v>1</v>
      </c>
      <c r="AB15" s="1562">
        <v>1</v>
      </c>
      <c r="AC15" s="1562">
        <v>1</v>
      </c>
    </row>
    <row r="16" spans="1:29" ht="42.75">
      <c r="A16" s="515"/>
      <c r="B16" s="2566" t="s">
        <v>2545</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386"/>
      <c r="Q16" s="1558" t="str">
        <f>B16</f>
        <v>公共配套设施</v>
      </c>
      <c r="R16" s="1559" t="s">
        <v>8</v>
      </c>
      <c r="S16" s="1560">
        <f>F16</f>
        <v>100</v>
      </c>
      <c r="T16" s="1559" t="s">
        <v>8</v>
      </c>
      <c r="U16" s="1560">
        <f>H16</f>
        <v>100</v>
      </c>
      <c r="V16" s="1559" t="s">
        <v>8</v>
      </c>
      <c r="W16" s="1560">
        <f>J16</f>
        <v>100</v>
      </c>
      <c r="X16" s="1553"/>
      <c r="Y16" s="338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386"/>
      <c r="Q17" s="1558"/>
      <c r="R17" s="1559"/>
      <c r="S17" s="1560"/>
      <c r="T17" s="1559"/>
      <c r="U17" s="1560"/>
      <c r="V17" s="1559"/>
      <c r="W17" s="1560"/>
      <c r="X17" s="1553"/>
      <c r="Y17" s="3386"/>
      <c r="Z17" s="1561"/>
      <c r="AA17" s="1562">
        <v>1</v>
      </c>
      <c r="AB17" s="1562">
        <v>1</v>
      </c>
      <c r="AC17" s="1562">
        <v>1</v>
      </c>
    </row>
    <row r="18" spans="1:29" ht="42.75">
      <c r="A18" s="515"/>
      <c r="B18" s="2554" t="s">
        <v>2557</v>
      </c>
      <c r="C18" s="872" t="str">
        <f>IF(B1="工业",估价对象房地状况!G6,估价对象房地状况!C8)</f>
        <v>估价对象所在区域基础设施水平较高</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386"/>
      <c r="Q18" s="2542" t="str">
        <f>B18</f>
        <v>基础设施水平</v>
      </c>
      <c r="R18" s="1559" t="s">
        <v>8</v>
      </c>
      <c r="S18" s="1560">
        <f>F18</f>
        <v>100</v>
      </c>
      <c r="T18" s="1559" t="s">
        <v>8</v>
      </c>
      <c r="U18" s="1560">
        <f>H18</f>
        <v>100</v>
      </c>
      <c r="V18" s="1559" t="s">
        <v>8</v>
      </c>
      <c r="W18" s="1560">
        <f>J18</f>
        <v>100</v>
      </c>
      <c r="X18" s="2544"/>
      <c r="Y18" s="3386"/>
      <c r="Z18" s="2543"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5"/>
      <c r="L19" s="2127"/>
      <c r="M19" s="2119"/>
      <c r="N19" s="2119"/>
      <c r="O19" s="2126"/>
      <c r="P19" s="3386"/>
      <c r="Q19" s="2542"/>
      <c r="R19" s="1559"/>
      <c r="S19" s="1560"/>
      <c r="T19" s="1559"/>
      <c r="U19" s="1560"/>
      <c r="V19" s="1559"/>
      <c r="W19" s="1560"/>
      <c r="X19" s="2544"/>
      <c r="Y19" s="3386"/>
      <c r="Z19" s="2543"/>
      <c r="AA19" s="1562">
        <v>1</v>
      </c>
      <c r="AB19" s="1562">
        <v>1</v>
      </c>
      <c r="AC19" s="1562">
        <v>1</v>
      </c>
    </row>
    <row r="20" spans="1:29" ht="57">
      <c r="A20" s="515"/>
      <c r="B20" s="560" t="s">
        <v>804</v>
      </c>
      <c r="C20" s="872" t="str">
        <f>IF(B1="工业",估价对象房地状况!G7,估价对象房地状况!C9)</f>
        <v>区域自然环境较好；人文环境一般；综合评价环境状况较好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386"/>
      <c r="Q20" s="1558" t="str">
        <f>B20</f>
        <v>自然及人文环境</v>
      </c>
      <c r="R20" s="1559" t="s">
        <v>8</v>
      </c>
      <c r="S20" s="1560">
        <f>F20</f>
        <v>100</v>
      </c>
      <c r="T20" s="1559" t="s">
        <v>8</v>
      </c>
      <c r="U20" s="1560">
        <f>H20</f>
        <v>100</v>
      </c>
      <c r="V20" s="1559" t="s">
        <v>8</v>
      </c>
      <c r="W20" s="1560">
        <f>J20</f>
        <v>100</v>
      </c>
      <c r="X20" s="1553"/>
      <c r="Y20" s="338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386"/>
      <c r="Q21" s="1558"/>
      <c r="R21" s="1559"/>
      <c r="S21" s="1560"/>
      <c r="T21" s="1559"/>
      <c r="U21" s="1560"/>
      <c r="V21" s="1559"/>
      <c r="W21" s="1560"/>
      <c r="X21" s="1553"/>
      <c r="Y21" s="3386"/>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6"/>
      <c r="Q22" s="1558" t="str">
        <f>B22</f>
        <v>楼层</v>
      </c>
      <c r="R22" s="1559" t="s">
        <v>8</v>
      </c>
      <c r="S22" s="1560">
        <f>F22</f>
        <v>100</v>
      </c>
      <c r="T22" s="1559" t="s">
        <v>8</v>
      </c>
      <c r="U22" s="1560">
        <f>H22</f>
        <v>100</v>
      </c>
      <c r="V22" s="1559" t="s">
        <v>8</v>
      </c>
      <c r="W22" s="1560">
        <f>J22</f>
        <v>100</v>
      </c>
      <c r="X22" s="1553"/>
      <c r="Y22" s="3386"/>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6"/>
      <c r="Q23" s="1558">
        <f>B23</f>
        <v>111</v>
      </c>
      <c r="R23" s="1559" t="s">
        <v>8</v>
      </c>
      <c r="S23" s="1560">
        <f>F23</f>
        <v>100</v>
      </c>
      <c r="T23" s="1559" t="s">
        <v>8</v>
      </c>
      <c r="U23" s="1560">
        <f>H23</f>
        <v>100</v>
      </c>
      <c r="V23" s="1559" t="s">
        <v>8</v>
      </c>
      <c r="W23" s="1560">
        <f>J23</f>
        <v>100</v>
      </c>
      <c r="X23" s="1553"/>
      <c r="Y23" s="3386"/>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6"/>
      <c r="Q24" s="1558">
        <f t="shared" ref="Q24:Q36" si="11">B24</f>
        <v>111</v>
      </c>
      <c r="R24" s="1559" t="s">
        <v>8</v>
      </c>
      <c r="S24" s="1560">
        <f>F24</f>
        <v>100</v>
      </c>
      <c r="T24" s="1559" t="s">
        <v>8</v>
      </c>
      <c r="U24" s="1560">
        <f>H24</f>
        <v>100</v>
      </c>
      <c r="V24" s="1559" t="s">
        <v>8</v>
      </c>
      <c r="W24" s="1560">
        <f>J24</f>
        <v>100</v>
      </c>
      <c r="X24" s="1553"/>
      <c r="Y24" s="3386"/>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386"/>
      <c r="Q25" s="1146">
        <f t="shared" si="11"/>
        <v>111</v>
      </c>
      <c r="R25" s="1554" t="s">
        <v>8</v>
      </c>
      <c r="S25" s="1555">
        <f>F25</f>
        <v>100</v>
      </c>
      <c r="T25" s="1554" t="s">
        <v>8</v>
      </c>
      <c r="U25" s="1555">
        <f>H25</f>
        <v>100</v>
      </c>
      <c r="V25" s="1554" t="s">
        <v>8</v>
      </c>
      <c r="W25" s="1555">
        <f>J25</f>
        <v>100</v>
      </c>
      <c r="X25" s="1556"/>
      <c r="Y25" s="3386"/>
      <c r="Z25" s="1145">
        <f>Q25</f>
        <v>111</v>
      </c>
      <c r="AA25" s="1562">
        <f>D25/F25</f>
        <v>1</v>
      </c>
      <c r="AB25" s="1562">
        <f>D25/H25</f>
        <v>1</v>
      </c>
      <c r="AC25" s="1562">
        <f>D25/J25</f>
        <v>1</v>
      </c>
    </row>
    <row r="26" spans="1:29" ht="15">
      <c r="A26" s="2861"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8"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388"/>
      <c r="Q27" s="1590" t="str">
        <f t="shared" si="11"/>
        <v>项目停车位配比</v>
      </c>
      <c r="R27" s="1563" t="s">
        <v>8</v>
      </c>
      <c r="S27" s="1564">
        <f t="shared" si="12"/>
        <v>100</v>
      </c>
      <c r="T27" s="1563" t="s">
        <v>8</v>
      </c>
      <c r="U27" s="1564">
        <f t="shared" si="13"/>
        <v>100</v>
      </c>
      <c r="V27" s="1563" t="s">
        <v>8</v>
      </c>
      <c r="W27" s="1564">
        <f t="shared" si="14"/>
        <v>100</v>
      </c>
      <c r="X27" s="1565"/>
      <c r="Y27" s="3388"/>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8"/>
      <c r="Q28" s="1558" t="str">
        <f t="shared" si="11"/>
        <v>公共部分装修</v>
      </c>
      <c r="R28" s="1559" t="s">
        <v>8</v>
      </c>
      <c r="S28" s="1560">
        <f t="shared" si="12"/>
        <v>100</v>
      </c>
      <c r="T28" s="1559" t="s">
        <v>8</v>
      </c>
      <c r="U28" s="1560">
        <f t="shared" si="13"/>
        <v>100</v>
      </c>
      <c r="V28" s="1559" t="s">
        <v>8</v>
      </c>
      <c r="W28" s="1560">
        <f t="shared" si="14"/>
        <v>100</v>
      </c>
      <c r="X28" s="1553"/>
      <c r="Y28" s="3388"/>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388"/>
      <c r="Q29" s="1558" t="str">
        <f t="shared" si="11"/>
        <v>成新率</v>
      </c>
      <c r="R29" s="1559" t="s">
        <v>8</v>
      </c>
      <c r="S29" s="1560" t="e">
        <f t="shared" si="12"/>
        <v>#N/A</v>
      </c>
      <c r="T29" s="1559" t="s">
        <v>8</v>
      </c>
      <c r="U29" s="1560" t="e">
        <f t="shared" si="13"/>
        <v>#N/A</v>
      </c>
      <c r="V29" s="1559" t="s">
        <v>8</v>
      </c>
      <c r="W29" s="1560" t="e">
        <f t="shared" si="14"/>
        <v>#N/A</v>
      </c>
      <c r="X29" s="1553"/>
      <c r="Y29" s="3388"/>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388"/>
      <c r="Q30" s="1558" t="str">
        <f t="shared" si="11"/>
        <v>物业等级</v>
      </c>
      <c r="R30" s="1559" t="s">
        <v>8</v>
      </c>
      <c r="S30" s="1560">
        <f t="shared" si="12"/>
        <v>100</v>
      </c>
      <c r="T30" s="1559" t="s">
        <v>8</v>
      </c>
      <c r="U30" s="1560">
        <f t="shared" si="13"/>
        <v>100</v>
      </c>
      <c r="V30" s="1559" t="s">
        <v>8</v>
      </c>
      <c r="W30" s="1560">
        <f t="shared" si="14"/>
        <v>100</v>
      </c>
      <c r="X30" s="1553"/>
      <c r="Y30" s="3388"/>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388"/>
      <c r="Q31" s="1146" t="str">
        <f t="shared" si="11"/>
        <v>停车位面积</v>
      </c>
      <c r="R31" s="1554" t="s">
        <v>8</v>
      </c>
      <c r="S31" s="1555" t="e">
        <f t="shared" si="12"/>
        <v>#N/A</v>
      </c>
      <c r="T31" s="1554" t="s">
        <v>8</v>
      </c>
      <c r="U31" s="1555" t="e">
        <f t="shared" si="13"/>
        <v>#N/A</v>
      </c>
      <c r="V31" s="1554" t="s">
        <v>8</v>
      </c>
      <c r="W31" s="1555" t="e">
        <f t="shared" si="14"/>
        <v>#N/A</v>
      </c>
      <c r="X31" s="1556"/>
      <c r="Y31" s="3388"/>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8" t="s">
        <v>550</v>
      </c>
      <c r="Q32" s="1558" t="str">
        <f t="shared" si="11"/>
        <v>车位类型</v>
      </c>
      <c r="R32" s="1559" t="s">
        <v>8</v>
      </c>
      <c r="S32" s="1560">
        <f t="shared" si="12"/>
        <v>100</v>
      </c>
      <c r="T32" s="1559" t="s">
        <v>8</v>
      </c>
      <c r="U32" s="1560">
        <f t="shared" si="13"/>
        <v>100</v>
      </c>
      <c r="V32" s="1559" t="s">
        <v>8</v>
      </c>
      <c r="W32" s="1560">
        <f t="shared" si="14"/>
        <v>100</v>
      </c>
      <c r="X32" s="1553"/>
      <c r="Y32" s="3388"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8"/>
      <c r="Q33" s="1558" t="str">
        <f t="shared" si="11"/>
        <v>是否直接入户</v>
      </c>
      <c r="R33" s="1559" t="s">
        <v>8</v>
      </c>
      <c r="S33" s="1560">
        <f t="shared" si="12"/>
        <v>100</v>
      </c>
      <c r="T33" s="1559" t="s">
        <v>8</v>
      </c>
      <c r="U33" s="1560">
        <f t="shared" si="13"/>
        <v>100</v>
      </c>
      <c r="V33" s="1559" t="s">
        <v>8</v>
      </c>
      <c r="W33" s="1560">
        <f t="shared" si="14"/>
        <v>100</v>
      </c>
      <c r="X33" s="1553"/>
      <c r="Y33" s="3388"/>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8"/>
      <c r="Q34" s="1558">
        <f t="shared" si="11"/>
        <v>111</v>
      </c>
      <c r="R34" s="1559" t="s">
        <v>8</v>
      </c>
      <c r="S34" s="1560">
        <f t="shared" si="12"/>
        <v>100</v>
      </c>
      <c r="T34" s="1559" t="s">
        <v>8</v>
      </c>
      <c r="U34" s="1560">
        <f t="shared" si="13"/>
        <v>100</v>
      </c>
      <c r="V34" s="1559" t="s">
        <v>8</v>
      </c>
      <c r="W34" s="1560">
        <f t="shared" si="14"/>
        <v>100</v>
      </c>
      <c r="X34" s="1553"/>
      <c r="Y34" s="3388"/>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8"/>
      <c r="Q35" s="1590">
        <f t="shared" si="11"/>
        <v>111</v>
      </c>
      <c r="R35" s="1563" t="s">
        <v>8</v>
      </c>
      <c r="S35" s="1564">
        <f t="shared" si="12"/>
        <v>100</v>
      </c>
      <c r="T35" s="1563" t="s">
        <v>8</v>
      </c>
      <c r="U35" s="1564">
        <f t="shared" si="13"/>
        <v>100</v>
      </c>
      <c r="V35" s="1563" t="s">
        <v>8</v>
      </c>
      <c r="W35" s="1564">
        <f t="shared" si="14"/>
        <v>100</v>
      </c>
      <c r="X35" s="1565"/>
      <c r="Y35" s="3388"/>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8"/>
      <c r="Q36" s="1558">
        <f t="shared" si="11"/>
        <v>111</v>
      </c>
      <c r="R36" s="1559" t="s">
        <v>8</v>
      </c>
      <c r="S36" s="1560">
        <f t="shared" si="12"/>
        <v>100</v>
      </c>
      <c r="T36" s="1559" t="s">
        <v>8</v>
      </c>
      <c r="U36" s="1560">
        <f t="shared" si="13"/>
        <v>100</v>
      </c>
      <c r="V36" s="1559" t="s">
        <v>8</v>
      </c>
      <c r="W36" s="1560">
        <f t="shared" si="14"/>
        <v>100</v>
      </c>
      <c r="X36" s="1553"/>
      <c r="Y36" s="3388"/>
      <c r="Z36" s="1561">
        <f t="shared" si="15"/>
        <v>111</v>
      </c>
      <c r="AA36" s="1562">
        <f t="shared" si="3"/>
        <v>1</v>
      </c>
      <c r="AB36" s="1562">
        <f t="shared" si="4"/>
        <v>1</v>
      </c>
      <c r="AC36" s="1562">
        <f t="shared" si="5"/>
        <v>1</v>
      </c>
    </row>
    <row r="37" spans="1:29" ht="15">
      <c r="A37" s="1831" t="s">
        <v>2076</v>
      </c>
      <c r="B37" s="1832" t="s">
        <v>2077</v>
      </c>
      <c r="C37" s="2590" t="s">
        <v>1</v>
      </c>
      <c r="D37" s="2591"/>
      <c r="E37" s="2592"/>
      <c r="F37" s="2593"/>
      <c r="G37" s="2594"/>
      <c r="H37" s="2595"/>
      <c r="I37" s="2592"/>
      <c r="J37" s="2595"/>
      <c r="K37" s="1596"/>
      <c r="L37" s="2129"/>
      <c r="M37" s="2130"/>
      <c r="N37" s="2119"/>
      <c r="O37" s="2130"/>
      <c r="P37" s="3383" t="str">
        <f>A37</f>
        <v>成交单价</v>
      </c>
      <c r="Q37" s="3383"/>
      <c r="R37" s="3489">
        <f>E37</f>
        <v>0</v>
      </c>
      <c r="S37" s="3489"/>
      <c r="T37" s="3489">
        <f>G37</f>
        <v>0</v>
      </c>
      <c r="U37" s="3489"/>
      <c r="V37" s="3489">
        <f>I37</f>
        <v>0</v>
      </c>
      <c r="W37" s="3489"/>
      <c r="X37" s="1545"/>
      <c r="Y37" s="1567"/>
      <c r="Z37" s="1545"/>
      <c r="AA37" s="1545"/>
      <c r="AB37" s="1545"/>
      <c r="AC37" s="1545"/>
    </row>
    <row r="38" spans="1:29" ht="15.75" thickBot="1">
      <c r="A38" s="615" t="s">
        <v>2759</v>
      </c>
      <c r="B38" s="887"/>
      <c r="C38" s="2596" t="e">
        <f>R39</f>
        <v>#DIV/0!</v>
      </c>
      <c r="D38" s="2597"/>
      <c r="E38" s="2598" t="e">
        <f>R38</f>
        <v>#DIV/0!</v>
      </c>
      <c r="F38" s="2598"/>
      <c r="G38" s="2596" t="e">
        <f>T38</f>
        <v>#DIV/0!</v>
      </c>
      <c r="H38" s="2597"/>
      <c r="I38" s="2598" t="e">
        <f>V38</f>
        <v>#DIV/0!</v>
      </c>
      <c r="J38" s="2597"/>
      <c r="K38" s="1597"/>
      <c r="L38" s="2129"/>
      <c r="M38" s="2130"/>
      <c r="N38" s="2130"/>
      <c r="O38" s="2130"/>
      <c r="P38" s="3383" t="str">
        <f>A38</f>
        <v>比较价格（元/平方米）</v>
      </c>
      <c r="Q38" s="3383"/>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45"/>
      <c r="Y38" s="1545"/>
      <c r="Z38" s="1545"/>
      <c r="AA38" s="1545"/>
      <c r="AB38" s="1545"/>
      <c r="AC38" s="1545"/>
    </row>
    <row r="39" spans="1:29" ht="15.75" thickBot="1">
      <c r="A39" s="621" t="s">
        <v>2926</v>
      </c>
      <c r="B39" s="622"/>
      <c r="C39" s="2599" t="e">
        <f>R39</f>
        <v>#DIV/0!</v>
      </c>
      <c r="D39" s="2599"/>
      <c r="E39" s="2599"/>
      <c r="F39" s="2599"/>
      <c r="G39" s="2599"/>
      <c r="H39" s="2599"/>
      <c r="I39" s="2599"/>
      <c r="J39" s="2599"/>
      <c r="K39" s="1598"/>
      <c r="L39" s="2129"/>
      <c r="M39" s="2130"/>
      <c r="N39" s="2130"/>
      <c r="O39" s="2130"/>
      <c r="P39" s="3404" t="str">
        <f>A39</f>
        <v>估价对象XX用房的比较价格（楼面单价，元/平方米）</v>
      </c>
      <c r="Q39" s="3405"/>
      <c r="R39" s="3488" t="e">
        <f>IF(F1="售价",ROUND(AVERAGE(R38:V38),0),ROUND(AVERAGE(R38:V38),1))</f>
        <v>#DIV/0!</v>
      </c>
      <c r="S39" s="3488"/>
      <c r="T39" s="3488"/>
      <c r="U39" s="3488"/>
      <c r="V39" s="3488"/>
      <c r="W39" s="3488"/>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5"/>
      <c r="Q48" s="2146"/>
      <c r="R48" s="2146"/>
      <c r="S48" s="2146"/>
      <c r="T48" s="2146"/>
      <c r="U48" s="2146"/>
      <c r="V48" s="2146"/>
      <c r="W48" s="2146"/>
      <c r="X48" s="2146"/>
      <c r="Y48" s="2146"/>
      <c r="Z48" s="2146"/>
      <c r="AA48" s="2146"/>
      <c r="AB48" s="2146"/>
      <c r="AC48" s="2146"/>
    </row>
    <row r="49" spans="1:29" s="1215" customFormat="1" ht="15">
      <c r="A49" s="647"/>
      <c r="B49" s="648"/>
      <c r="C49" s="2757">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0" t="s">
        <v>2557</v>
      </c>
      <c r="C67" s="2561" t="s">
        <v>2558</v>
      </c>
      <c r="D67" s="2561" t="s">
        <v>2559</v>
      </c>
      <c r="E67" s="2561" t="s">
        <v>2560</v>
      </c>
      <c r="F67" s="2561" t="s">
        <v>2561</v>
      </c>
      <c r="G67" s="2561" t="s">
        <v>2562</v>
      </c>
      <c r="H67" s="674"/>
      <c r="I67" s="674"/>
      <c r="J67" s="674"/>
      <c r="K67" s="674"/>
      <c r="L67" s="674"/>
      <c r="M67" s="2564"/>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1"/>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89" t="s">
        <v>798</v>
      </c>
      <c r="D4" s="3390"/>
      <c r="E4" s="3413" t="s">
        <v>799</v>
      </c>
      <c r="F4" s="3414"/>
      <c r="G4" s="3389" t="s">
        <v>800</v>
      </c>
      <c r="H4" s="3390"/>
      <c r="I4" s="3389" t="s">
        <v>801</v>
      </c>
      <c r="J4" s="3390"/>
      <c r="K4" s="514" t="s">
        <v>802</v>
      </c>
      <c r="L4" s="2118"/>
      <c r="M4" s="2119"/>
      <c r="N4" s="2119"/>
      <c r="O4" s="2119"/>
      <c r="P4" s="3391" t="s">
        <v>803</v>
      </c>
      <c r="Q4" s="3392"/>
      <c r="R4" s="3377" t="s">
        <v>799</v>
      </c>
      <c r="S4" s="3378"/>
      <c r="T4" s="3377" t="s">
        <v>800</v>
      </c>
      <c r="U4" s="3378"/>
      <c r="V4" s="3397" t="s">
        <v>801</v>
      </c>
      <c r="W4" s="3397"/>
      <c r="X4" s="1553"/>
      <c r="Y4" s="3377" t="s">
        <v>803</v>
      </c>
      <c r="Z4" s="3378"/>
      <c r="AA4" s="3372" t="s">
        <v>799</v>
      </c>
      <c r="AB4" s="3373" t="s">
        <v>800</v>
      </c>
      <c r="AC4" s="3372" t="s">
        <v>801</v>
      </c>
    </row>
    <row r="5" spans="1:29" ht="15">
      <c r="A5" s="515"/>
      <c r="B5" s="516"/>
      <c r="C5" s="3400" t="s">
        <v>2920</v>
      </c>
      <c r="D5" s="3401"/>
      <c r="E5" s="3415" t="s">
        <v>2921</v>
      </c>
      <c r="F5" s="3416"/>
      <c r="G5" s="3400" t="s">
        <v>2922</v>
      </c>
      <c r="H5" s="3401"/>
      <c r="I5" s="3400" t="s">
        <v>2923</v>
      </c>
      <c r="J5" s="3401"/>
      <c r="K5" s="514"/>
      <c r="L5" s="2118"/>
      <c r="M5" s="2119"/>
      <c r="N5" s="2119"/>
      <c r="O5" s="2119"/>
      <c r="P5" s="3393"/>
      <c r="Q5" s="3394"/>
      <c r="R5" s="3379"/>
      <c r="S5" s="3380"/>
      <c r="T5" s="3379"/>
      <c r="U5" s="3380"/>
      <c r="V5" s="3397"/>
      <c r="W5" s="3397"/>
      <c r="X5" s="1553"/>
      <c r="Y5" s="3379"/>
      <c r="Z5" s="3380"/>
      <c r="AA5" s="3373"/>
      <c r="AB5" s="3373"/>
      <c r="AC5" s="3373"/>
    </row>
    <row r="6" spans="1:29" ht="15.75" thickBot="1">
      <c r="A6" s="517"/>
      <c r="B6" s="518"/>
      <c r="C6" s="3398" t="s">
        <v>2924</v>
      </c>
      <c r="D6" s="3399"/>
      <c r="E6" s="3417" t="s">
        <v>2924</v>
      </c>
      <c r="F6" s="3418"/>
      <c r="G6" s="3398" t="s">
        <v>2924</v>
      </c>
      <c r="H6" s="3399"/>
      <c r="I6" s="3398" t="s">
        <v>2924</v>
      </c>
      <c r="J6" s="3399"/>
      <c r="K6" s="514" t="s">
        <v>528</v>
      </c>
      <c r="L6" s="2118"/>
      <c r="M6" s="2119"/>
      <c r="N6" s="2119"/>
      <c r="O6" s="2119"/>
      <c r="P6" s="3395"/>
      <c r="Q6" s="3396"/>
      <c r="R6" s="3379"/>
      <c r="S6" s="3380"/>
      <c r="T6" s="3381"/>
      <c r="U6" s="3382"/>
      <c r="V6" s="3397"/>
      <c r="W6" s="3397"/>
      <c r="X6" s="1553"/>
      <c r="Y6" s="3381"/>
      <c r="Z6" s="3382"/>
      <c r="AA6" s="3374"/>
      <c r="AB6" s="3374"/>
      <c r="AC6" s="3374"/>
    </row>
    <row r="7" spans="1:29" s="1215" customFormat="1" ht="15.75" thickBot="1">
      <c r="A7" s="2866"/>
      <c r="B7" s="2873" t="s">
        <v>529</v>
      </c>
      <c r="C7" s="519">
        <f>'数据-取费表'!B2</f>
        <v>43581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5" t="s">
        <v>530</v>
      </c>
      <c r="Q7" s="3384"/>
      <c r="R7" s="1554" t="s">
        <v>8</v>
      </c>
      <c r="S7" s="1555">
        <f t="shared" ref="S7:S14" si="0">F7</f>
        <v>0</v>
      </c>
      <c r="T7" s="1554" t="s">
        <v>8</v>
      </c>
      <c r="U7" s="1555">
        <f t="shared" ref="U7:U14" si="1">H7</f>
        <v>0</v>
      </c>
      <c r="V7" s="1554" t="s">
        <v>8</v>
      </c>
      <c r="W7" s="1555">
        <f t="shared" ref="W7:W14" si="2">J7</f>
        <v>0</v>
      </c>
      <c r="X7" s="1556"/>
      <c r="Y7" s="3375" t="s">
        <v>530</v>
      </c>
      <c r="Z7" s="3376"/>
      <c r="AA7" s="1557" t="e">
        <f>D7/F7</f>
        <v>#DIV/0!</v>
      </c>
      <c r="AB7" s="1557" t="e">
        <f>D7/H7</f>
        <v>#DIV/0!</v>
      </c>
      <c r="AC7" s="1557"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5" t="s">
        <v>533</v>
      </c>
      <c r="Q8" s="3376"/>
      <c r="R8" s="1554" t="s">
        <v>8</v>
      </c>
      <c r="S8" s="1555">
        <f t="shared" si="0"/>
        <v>0</v>
      </c>
      <c r="T8" s="1554" t="s">
        <v>8</v>
      </c>
      <c r="U8" s="1555">
        <f t="shared" si="1"/>
        <v>0</v>
      </c>
      <c r="V8" s="1554" t="s">
        <v>8</v>
      </c>
      <c r="W8" s="1555">
        <f t="shared" si="2"/>
        <v>0</v>
      </c>
      <c r="X8" s="1556"/>
      <c r="Y8" s="3375" t="s">
        <v>533</v>
      </c>
      <c r="Z8" s="3376"/>
      <c r="AA8" s="1557" t="e">
        <f t="shared" ref="AA8:AA34" si="3">D8/F8</f>
        <v>#DIV/0!</v>
      </c>
      <c r="AB8" s="1557" t="e">
        <f t="shared" ref="AB8:AB34" si="4">D8/H8</f>
        <v>#DIV/0!</v>
      </c>
      <c r="AC8" s="1557" t="e">
        <f t="shared" ref="AC8:AC34" si="5">D8/J8</f>
        <v>#DIV/0!</v>
      </c>
    </row>
    <row r="9" spans="1:29" s="1215"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3" t="s">
        <v>535</v>
      </c>
      <c r="Q9" s="1146" t="str">
        <f t="shared" ref="Q9:Q14" si="6">B9</f>
        <v>用途</v>
      </c>
      <c r="R9" s="1554" t="s">
        <v>8</v>
      </c>
      <c r="S9" s="1555">
        <f t="shared" si="0"/>
        <v>100</v>
      </c>
      <c r="T9" s="1554" t="s">
        <v>8</v>
      </c>
      <c r="U9" s="1555">
        <f t="shared" si="1"/>
        <v>100</v>
      </c>
      <c r="V9" s="1554" t="s">
        <v>8</v>
      </c>
      <c r="W9" s="1555">
        <f t="shared" si="2"/>
        <v>100</v>
      </c>
      <c r="X9" s="1556"/>
      <c r="Y9" s="3340"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3"/>
      <c r="Q10" s="1146" t="str">
        <f t="shared" si="6"/>
        <v>土地使用年限（年）</v>
      </c>
      <c r="R10" s="1554" t="s">
        <v>8</v>
      </c>
      <c r="S10" s="1555">
        <f t="shared" si="0"/>
        <v>100</v>
      </c>
      <c r="T10" s="1554" t="s">
        <v>8</v>
      </c>
      <c r="U10" s="1555">
        <f t="shared" si="1"/>
        <v>100</v>
      </c>
      <c r="V10" s="1554" t="s">
        <v>8</v>
      </c>
      <c r="W10" s="1555">
        <f t="shared" si="2"/>
        <v>100</v>
      </c>
      <c r="X10" s="1556"/>
      <c r="Y10" s="3340"/>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83"/>
      <c r="Q11" s="1146">
        <f t="shared" si="6"/>
        <v>111</v>
      </c>
      <c r="R11" s="1554" t="s">
        <v>8</v>
      </c>
      <c r="S11" s="1555">
        <f t="shared" si="0"/>
        <v>100</v>
      </c>
      <c r="T11" s="1554" t="s">
        <v>8</v>
      </c>
      <c r="U11" s="1555">
        <f t="shared" si="1"/>
        <v>100</v>
      </c>
      <c r="V11" s="1554" t="s">
        <v>8</v>
      </c>
      <c r="W11" s="1555">
        <f t="shared" si="2"/>
        <v>100</v>
      </c>
      <c r="X11" s="1556"/>
      <c r="Y11" s="3340"/>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83"/>
      <c r="Q12" s="1146">
        <f t="shared" si="6"/>
        <v>111</v>
      </c>
      <c r="R12" s="1554" t="s">
        <v>8</v>
      </c>
      <c r="S12" s="1555">
        <f t="shared" si="0"/>
        <v>100</v>
      </c>
      <c r="T12" s="1554" t="s">
        <v>8</v>
      </c>
      <c r="U12" s="1555">
        <f t="shared" si="1"/>
        <v>100</v>
      </c>
      <c r="V12" s="1554" t="s">
        <v>8</v>
      </c>
      <c r="W12" s="1555">
        <f t="shared" si="2"/>
        <v>100</v>
      </c>
      <c r="X12" s="1556"/>
      <c r="Y12" s="3340"/>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83"/>
      <c r="Q13" s="1146">
        <f t="shared" si="6"/>
        <v>111</v>
      </c>
      <c r="R13" s="1554" t="s">
        <v>8</v>
      </c>
      <c r="S13" s="1555">
        <f t="shared" si="0"/>
        <v>100</v>
      </c>
      <c r="T13" s="1554" t="s">
        <v>8</v>
      </c>
      <c r="U13" s="1555">
        <f t="shared" si="1"/>
        <v>100</v>
      </c>
      <c r="V13" s="1554" t="s">
        <v>8</v>
      </c>
      <c r="W13" s="1555">
        <f t="shared" si="2"/>
        <v>100</v>
      </c>
      <c r="X13" s="1556"/>
      <c r="Y13" s="3340"/>
      <c r="Z13" s="1145">
        <f t="shared" si="7"/>
        <v>111</v>
      </c>
      <c r="AA13" s="1557">
        <f t="shared" si="3"/>
        <v>1</v>
      </c>
      <c r="AB13" s="1557">
        <f t="shared" si="4"/>
        <v>1</v>
      </c>
      <c r="AC13" s="1557">
        <f t="shared" si="5"/>
        <v>1</v>
      </c>
    </row>
    <row r="14" spans="1:29" ht="85.5">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385" t="s">
        <v>540</v>
      </c>
      <c r="Q14" s="1558" t="str">
        <f t="shared" si="6"/>
        <v>交通便捷度</v>
      </c>
      <c r="R14" s="1559" t="s">
        <v>8</v>
      </c>
      <c r="S14" s="1560">
        <f t="shared" si="0"/>
        <v>100</v>
      </c>
      <c r="T14" s="1559" t="s">
        <v>8</v>
      </c>
      <c r="U14" s="1560">
        <f t="shared" si="1"/>
        <v>100</v>
      </c>
      <c r="V14" s="1559" t="s">
        <v>8</v>
      </c>
      <c r="W14" s="1560">
        <f t="shared" si="2"/>
        <v>100</v>
      </c>
      <c r="X14" s="1553"/>
      <c r="Y14" s="3385"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386"/>
      <c r="Q15" s="1558"/>
      <c r="R15" s="1559"/>
      <c r="S15" s="1560"/>
      <c r="T15" s="1559"/>
      <c r="U15" s="1560"/>
      <c r="V15" s="1559"/>
      <c r="W15" s="1560"/>
      <c r="X15" s="1553"/>
      <c r="Y15" s="3386"/>
      <c r="Z15" s="1561"/>
      <c r="AA15" s="1562">
        <v>1</v>
      </c>
      <c r="AB15" s="1562">
        <v>1</v>
      </c>
      <c r="AC15" s="1562">
        <v>1</v>
      </c>
    </row>
    <row r="16" spans="1:29" ht="42.75">
      <c r="A16" s="532"/>
      <c r="B16" s="2566" t="s">
        <v>2545</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386"/>
      <c r="Q16" s="1558" t="str">
        <f>B16</f>
        <v>公共配套设施</v>
      </c>
      <c r="R16" s="1559" t="s">
        <v>8</v>
      </c>
      <c r="S16" s="1560">
        <f>F16</f>
        <v>100</v>
      </c>
      <c r="T16" s="1559" t="s">
        <v>8</v>
      </c>
      <c r="U16" s="1560">
        <f>H16</f>
        <v>100</v>
      </c>
      <c r="V16" s="1559" t="s">
        <v>8</v>
      </c>
      <c r="W16" s="1560">
        <f>J16</f>
        <v>100</v>
      </c>
      <c r="X16" s="1553"/>
      <c r="Y16" s="338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386"/>
      <c r="Q17" s="1558"/>
      <c r="R17" s="1559"/>
      <c r="S17" s="1560"/>
      <c r="T17" s="1559"/>
      <c r="U17" s="1560"/>
      <c r="V17" s="1559"/>
      <c r="W17" s="1560"/>
      <c r="X17" s="1553"/>
      <c r="Y17" s="3386"/>
      <c r="Z17" s="1561"/>
      <c r="AA17" s="1562">
        <v>1</v>
      </c>
      <c r="AB17" s="1562">
        <v>1</v>
      </c>
      <c r="AC17" s="1562">
        <v>1</v>
      </c>
    </row>
    <row r="18" spans="1:29" ht="42.75">
      <c r="A18" s="532"/>
      <c r="B18" s="2554" t="s">
        <v>2557</v>
      </c>
      <c r="C18" s="872" t="str">
        <f>IF(B1="工业",估价对象房地状况!G6,估价对象房地状况!C8)</f>
        <v>估价对象所在区域基础设施水平较高</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386"/>
      <c r="Q18" s="2542" t="str">
        <f>B18</f>
        <v>基础设施水平</v>
      </c>
      <c r="R18" s="1559" t="s">
        <v>8</v>
      </c>
      <c r="S18" s="1560">
        <f>F18</f>
        <v>100</v>
      </c>
      <c r="T18" s="1559" t="s">
        <v>8</v>
      </c>
      <c r="U18" s="1560">
        <f>H18</f>
        <v>100</v>
      </c>
      <c r="V18" s="1559" t="s">
        <v>8</v>
      </c>
      <c r="W18" s="1560">
        <f>J18</f>
        <v>100</v>
      </c>
      <c r="X18" s="2544"/>
      <c r="Y18" s="3386"/>
      <c r="Z18" s="2543"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5"/>
      <c r="L19" s="2127"/>
      <c r="M19" s="2119"/>
      <c r="N19" s="2119"/>
      <c r="O19" s="2126"/>
      <c r="P19" s="3386"/>
      <c r="Q19" s="2542"/>
      <c r="R19" s="1559"/>
      <c r="S19" s="1560"/>
      <c r="T19" s="1559"/>
      <c r="U19" s="1560"/>
      <c r="V19" s="1559"/>
      <c r="W19" s="1560"/>
      <c r="X19" s="2544"/>
      <c r="Y19" s="3386"/>
      <c r="Z19" s="2543"/>
      <c r="AA19" s="1562">
        <v>1</v>
      </c>
      <c r="AB19" s="1562">
        <v>1</v>
      </c>
      <c r="AC19" s="1562">
        <v>1</v>
      </c>
    </row>
    <row r="20" spans="1:29" ht="57">
      <c r="A20" s="532"/>
      <c r="B20" s="871" t="s">
        <v>804</v>
      </c>
      <c r="C20" s="872" t="str">
        <f>IF(B1="工业",估价对象房地状况!G7,估价对象房地状况!C9)</f>
        <v>区域自然环境较好；人文环境一般；综合评价环境状况较好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386"/>
      <c r="Q20" s="1558" t="str">
        <f>B20</f>
        <v>自然及人文环境</v>
      </c>
      <c r="R20" s="1559" t="s">
        <v>8</v>
      </c>
      <c r="S20" s="1560">
        <f>F20</f>
        <v>100</v>
      </c>
      <c r="T20" s="1559" t="s">
        <v>8</v>
      </c>
      <c r="U20" s="1560">
        <f>H20</f>
        <v>100</v>
      </c>
      <c r="V20" s="1559" t="s">
        <v>8</v>
      </c>
      <c r="W20" s="1560">
        <f>J20</f>
        <v>100</v>
      </c>
      <c r="X20" s="1553"/>
      <c r="Y20" s="338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386"/>
      <c r="Q21" s="1558"/>
      <c r="R21" s="1559"/>
      <c r="S21" s="1560"/>
      <c r="T21" s="1559"/>
      <c r="U21" s="1560"/>
      <c r="V21" s="1559"/>
      <c r="W21" s="1560"/>
      <c r="X21" s="1553"/>
      <c r="Y21" s="3386"/>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6"/>
      <c r="Q22" s="1558" t="str">
        <f>B22</f>
        <v>楼层</v>
      </c>
      <c r="R22" s="1559" t="s">
        <v>8</v>
      </c>
      <c r="S22" s="1560">
        <f>F22</f>
        <v>100</v>
      </c>
      <c r="T22" s="1559" t="s">
        <v>8</v>
      </c>
      <c r="U22" s="1560">
        <f>H22</f>
        <v>100</v>
      </c>
      <c r="V22" s="1559" t="s">
        <v>8</v>
      </c>
      <c r="W22" s="1560">
        <f>J22</f>
        <v>100</v>
      </c>
      <c r="X22" s="1553"/>
      <c r="Y22" s="338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6"/>
      <c r="Q23" s="1558">
        <f>B23</f>
        <v>111</v>
      </c>
      <c r="R23" s="1559" t="s">
        <v>8</v>
      </c>
      <c r="S23" s="1560">
        <f>F23</f>
        <v>100</v>
      </c>
      <c r="T23" s="1559" t="s">
        <v>8</v>
      </c>
      <c r="U23" s="1560">
        <f>H23</f>
        <v>100</v>
      </c>
      <c r="V23" s="1559" t="s">
        <v>8</v>
      </c>
      <c r="W23" s="1560">
        <f>J23</f>
        <v>100</v>
      </c>
      <c r="X23" s="1553"/>
      <c r="Y23" s="338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6"/>
      <c r="Q24" s="1558">
        <f t="shared" ref="Q24:Q34" si="11">B24</f>
        <v>111</v>
      </c>
      <c r="R24" s="1559" t="s">
        <v>8</v>
      </c>
      <c r="S24" s="1560">
        <f>F24</f>
        <v>100</v>
      </c>
      <c r="T24" s="1559" t="s">
        <v>8</v>
      </c>
      <c r="U24" s="1560">
        <f>H24</f>
        <v>100</v>
      </c>
      <c r="V24" s="1559" t="s">
        <v>8</v>
      </c>
      <c r="W24" s="1560">
        <f>J24</f>
        <v>100</v>
      </c>
      <c r="X24" s="1553"/>
      <c r="Y24" s="3386"/>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386"/>
      <c r="Q25" s="1146">
        <f t="shared" si="11"/>
        <v>111</v>
      </c>
      <c r="R25" s="1554" t="s">
        <v>8</v>
      </c>
      <c r="S25" s="1555">
        <f>F25</f>
        <v>100</v>
      </c>
      <c r="T25" s="1554" t="s">
        <v>8</v>
      </c>
      <c r="U25" s="1555">
        <f>H25</f>
        <v>100</v>
      </c>
      <c r="V25" s="1554" t="s">
        <v>8</v>
      </c>
      <c r="W25" s="1555">
        <f>J25</f>
        <v>100</v>
      </c>
      <c r="X25" s="1556"/>
      <c r="Y25" s="3386"/>
      <c r="Z25" s="1145">
        <f>Q25</f>
        <v>111</v>
      </c>
      <c r="AA25" s="1562">
        <f>D25/F25</f>
        <v>1</v>
      </c>
      <c r="AB25" s="1562">
        <f>D25/H25</f>
        <v>1</v>
      </c>
      <c r="AC25" s="1562">
        <f>D25/J25</f>
        <v>1</v>
      </c>
    </row>
    <row r="26" spans="1:29" ht="15">
      <c r="A26" s="2861"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38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8"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388"/>
      <c r="Q27" s="1590" t="str">
        <f t="shared" si="11"/>
        <v>成新率</v>
      </c>
      <c r="R27" s="1563" t="s">
        <v>8</v>
      </c>
      <c r="S27" s="1564" t="e">
        <f t="shared" si="12"/>
        <v>#N/A</v>
      </c>
      <c r="T27" s="1563" t="s">
        <v>8</v>
      </c>
      <c r="U27" s="1564" t="e">
        <f t="shared" si="13"/>
        <v>#N/A</v>
      </c>
      <c r="V27" s="1563" t="s">
        <v>8</v>
      </c>
      <c r="W27" s="1564" t="e">
        <f t="shared" si="14"/>
        <v>#N/A</v>
      </c>
      <c r="X27" s="1565"/>
      <c r="Y27" s="3388"/>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8"/>
      <c r="Q28" s="1558" t="str">
        <f t="shared" si="11"/>
        <v>物业等级</v>
      </c>
      <c r="R28" s="1559" t="s">
        <v>8</v>
      </c>
      <c r="S28" s="1560">
        <f t="shared" si="12"/>
        <v>100</v>
      </c>
      <c r="T28" s="1559" t="s">
        <v>8</v>
      </c>
      <c r="U28" s="1560">
        <f t="shared" si="13"/>
        <v>100</v>
      </c>
      <c r="V28" s="1559" t="s">
        <v>8</v>
      </c>
      <c r="W28" s="1560">
        <f t="shared" si="14"/>
        <v>100</v>
      </c>
      <c r="X28" s="1553"/>
      <c r="Y28" s="3388"/>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388"/>
      <c r="Q29" s="1558" t="str">
        <f t="shared" si="11"/>
        <v>有无电梯</v>
      </c>
      <c r="R29" s="1559" t="s">
        <v>8</v>
      </c>
      <c r="S29" s="1560">
        <f t="shared" si="12"/>
        <v>100</v>
      </c>
      <c r="T29" s="1559" t="s">
        <v>8</v>
      </c>
      <c r="U29" s="1560">
        <f t="shared" si="13"/>
        <v>100</v>
      </c>
      <c r="V29" s="1559" t="s">
        <v>8</v>
      </c>
      <c r="W29" s="1560">
        <f t="shared" si="14"/>
        <v>100</v>
      </c>
      <c r="X29" s="1553"/>
      <c r="Y29" s="3388"/>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388"/>
      <c r="Q30" s="1558" t="str">
        <f t="shared" si="11"/>
        <v>建筑面积</v>
      </c>
      <c r="R30" s="1559" t="s">
        <v>8</v>
      </c>
      <c r="S30" s="1560" t="e">
        <f t="shared" si="12"/>
        <v>#N/A</v>
      </c>
      <c r="T30" s="1559" t="s">
        <v>8</v>
      </c>
      <c r="U30" s="1560" t="e">
        <f t="shared" si="13"/>
        <v>#N/A</v>
      </c>
      <c r="V30" s="1559" t="s">
        <v>8</v>
      </c>
      <c r="W30" s="1560" t="e">
        <f t="shared" si="14"/>
        <v>#N/A</v>
      </c>
      <c r="X30" s="1553"/>
      <c r="Y30" s="3388"/>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388"/>
      <c r="Q31" s="1146" t="str">
        <f t="shared" si="11"/>
        <v>是否封闭</v>
      </c>
      <c r="R31" s="1554" t="s">
        <v>8</v>
      </c>
      <c r="S31" s="1555">
        <f t="shared" si="12"/>
        <v>100</v>
      </c>
      <c r="T31" s="1554" t="s">
        <v>8</v>
      </c>
      <c r="U31" s="1555">
        <f t="shared" si="13"/>
        <v>100</v>
      </c>
      <c r="V31" s="1554" t="s">
        <v>8</v>
      </c>
      <c r="W31" s="1555">
        <f t="shared" si="14"/>
        <v>100</v>
      </c>
      <c r="X31" s="1556"/>
      <c r="Y31" s="3388"/>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388" t="s">
        <v>550</v>
      </c>
      <c r="Q32" s="1558">
        <f t="shared" si="11"/>
        <v>111</v>
      </c>
      <c r="R32" s="1559" t="s">
        <v>8</v>
      </c>
      <c r="S32" s="1560">
        <f t="shared" si="12"/>
        <v>100</v>
      </c>
      <c r="T32" s="1559" t="s">
        <v>8</v>
      </c>
      <c r="U32" s="1560">
        <f t="shared" si="13"/>
        <v>100</v>
      </c>
      <c r="V32" s="1559" t="s">
        <v>8</v>
      </c>
      <c r="W32" s="1560">
        <f t="shared" si="14"/>
        <v>100</v>
      </c>
      <c r="X32" s="1553"/>
      <c r="Y32" s="3388"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388"/>
      <c r="Q33" s="1558">
        <f t="shared" si="11"/>
        <v>111</v>
      </c>
      <c r="R33" s="1559" t="s">
        <v>8</v>
      </c>
      <c r="S33" s="1560">
        <f t="shared" si="12"/>
        <v>100</v>
      </c>
      <c r="T33" s="1559" t="s">
        <v>8</v>
      </c>
      <c r="U33" s="1560">
        <f t="shared" si="13"/>
        <v>100</v>
      </c>
      <c r="V33" s="1559" t="s">
        <v>8</v>
      </c>
      <c r="W33" s="1560">
        <f t="shared" si="14"/>
        <v>100</v>
      </c>
      <c r="X33" s="1553"/>
      <c r="Y33" s="3388"/>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388"/>
      <c r="Q34" s="1558">
        <f t="shared" si="11"/>
        <v>111</v>
      </c>
      <c r="R34" s="1559" t="s">
        <v>8</v>
      </c>
      <c r="S34" s="1560">
        <f t="shared" si="12"/>
        <v>100</v>
      </c>
      <c r="T34" s="1559" t="s">
        <v>8</v>
      </c>
      <c r="U34" s="1560">
        <f t="shared" si="13"/>
        <v>100</v>
      </c>
      <c r="V34" s="1559" t="s">
        <v>8</v>
      </c>
      <c r="W34" s="1560">
        <f t="shared" si="14"/>
        <v>100</v>
      </c>
      <c r="X34" s="1553"/>
      <c r="Y34" s="3388"/>
      <c r="Z34" s="1561">
        <f t="shared" si="15"/>
        <v>111</v>
      </c>
      <c r="AA34" s="1562">
        <f t="shared" si="3"/>
        <v>1</v>
      </c>
      <c r="AB34" s="1562">
        <f t="shared" si="4"/>
        <v>1</v>
      </c>
      <c r="AC34" s="1562">
        <f t="shared" si="5"/>
        <v>1</v>
      </c>
    </row>
    <row r="35" spans="1:29" ht="15">
      <c r="A35" s="607" t="s">
        <v>736</v>
      </c>
      <c r="B35" s="886"/>
      <c r="C35" s="2590" t="s">
        <v>1</v>
      </c>
      <c r="D35" s="2591"/>
      <c r="E35" s="2592"/>
      <c r="F35" s="2593"/>
      <c r="G35" s="2594"/>
      <c r="H35" s="2595"/>
      <c r="I35" s="2592"/>
      <c r="J35" s="2595"/>
      <c r="K35" s="1596"/>
      <c r="L35" s="2129"/>
      <c r="M35" s="2130"/>
      <c r="N35" s="2119"/>
      <c r="O35" s="2130"/>
      <c r="P35" s="3383" t="str">
        <f>A35</f>
        <v>成交单价（元/平方米）</v>
      </c>
      <c r="Q35" s="3383"/>
      <c r="R35" s="3489">
        <f>E35</f>
        <v>0</v>
      </c>
      <c r="S35" s="3489"/>
      <c r="T35" s="3489">
        <f>G35</f>
        <v>0</v>
      </c>
      <c r="U35" s="3489"/>
      <c r="V35" s="3489">
        <f>I35</f>
        <v>0</v>
      </c>
      <c r="W35" s="3489"/>
      <c r="X35" s="1545"/>
      <c r="Y35" s="1567"/>
      <c r="Z35" s="1545"/>
      <c r="AA35" s="1545"/>
      <c r="AB35" s="1545"/>
      <c r="AC35" s="1545"/>
    </row>
    <row r="36" spans="1:29" ht="15.75" thickBot="1">
      <c r="A36" s="615" t="s">
        <v>2759</v>
      </c>
      <c r="B36" s="887"/>
      <c r="C36" s="2596" t="e">
        <f>R37</f>
        <v>#DIV/0!</v>
      </c>
      <c r="D36" s="2597"/>
      <c r="E36" s="2598" t="e">
        <f>R36</f>
        <v>#DIV/0!</v>
      </c>
      <c r="F36" s="2598"/>
      <c r="G36" s="2596" t="e">
        <f>T36</f>
        <v>#DIV/0!</v>
      </c>
      <c r="H36" s="2597"/>
      <c r="I36" s="2598" t="e">
        <f>V36</f>
        <v>#DIV/0!</v>
      </c>
      <c r="J36" s="2597"/>
      <c r="K36" s="1597"/>
      <c r="L36" s="2129"/>
      <c r="M36" s="2130"/>
      <c r="N36" s="2119"/>
      <c r="O36" s="2130"/>
      <c r="P36" s="3383" t="str">
        <f>A36</f>
        <v>比较价格（元/平方米）</v>
      </c>
      <c r="Q36" s="3383"/>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45"/>
      <c r="Y36" s="1545"/>
      <c r="Z36" s="1545"/>
      <c r="AA36" s="1545"/>
      <c r="AB36" s="1545"/>
      <c r="AC36" s="1545"/>
    </row>
    <row r="37" spans="1:29" ht="15.75" thickBot="1">
      <c r="A37" s="621" t="s">
        <v>2926</v>
      </c>
      <c r="B37" s="622"/>
      <c r="C37" s="2599" t="e">
        <f>R37</f>
        <v>#DIV/0!</v>
      </c>
      <c r="D37" s="2599"/>
      <c r="E37" s="2599"/>
      <c r="F37" s="2599"/>
      <c r="G37" s="2599"/>
      <c r="H37" s="2599"/>
      <c r="I37" s="2599"/>
      <c r="J37" s="2599"/>
      <c r="K37" s="1598"/>
      <c r="L37" s="2129"/>
      <c r="M37" s="2130"/>
      <c r="N37" s="2130"/>
      <c r="O37" s="2130"/>
      <c r="P37" s="3404" t="str">
        <f>A37</f>
        <v>估价对象XX用房的比较价格（楼面单价，元/平方米）</v>
      </c>
      <c r="Q37" s="3405"/>
      <c r="R37" s="3488" t="e">
        <f>IF(F1="售价",ROUND(AVERAGE(R36:V36),0),ROUND(AVERAGE(R36:V36),1))</f>
        <v>#DIV/0!</v>
      </c>
      <c r="S37" s="3488"/>
      <c r="T37" s="3488"/>
      <c r="U37" s="3488"/>
      <c r="V37" s="3488"/>
      <c r="W37" s="3488"/>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0" t="s">
        <v>2557</v>
      </c>
      <c r="C65" s="2561" t="s">
        <v>2558</v>
      </c>
      <c r="D65" s="2561" t="s">
        <v>2559</v>
      </c>
      <c r="E65" s="2561" t="s">
        <v>2560</v>
      </c>
      <c r="F65" s="2561" t="s">
        <v>2561</v>
      </c>
      <c r="G65" s="2561" t="s">
        <v>2562</v>
      </c>
      <c r="H65" s="674"/>
      <c r="I65" s="674"/>
      <c r="J65" s="674"/>
      <c r="K65" s="674"/>
      <c r="L65" s="674"/>
      <c r="M65" s="2564"/>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498" t="s">
        <v>2303</v>
      </c>
      <c r="D1" s="3499"/>
      <c r="E1" s="3499"/>
      <c r="F1" s="3499"/>
      <c r="G1" s="3499"/>
      <c r="H1" s="3499"/>
      <c r="I1" s="3499"/>
      <c r="J1" s="3499"/>
      <c r="K1" s="3499"/>
      <c r="L1" s="3499"/>
      <c r="M1" s="3499"/>
      <c r="N1" s="3499"/>
      <c r="O1" s="3499"/>
      <c r="P1" s="3499"/>
      <c r="Q1" s="3499"/>
      <c r="R1" s="3499"/>
      <c r="S1" s="3500"/>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2919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2918</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2917</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2930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2916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2915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受贵公司委托，我公司对北京市出让国有建设用地使用权抵押价格进行了预评估。</v>
      </c>
    </row>
    <row r="5" spans="1:4" ht="18.75">
      <c r="A5" s="1779" t="s">
        <v>1905</v>
      </c>
    </row>
    <row r="6" spans="1:4" ht="56.2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估价对象为使用的、位于北京市出让国有建设用地使用权。根据，估价对象（分摊）出让国有建设用地使用权面积为120388.78平方米。根据，估价对象规划建筑面积为132427.66平方米。</v>
      </c>
    </row>
    <row r="7" spans="1:4" ht="93.75">
      <c r="A7" s="2827" t="s">
        <v>2747</v>
      </c>
    </row>
    <row r="8" spans="1:4" ht="18.75">
      <c r="A8" s="1779" t="s">
        <v>1906</v>
      </c>
    </row>
    <row r="9" spans="1:4" ht="75">
      <c r="A9" s="17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2019年4月26日</v>
      </c>
    </row>
    <row r="12" spans="1:4" ht="18.75">
      <c r="A12" s="1782" t="s">
        <v>2024</v>
      </c>
    </row>
    <row r="13" spans="1:4" ht="18.75">
      <c r="A13" s="1776" t="s">
        <v>2070</v>
      </c>
    </row>
    <row r="14" spans="1:4" ht="18.75">
      <c r="A14" s="1776" t="str">
        <f>"根据"&amp;项目基本情况!F12&amp;"，本次评估估价对象证载（地类）用途为"&amp;项目基本情况!B12&amp;"。"</f>
        <v>根据，本次评估估价对象证载（地类）用途为。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37.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根据，估价对象（分摊）出让国有建设用地使用权面积为120388.78平方米。根据，估价对象规划建筑面积为132427.66平方米。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29"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43581</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2</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workbookViewId="0">
      <selection activeCell="A13" sqref="A13:XFD13"/>
    </sheetView>
  </sheetViews>
  <sheetFormatPr defaultRowHeight="13.5"/>
  <cols>
    <col min="1" max="1" width="47.375" customWidth="1"/>
    <col min="2" max="2" width="0" hidden="1" customWidth="1"/>
    <col min="13" max="13" width="15" customWidth="1"/>
  </cols>
  <sheetData>
    <row r="1" spans="1:14" s="2893" customFormat="1">
      <c r="A1" s="2893" t="s">
        <v>3093</v>
      </c>
      <c r="B1" s="2893" t="s">
        <v>3094</v>
      </c>
      <c r="C1" s="2893" t="s">
        <v>3095</v>
      </c>
      <c r="D1" s="2893" t="s">
        <v>3096</v>
      </c>
      <c r="E1" s="2893" t="s">
        <v>3097</v>
      </c>
      <c r="F1" s="2893" t="s">
        <v>2031</v>
      </c>
      <c r="G1" s="2893" t="s">
        <v>3098</v>
      </c>
      <c r="H1" s="2893" t="s">
        <v>3099</v>
      </c>
      <c r="I1" s="2893" t="s">
        <v>3100</v>
      </c>
      <c r="J1" s="2893" t="s">
        <v>3101</v>
      </c>
      <c r="K1" s="2893" t="s">
        <v>3102</v>
      </c>
      <c r="L1" s="2893" t="s">
        <v>3103</v>
      </c>
      <c r="M1" s="2893" t="s">
        <v>3104</v>
      </c>
      <c r="N1" s="2893" t="s">
        <v>3105</v>
      </c>
    </row>
    <row r="2" spans="1:14" s="3187" customFormat="1" ht="14.25" customHeight="1">
      <c r="A2" s="3187" t="s">
        <v>2991</v>
      </c>
      <c r="B2" s="3187" t="s">
        <v>1945</v>
      </c>
      <c r="C2" s="3187" t="s">
        <v>2992</v>
      </c>
      <c r="D2" s="3187">
        <v>60678.01</v>
      </c>
      <c r="E2" s="3187">
        <v>160145</v>
      </c>
      <c r="F2" s="3187" t="s">
        <v>2993</v>
      </c>
      <c r="G2" s="3187" t="s">
        <v>2994</v>
      </c>
      <c r="H2" s="3187" t="s">
        <v>2995</v>
      </c>
      <c r="I2" s="3187">
        <v>339100</v>
      </c>
      <c r="J2" s="3187">
        <v>340800</v>
      </c>
      <c r="K2" s="3187">
        <v>21280.7</v>
      </c>
      <c r="L2" s="3187">
        <v>0.5</v>
      </c>
      <c r="M2" s="3187" t="s">
        <v>2996</v>
      </c>
      <c r="N2" s="3187" t="s">
        <v>2997</v>
      </c>
    </row>
    <row r="3" spans="1:14" s="3187" customFormat="1">
      <c r="A3" s="3187" t="s">
        <v>2998</v>
      </c>
      <c r="B3" s="3187" t="s">
        <v>1945</v>
      </c>
      <c r="C3" s="3187" t="s">
        <v>2999</v>
      </c>
      <c r="D3" s="3187">
        <v>41541.339999999997</v>
      </c>
      <c r="E3" s="3187">
        <v>87237</v>
      </c>
      <c r="F3" s="3187">
        <v>2.1</v>
      </c>
      <c r="G3" s="3187" t="s">
        <v>2994</v>
      </c>
      <c r="H3" s="3187" t="s">
        <v>3000</v>
      </c>
      <c r="I3" s="3187">
        <v>150000</v>
      </c>
      <c r="J3" s="3187">
        <v>206000</v>
      </c>
      <c r="K3" s="3187">
        <v>23613.83</v>
      </c>
      <c r="L3" s="3187">
        <v>37.33</v>
      </c>
      <c r="M3" s="3187" t="s">
        <v>3001</v>
      </c>
      <c r="N3" s="3187" t="s">
        <v>2997</v>
      </c>
    </row>
    <row r="4" spans="1:14" s="3187" customFormat="1">
      <c r="A4" s="3187" t="s">
        <v>3002</v>
      </c>
      <c r="B4" s="3187" t="s">
        <v>1945</v>
      </c>
      <c r="C4" s="3187" t="s">
        <v>2992</v>
      </c>
      <c r="D4" s="3187">
        <v>22975.03</v>
      </c>
      <c r="E4" s="3187">
        <v>68925</v>
      </c>
      <c r="F4" s="3187">
        <v>3</v>
      </c>
      <c r="G4" s="3187" t="s">
        <v>2994</v>
      </c>
      <c r="H4" s="3187" t="s">
        <v>3003</v>
      </c>
      <c r="I4" s="3187">
        <v>208000</v>
      </c>
      <c r="J4" s="3187">
        <v>264000</v>
      </c>
      <c r="K4" s="3187">
        <v>38302.5</v>
      </c>
      <c r="L4" s="3187">
        <v>26.92</v>
      </c>
      <c r="M4" s="3187" t="s">
        <v>3004</v>
      </c>
      <c r="N4" s="3187" t="s">
        <v>2997</v>
      </c>
    </row>
    <row r="5" spans="1:14" s="3187" customFormat="1">
      <c r="A5" s="3187" t="s">
        <v>3005</v>
      </c>
      <c r="B5" s="3187" t="s">
        <v>1945</v>
      </c>
      <c r="C5" s="3187" t="s">
        <v>2992</v>
      </c>
      <c r="D5" s="3187">
        <v>19200.669999999998</v>
      </c>
      <c r="E5" s="3187">
        <v>57602</v>
      </c>
      <c r="F5" s="3187">
        <v>3</v>
      </c>
      <c r="G5" s="3187" t="s">
        <v>2994</v>
      </c>
      <c r="H5" s="3187" t="s">
        <v>3003</v>
      </c>
      <c r="I5" s="3187">
        <v>200000</v>
      </c>
      <c r="J5" s="3187">
        <v>234000</v>
      </c>
      <c r="K5" s="3187">
        <v>40623.58</v>
      </c>
      <c r="L5" s="3187">
        <v>17</v>
      </c>
      <c r="M5" s="3187" t="s">
        <v>3006</v>
      </c>
      <c r="N5" s="3187" t="s">
        <v>2997</v>
      </c>
    </row>
    <row r="6" spans="1:14" s="3187" customFormat="1">
      <c r="A6" s="3187" t="s">
        <v>3007</v>
      </c>
      <c r="B6" s="3187" t="s">
        <v>1945</v>
      </c>
      <c r="C6" s="3187" t="s">
        <v>2992</v>
      </c>
      <c r="D6" s="3187">
        <v>74979.98</v>
      </c>
      <c r="E6" s="3187">
        <v>84324</v>
      </c>
      <c r="F6" s="3187">
        <v>1.1200000000000001</v>
      </c>
      <c r="G6" s="3187" t="s">
        <v>2994</v>
      </c>
      <c r="H6" s="3187" t="s">
        <v>3008</v>
      </c>
      <c r="I6" s="3187">
        <v>205000</v>
      </c>
      <c r="J6" s="3187">
        <v>291000</v>
      </c>
      <c r="K6" s="3187">
        <v>34509.75</v>
      </c>
      <c r="L6" s="3187">
        <v>41.95</v>
      </c>
      <c r="M6" s="3187" t="s">
        <v>3009</v>
      </c>
      <c r="N6" s="3187" t="s">
        <v>2997</v>
      </c>
    </row>
    <row r="7" spans="1:14">
      <c r="A7" t="s">
        <v>3010</v>
      </c>
      <c r="B7" t="s">
        <v>1945</v>
      </c>
      <c r="C7" t="s">
        <v>2992</v>
      </c>
      <c r="D7">
        <v>55477.35</v>
      </c>
      <c r="E7">
        <v>87924</v>
      </c>
      <c r="F7">
        <v>1.58</v>
      </c>
      <c r="G7" t="s">
        <v>2994</v>
      </c>
      <c r="H7" t="s">
        <v>3011</v>
      </c>
      <c r="I7">
        <v>150000</v>
      </c>
      <c r="J7">
        <v>168000</v>
      </c>
      <c r="K7">
        <v>19107.400000000001</v>
      </c>
      <c r="L7">
        <v>12</v>
      </c>
      <c r="M7" t="s">
        <v>3012</v>
      </c>
      <c r="N7" t="s">
        <v>3013</v>
      </c>
    </row>
    <row r="8" spans="1:14" s="3184" customFormat="1" ht="15" customHeight="1">
      <c r="A8" s="3185" t="s">
        <v>3106</v>
      </c>
      <c r="B8" s="3184" t="s">
        <v>1945</v>
      </c>
      <c r="C8" s="3184" t="s">
        <v>2999</v>
      </c>
      <c r="D8" s="3184">
        <v>53525.81</v>
      </c>
      <c r="E8" s="3184">
        <v>58878</v>
      </c>
      <c r="F8" s="3184">
        <v>1.1000000000000001</v>
      </c>
      <c r="G8" s="3184" t="s">
        <v>2994</v>
      </c>
      <c r="H8" s="3184" t="s">
        <v>3014</v>
      </c>
      <c r="I8" s="3184">
        <v>333100</v>
      </c>
      <c r="J8" s="3184">
        <v>336500</v>
      </c>
      <c r="K8" s="3184">
        <v>57152.08</v>
      </c>
      <c r="L8" s="3184">
        <v>1.02</v>
      </c>
      <c r="M8" s="3184" t="s">
        <v>3015</v>
      </c>
      <c r="N8" s="3184" t="s">
        <v>3013</v>
      </c>
    </row>
    <row r="9" spans="1:14" s="3184" customFormat="1">
      <c r="A9" s="3184" t="s">
        <v>3016</v>
      </c>
      <c r="B9" s="3184" t="s">
        <v>1945</v>
      </c>
      <c r="C9" s="3184" t="s">
        <v>2999</v>
      </c>
      <c r="D9" s="3184">
        <v>90394.02</v>
      </c>
      <c r="E9" s="3184">
        <v>99433</v>
      </c>
      <c r="F9" s="3184">
        <v>1.1000000000000001</v>
      </c>
      <c r="G9" s="3184" t="s">
        <v>2994</v>
      </c>
      <c r="H9" s="3184" t="s">
        <v>3017</v>
      </c>
      <c r="I9" s="3184">
        <v>557900</v>
      </c>
      <c r="J9" s="3184">
        <v>610000</v>
      </c>
      <c r="K9" s="3184">
        <v>61347.83</v>
      </c>
      <c r="L9" s="3184">
        <v>9.34</v>
      </c>
      <c r="M9" s="3184" t="s">
        <v>3018</v>
      </c>
      <c r="N9" s="3184" t="s">
        <v>2997</v>
      </c>
    </row>
    <row r="10" spans="1:14">
      <c r="A10" t="s">
        <v>3019</v>
      </c>
      <c r="B10" t="s">
        <v>1945</v>
      </c>
      <c r="C10" t="s">
        <v>2999</v>
      </c>
      <c r="D10">
        <v>35847.35</v>
      </c>
      <c r="E10">
        <v>75279</v>
      </c>
      <c r="F10">
        <v>2.1</v>
      </c>
      <c r="G10" t="s">
        <v>2994</v>
      </c>
      <c r="H10" t="s">
        <v>3020</v>
      </c>
      <c r="I10">
        <v>170000</v>
      </c>
      <c r="J10">
        <v>186000</v>
      </c>
      <c r="K10">
        <v>24708.09</v>
      </c>
      <c r="L10">
        <v>9.41</v>
      </c>
      <c r="M10" t="s">
        <v>3021</v>
      </c>
      <c r="N10" t="s">
        <v>3013</v>
      </c>
    </row>
    <row r="11" spans="1:14">
      <c r="A11" t="s">
        <v>3022</v>
      </c>
      <c r="B11" t="s">
        <v>1945</v>
      </c>
      <c r="C11" t="s">
        <v>2999</v>
      </c>
      <c r="D11">
        <v>77973.48</v>
      </c>
      <c r="E11">
        <v>194934</v>
      </c>
      <c r="F11">
        <v>2.5</v>
      </c>
      <c r="G11" t="s">
        <v>2994</v>
      </c>
      <c r="H11" t="s">
        <v>3023</v>
      </c>
      <c r="I11">
        <v>498000</v>
      </c>
      <c r="J11">
        <v>498000</v>
      </c>
      <c r="K11">
        <v>25547.11</v>
      </c>
      <c r="L11">
        <v>0</v>
      </c>
      <c r="M11" t="s">
        <v>3024</v>
      </c>
      <c r="N11" t="s">
        <v>2997</v>
      </c>
    </row>
    <row r="12" spans="1:14" s="3184" customFormat="1">
      <c r="A12" s="3184" t="s">
        <v>3025</v>
      </c>
      <c r="B12" s="3184" t="s">
        <v>1945</v>
      </c>
      <c r="C12" s="3184" t="s">
        <v>2992</v>
      </c>
      <c r="D12" s="3184">
        <v>99921.81</v>
      </c>
      <c r="E12" s="3184">
        <v>109014</v>
      </c>
      <c r="F12" s="3184">
        <v>1.1000000000000001</v>
      </c>
      <c r="G12" s="3184" t="s">
        <v>2994</v>
      </c>
      <c r="H12" s="3184" t="s">
        <v>3026</v>
      </c>
      <c r="I12" s="3184">
        <v>400000</v>
      </c>
      <c r="J12" s="3184">
        <v>596000</v>
      </c>
      <c r="K12" s="3184">
        <v>54671.87</v>
      </c>
      <c r="L12" s="3184">
        <v>49</v>
      </c>
      <c r="M12" s="3184" t="s">
        <v>3027</v>
      </c>
      <c r="N12" s="3184" t="s">
        <v>3013</v>
      </c>
    </row>
    <row r="13" spans="1:14">
      <c r="A13" t="s">
        <v>3028</v>
      </c>
      <c r="B13" t="s">
        <v>1945</v>
      </c>
      <c r="C13" t="s">
        <v>2999</v>
      </c>
      <c r="D13">
        <v>59511.18</v>
      </c>
      <c r="E13">
        <v>89267</v>
      </c>
      <c r="F13">
        <v>1.5</v>
      </c>
      <c r="G13" t="s">
        <v>2994</v>
      </c>
      <c r="H13" t="s">
        <v>3029</v>
      </c>
      <c r="I13">
        <v>349000</v>
      </c>
      <c r="J13">
        <v>457500</v>
      </c>
      <c r="K13">
        <v>51250.73</v>
      </c>
      <c r="L13">
        <v>31.09</v>
      </c>
      <c r="M13" t="s">
        <v>3030</v>
      </c>
      <c r="N13" t="s">
        <v>2997</v>
      </c>
    </row>
    <row r="14" spans="1:14">
      <c r="A14" t="s">
        <v>3031</v>
      </c>
      <c r="B14" t="s">
        <v>1945</v>
      </c>
      <c r="C14" t="s">
        <v>2999</v>
      </c>
      <c r="D14">
        <v>60374.36</v>
      </c>
      <c r="E14">
        <v>102636</v>
      </c>
      <c r="F14">
        <v>1.7</v>
      </c>
      <c r="G14" t="s">
        <v>2994</v>
      </c>
      <c r="H14" t="s">
        <v>3032</v>
      </c>
      <c r="I14">
        <v>210000</v>
      </c>
      <c r="J14">
        <v>326000</v>
      </c>
      <c r="K14">
        <v>31762.720000000001</v>
      </c>
      <c r="L14">
        <v>55.24</v>
      </c>
      <c r="M14" t="s">
        <v>3033</v>
      </c>
      <c r="N14" t="s">
        <v>2997</v>
      </c>
    </row>
    <row r="15" spans="1:14">
      <c r="A15" t="s">
        <v>3034</v>
      </c>
      <c r="B15" t="s">
        <v>1945</v>
      </c>
      <c r="C15" t="s">
        <v>2992</v>
      </c>
      <c r="D15">
        <v>74677.14</v>
      </c>
      <c r="E15">
        <v>237938</v>
      </c>
      <c r="F15">
        <v>3.19</v>
      </c>
      <c r="G15" t="s">
        <v>2994</v>
      </c>
      <c r="H15" t="s">
        <v>3035</v>
      </c>
      <c r="I15">
        <v>615200</v>
      </c>
      <c r="J15">
        <v>615200</v>
      </c>
      <c r="K15">
        <v>25855.47</v>
      </c>
      <c r="L15">
        <v>0</v>
      </c>
      <c r="M15" t="s">
        <v>3036</v>
      </c>
      <c r="N15" t="s">
        <v>2997</v>
      </c>
    </row>
    <row r="16" spans="1:14" s="3187" customFormat="1">
      <c r="A16" s="3187" t="s">
        <v>3037</v>
      </c>
      <c r="B16" s="3187" t="s">
        <v>1945</v>
      </c>
      <c r="C16" s="3187" t="s">
        <v>2999</v>
      </c>
      <c r="D16" s="3187">
        <v>21403.13</v>
      </c>
      <c r="E16" s="3187">
        <v>38526</v>
      </c>
      <c r="F16" s="3187">
        <v>1.8</v>
      </c>
      <c r="G16" s="3187" t="s">
        <v>2994</v>
      </c>
      <c r="H16" s="3187" t="s">
        <v>3038</v>
      </c>
      <c r="I16" s="3187">
        <v>71000</v>
      </c>
      <c r="J16" s="3187">
        <v>92000</v>
      </c>
      <c r="K16" s="3187">
        <v>23879.97</v>
      </c>
      <c r="L16" s="3187">
        <v>29.58</v>
      </c>
      <c r="M16" s="3187" t="s">
        <v>3039</v>
      </c>
      <c r="N16" s="3187" t="s">
        <v>3013</v>
      </c>
    </row>
    <row r="17" spans="1:14" s="3187" customFormat="1">
      <c r="A17" s="3187" t="s">
        <v>3040</v>
      </c>
      <c r="B17" s="3187" t="s">
        <v>1945</v>
      </c>
      <c r="C17" s="3187" t="s">
        <v>2999</v>
      </c>
      <c r="D17" s="3187">
        <v>43325.9</v>
      </c>
      <c r="E17" s="3187">
        <v>64988</v>
      </c>
      <c r="F17" s="3187">
        <v>1.5</v>
      </c>
      <c r="G17" s="3187" t="s">
        <v>2994</v>
      </c>
      <c r="H17" s="3187" t="s">
        <v>3038</v>
      </c>
      <c r="I17" s="3187">
        <v>190000</v>
      </c>
      <c r="J17" s="3187">
        <v>204000</v>
      </c>
      <c r="K17" s="3187">
        <v>31390.400000000001</v>
      </c>
      <c r="L17" s="3187">
        <v>7.37</v>
      </c>
      <c r="M17" s="3187" t="s">
        <v>3041</v>
      </c>
      <c r="N17" s="3187" t="s">
        <v>3042</v>
      </c>
    </row>
    <row r="18" spans="1:14" s="3187" customFormat="1">
      <c r="A18" s="3187" t="s">
        <v>3043</v>
      </c>
      <c r="B18" s="3187" t="s">
        <v>1945</v>
      </c>
      <c r="C18" s="3187" t="s">
        <v>2992</v>
      </c>
      <c r="D18" s="3187">
        <v>28367.279999999999</v>
      </c>
      <c r="E18" s="3187">
        <v>42028</v>
      </c>
      <c r="F18" s="3187">
        <v>1.48</v>
      </c>
      <c r="G18" s="3187" t="s">
        <v>2994</v>
      </c>
      <c r="H18" s="3187" t="s">
        <v>3044</v>
      </c>
      <c r="I18" s="3187">
        <v>76000</v>
      </c>
      <c r="J18" s="3187">
        <v>88500</v>
      </c>
      <c r="K18" s="3187">
        <v>21057.38</v>
      </c>
      <c r="L18" s="3187">
        <v>16.45</v>
      </c>
      <c r="M18" s="3187" t="s">
        <v>3045</v>
      </c>
      <c r="N18" s="3187" t="s">
        <v>2997</v>
      </c>
    </row>
    <row r="19" spans="1:14" s="3187" customFormat="1">
      <c r="A19" s="3187" t="s">
        <v>3046</v>
      </c>
      <c r="B19" s="3187" t="s">
        <v>1945</v>
      </c>
      <c r="C19" s="3187" t="s">
        <v>2992</v>
      </c>
      <c r="D19" s="3187">
        <v>69856.02</v>
      </c>
      <c r="E19" s="3187">
        <v>104180</v>
      </c>
      <c r="F19" s="3187">
        <v>1.49</v>
      </c>
      <c r="G19" s="3187" t="s">
        <v>2994</v>
      </c>
      <c r="H19" s="3187" t="s">
        <v>3044</v>
      </c>
      <c r="I19" s="3187">
        <v>190000</v>
      </c>
      <c r="J19" s="3187">
        <v>233000</v>
      </c>
      <c r="K19" s="3187">
        <v>22365.13</v>
      </c>
      <c r="L19" s="3187">
        <v>22.63</v>
      </c>
      <c r="M19" s="3187" t="s">
        <v>3047</v>
      </c>
      <c r="N19" s="3187" t="s">
        <v>2997</v>
      </c>
    </row>
    <row r="20" spans="1:14" s="3187" customFormat="1">
      <c r="A20" s="3187" t="s">
        <v>3048</v>
      </c>
      <c r="B20" s="3187" t="s">
        <v>1945</v>
      </c>
      <c r="C20" s="3187" t="s">
        <v>2999</v>
      </c>
      <c r="D20" s="3187">
        <v>41663.440000000002</v>
      </c>
      <c r="E20" s="3187">
        <v>70828</v>
      </c>
      <c r="F20" s="3187">
        <v>1.7</v>
      </c>
      <c r="G20" s="3187" t="s">
        <v>2994</v>
      </c>
      <c r="H20" s="3187" t="s">
        <v>3049</v>
      </c>
      <c r="I20" s="3187">
        <v>76700</v>
      </c>
      <c r="J20" s="3187">
        <v>77900</v>
      </c>
      <c r="K20" s="3187">
        <v>10998.47</v>
      </c>
      <c r="L20" s="3187">
        <v>1.56</v>
      </c>
      <c r="M20" s="3187" t="s">
        <v>3050</v>
      </c>
      <c r="N20" s="3187" t="s">
        <v>2997</v>
      </c>
    </row>
    <row r="21" spans="1:14">
      <c r="A21" t="s">
        <v>3051</v>
      </c>
      <c r="B21" t="s">
        <v>1945</v>
      </c>
      <c r="C21" t="s">
        <v>2999</v>
      </c>
      <c r="D21">
        <v>66475.23</v>
      </c>
      <c r="E21">
        <v>132950</v>
      </c>
      <c r="F21">
        <v>2</v>
      </c>
      <c r="G21" t="s">
        <v>2994</v>
      </c>
      <c r="H21" t="s">
        <v>3049</v>
      </c>
      <c r="I21">
        <v>380000</v>
      </c>
      <c r="J21">
        <v>450000</v>
      </c>
      <c r="K21">
        <v>33847.300000000003</v>
      </c>
      <c r="L21">
        <v>18.420000000000002</v>
      </c>
      <c r="M21" t="s">
        <v>3052</v>
      </c>
      <c r="N21" t="s">
        <v>2997</v>
      </c>
    </row>
    <row r="22" spans="1:14">
      <c r="A22" t="s">
        <v>3053</v>
      </c>
      <c r="B22" t="s">
        <v>1945</v>
      </c>
      <c r="C22" t="s">
        <v>2992</v>
      </c>
      <c r="D22">
        <v>76571.12</v>
      </c>
      <c r="E22">
        <v>132728</v>
      </c>
      <c r="F22">
        <v>1.73</v>
      </c>
      <c r="G22" t="s">
        <v>2994</v>
      </c>
      <c r="H22" t="s">
        <v>3049</v>
      </c>
      <c r="I22">
        <v>165000</v>
      </c>
      <c r="J22">
        <v>194500</v>
      </c>
      <c r="K22">
        <v>14654.03</v>
      </c>
      <c r="L22">
        <v>17.88</v>
      </c>
      <c r="M22" t="s">
        <v>3054</v>
      </c>
      <c r="N22" t="s">
        <v>2997</v>
      </c>
    </row>
    <row r="23" spans="1:14" s="3187" customFormat="1">
      <c r="A23" s="3186" t="s">
        <v>3092</v>
      </c>
      <c r="B23" s="3187" t="s">
        <v>1945</v>
      </c>
      <c r="C23" s="3187" t="s">
        <v>2999</v>
      </c>
      <c r="D23" s="3187">
        <v>36365.370000000003</v>
      </c>
      <c r="E23" s="3187">
        <v>65458</v>
      </c>
      <c r="F23" s="3187">
        <v>1.8</v>
      </c>
      <c r="G23" s="3187" t="s">
        <v>2994</v>
      </c>
      <c r="H23" s="3187" t="s">
        <v>3055</v>
      </c>
      <c r="I23" s="3187">
        <v>180000</v>
      </c>
      <c r="J23" s="3187">
        <v>260000</v>
      </c>
      <c r="K23" s="3187">
        <v>39720.120000000003</v>
      </c>
      <c r="L23" s="3187">
        <v>44.44</v>
      </c>
      <c r="M23" s="3187" t="s">
        <v>3056</v>
      </c>
      <c r="N23" s="3187" t="s">
        <v>2997</v>
      </c>
    </row>
    <row r="24" spans="1:14">
      <c r="A24" t="s">
        <v>3057</v>
      </c>
      <c r="B24" t="s">
        <v>1945</v>
      </c>
      <c r="C24" t="s">
        <v>2992</v>
      </c>
      <c r="D24">
        <v>151738.6</v>
      </c>
      <c r="E24">
        <v>152374</v>
      </c>
      <c r="F24">
        <v>1.004</v>
      </c>
      <c r="G24" t="s">
        <v>2994</v>
      </c>
      <c r="H24" t="s">
        <v>3058</v>
      </c>
      <c r="I24">
        <v>460000</v>
      </c>
      <c r="J24">
        <v>685400</v>
      </c>
      <c r="K24">
        <v>44981.43</v>
      </c>
      <c r="L24">
        <v>49</v>
      </c>
      <c r="M24" t="s">
        <v>3059</v>
      </c>
      <c r="N24" t="s">
        <v>3013</v>
      </c>
    </row>
    <row r="25" spans="1:14">
      <c r="A25" t="s">
        <v>3060</v>
      </c>
      <c r="B25" t="s">
        <v>1945</v>
      </c>
      <c r="C25" t="s">
        <v>2992</v>
      </c>
      <c r="D25">
        <v>132352.79999999999</v>
      </c>
      <c r="E25">
        <v>201775</v>
      </c>
      <c r="F25">
        <v>1.52</v>
      </c>
      <c r="G25" t="s">
        <v>2994</v>
      </c>
      <c r="H25" t="s">
        <v>3020</v>
      </c>
      <c r="I25">
        <v>365000</v>
      </c>
      <c r="J25">
        <v>380000</v>
      </c>
      <c r="K25">
        <v>18832.86</v>
      </c>
      <c r="L25">
        <v>4.1100000000000003</v>
      </c>
      <c r="M25" t="s">
        <v>3061</v>
      </c>
      <c r="N25" t="s">
        <v>3013</v>
      </c>
    </row>
    <row r="26" spans="1:14">
      <c r="A26" t="s">
        <v>3062</v>
      </c>
      <c r="B26" t="s">
        <v>1945</v>
      </c>
      <c r="C26" t="s">
        <v>2992</v>
      </c>
      <c r="D26">
        <v>65602.95</v>
      </c>
      <c r="E26">
        <v>120165</v>
      </c>
      <c r="F26">
        <v>1.83</v>
      </c>
      <c r="G26" t="s">
        <v>2994</v>
      </c>
      <c r="H26" t="s">
        <v>3063</v>
      </c>
      <c r="I26">
        <v>330000</v>
      </c>
      <c r="J26">
        <v>495000</v>
      </c>
      <c r="K26">
        <v>41193.360000000001</v>
      </c>
      <c r="L26">
        <v>50</v>
      </c>
      <c r="M26" t="s">
        <v>3064</v>
      </c>
      <c r="N26" t="s">
        <v>2997</v>
      </c>
    </row>
    <row r="27" spans="1:14">
      <c r="A27" t="s">
        <v>3065</v>
      </c>
      <c r="B27" t="s">
        <v>1945</v>
      </c>
      <c r="C27" t="s">
        <v>2992</v>
      </c>
      <c r="D27">
        <v>151051.70000000001</v>
      </c>
      <c r="E27">
        <v>274253</v>
      </c>
      <c r="F27" s="3183" t="s">
        <v>3090</v>
      </c>
      <c r="G27" t="s">
        <v>2994</v>
      </c>
      <c r="H27" t="s">
        <v>3066</v>
      </c>
      <c r="I27">
        <v>385000</v>
      </c>
      <c r="J27">
        <v>502000</v>
      </c>
      <c r="K27">
        <v>18304.27</v>
      </c>
      <c r="L27">
        <v>30.39</v>
      </c>
      <c r="M27" t="s">
        <v>3059</v>
      </c>
      <c r="N27" t="s">
        <v>2997</v>
      </c>
    </row>
    <row r="28" spans="1:14" s="3187" customFormat="1">
      <c r="A28" s="3187" t="s">
        <v>3067</v>
      </c>
      <c r="B28" s="3187" t="s">
        <v>1945</v>
      </c>
      <c r="C28" s="3187" t="s">
        <v>2999</v>
      </c>
      <c r="D28" s="3187">
        <v>155132.79999999999</v>
      </c>
      <c r="E28" s="3187">
        <v>156684</v>
      </c>
      <c r="F28" s="3187">
        <v>1.009999305</v>
      </c>
      <c r="G28" s="3187" t="s">
        <v>2994</v>
      </c>
      <c r="H28" s="3187" t="s">
        <v>3068</v>
      </c>
      <c r="I28" s="3187">
        <v>470000</v>
      </c>
      <c r="J28" s="3187">
        <v>705000</v>
      </c>
      <c r="K28" s="3187">
        <v>44995.01</v>
      </c>
      <c r="L28" s="3187">
        <v>50</v>
      </c>
      <c r="M28" s="3187" t="s">
        <v>3069</v>
      </c>
      <c r="N28" s="3187" t="s">
        <v>3042</v>
      </c>
    </row>
    <row r="29" spans="1:14">
      <c r="A29" t="s">
        <v>3070</v>
      </c>
      <c r="B29" t="s">
        <v>1945</v>
      </c>
      <c r="C29" t="s">
        <v>2999</v>
      </c>
      <c r="D29">
        <v>41170.230000000003</v>
      </c>
      <c r="E29">
        <v>60109</v>
      </c>
      <c r="F29">
        <v>1.46</v>
      </c>
      <c r="G29" t="s">
        <v>2994</v>
      </c>
      <c r="H29" t="s">
        <v>3071</v>
      </c>
      <c r="I29">
        <v>88000</v>
      </c>
      <c r="J29">
        <v>121000</v>
      </c>
      <c r="K29">
        <v>20130.09</v>
      </c>
      <c r="L29">
        <v>37.5</v>
      </c>
      <c r="M29" t="s">
        <v>3072</v>
      </c>
      <c r="N29" t="s">
        <v>2997</v>
      </c>
    </row>
    <row r="30" spans="1:14">
      <c r="A30" t="s">
        <v>3073</v>
      </c>
      <c r="B30" t="s">
        <v>1945</v>
      </c>
      <c r="C30" t="s">
        <v>2999</v>
      </c>
      <c r="D30">
        <v>45104.74</v>
      </c>
      <c r="E30">
        <v>112093</v>
      </c>
      <c r="F30">
        <v>2.5</v>
      </c>
      <c r="G30" t="s">
        <v>2994</v>
      </c>
      <c r="H30" t="s">
        <v>3071</v>
      </c>
      <c r="I30">
        <v>130000</v>
      </c>
      <c r="J30">
        <v>193000</v>
      </c>
      <c r="K30">
        <v>17217.84</v>
      </c>
      <c r="L30">
        <v>48.46</v>
      </c>
      <c r="M30" t="s">
        <v>3074</v>
      </c>
      <c r="N30" t="s">
        <v>2997</v>
      </c>
    </row>
    <row r="31" spans="1:14" s="2893" customFormat="1">
      <c r="A31" s="2893" t="s">
        <v>3075</v>
      </c>
      <c r="B31" s="2893" t="s">
        <v>1945</v>
      </c>
      <c r="C31" s="2893" t="s">
        <v>2992</v>
      </c>
      <c r="D31" s="2893">
        <v>14680.08</v>
      </c>
      <c r="E31" s="2893">
        <v>31629</v>
      </c>
      <c r="F31" s="2893">
        <v>2.15</v>
      </c>
      <c r="G31" s="2893" t="s">
        <v>3076</v>
      </c>
      <c r="H31" s="2893" t="s">
        <v>3077</v>
      </c>
      <c r="I31" s="2893" t="s">
        <v>2816</v>
      </c>
      <c r="J31" s="2893">
        <v>76000</v>
      </c>
      <c r="K31" s="2893">
        <v>24028.58</v>
      </c>
      <c r="L31" s="2893" t="s">
        <v>2816</v>
      </c>
      <c r="M31" s="2893" t="s">
        <v>3078</v>
      </c>
      <c r="N31" s="2893" t="s">
        <v>2997</v>
      </c>
    </row>
    <row r="32" spans="1:14" s="2893" customFormat="1">
      <c r="A32" s="2893" t="s">
        <v>3079</v>
      </c>
      <c r="B32" s="2893" t="s">
        <v>1945</v>
      </c>
      <c r="C32" s="2893" t="s">
        <v>2992</v>
      </c>
      <c r="D32" s="2893">
        <v>68981.53</v>
      </c>
      <c r="E32" s="2893">
        <v>141907</v>
      </c>
      <c r="F32" s="2893">
        <v>2.06</v>
      </c>
      <c r="G32" s="2893" t="s">
        <v>3076</v>
      </c>
      <c r="H32" s="2893" t="s">
        <v>3077</v>
      </c>
      <c r="I32" s="2893" t="s">
        <v>2816</v>
      </c>
      <c r="J32" s="2893">
        <v>389000</v>
      </c>
      <c r="K32" s="2893">
        <v>27412.31</v>
      </c>
      <c r="L32" s="2893" t="s">
        <v>2816</v>
      </c>
      <c r="M32" s="2893" t="s">
        <v>3078</v>
      </c>
      <c r="N32" s="2893" t="s">
        <v>2997</v>
      </c>
    </row>
    <row r="33" spans="1:14" s="2893" customFormat="1">
      <c r="A33" s="2893" t="s">
        <v>3080</v>
      </c>
      <c r="B33" s="2893" t="s">
        <v>1945</v>
      </c>
      <c r="C33" s="2893" t="s">
        <v>2992</v>
      </c>
      <c r="D33" s="2893">
        <v>121729.8</v>
      </c>
      <c r="E33" s="2893">
        <v>327948</v>
      </c>
      <c r="F33" s="2893">
        <v>2.69</v>
      </c>
      <c r="G33" s="2893" t="s">
        <v>2994</v>
      </c>
      <c r="H33" s="2893" t="s">
        <v>3081</v>
      </c>
      <c r="I33" s="2893">
        <v>609400</v>
      </c>
      <c r="J33" s="2893">
        <v>690000</v>
      </c>
      <c r="K33" s="2893">
        <v>21039.91</v>
      </c>
      <c r="L33" s="2893">
        <v>13.23</v>
      </c>
      <c r="M33" s="2893" t="s">
        <v>3082</v>
      </c>
      <c r="N33" s="2893" t="s">
        <v>3013</v>
      </c>
    </row>
    <row r="34" spans="1:14" s="2893" customFormat="1">
      <c r="A34" s="2893" t="s">
        <v>3083</v>
      </c>
      <c r="B34" s="2893" t="s">
        <v>1945</v>
      </c>
      <c r="C34" s="2893" t="s">
        <v>2992</v>
      </c>
      <c r="D34" s="2893">
        <v>46848.3</v>
      </c>
      <c r="E34" s="2893">
        <v>137272</v>
      </c>
      <c r="F34" s="2893">
        <v>2.93</v>
      </c>
      <c r="G34" s="2893" t="s">
        <v>2994</v>
      </c>
      <c r="H34" s="2893" t="s">
        <v>3084</v>
      </c>
      <c r="I34" s="2893">
        <v>265700</v>
      </c>
      <c r="J34" s="2893">
        <v>265700</v>
      </c>
      <c r="K34" s="2893">
        <v>19355.72</v>
      </c>
      <c r="L34" s="2893">
        <v>0</v>
      </c>
      <c r="M34" s="2893" t="s">
        <v>3085</v>
      </c>
      <c r="N34" s="2893" t="s">
        <v>3013</v>
      </c>
    </row>
    <row r="35" spans="1:14" s="2893" customFormat="1">
      <c r="A35" s="2893" t="s">
        <v>3086</v>
      </c>
      <c r="B35" s="2893" t="s">
        <v>1945</v>
      </c>
      <c r="C35" s="2893" t="s">
        <v>2992</v>
      </c>
      <c r="D35" s="2893">
        <v>175114.7</v>
      </c>
      <c r="E35" s="2893">
        <v>299579</v>
      </c>
      <c r="F35" s="2893">
        <v>1.7</v>
      </c>
      <c r="G35" s="2893" t="s">
        <v>2994</v>
      </c>
      <c r="H35" s="2893" t="s">
        <v>3014</v>
      </c>
      <c r="I35" s="2893">
        <v>453000</v>
      </c>
      <c r="J35" s="2893">
        <v>545000</v>
      </c>
      <c r="K35" s="2893">
        <v>18192.2</v>
      </c>
      <c r="L35" s="2893">
        <v>20.309999999999999</v>
      </c>
      <c r="M35" s="2893" t="s">
        <v>3009</v>
      </c>
      <c r="N35" s="2893" t="s">
        <v>3013</v>
      </c>
    </row>
    <row r="65" spans="2:5">
      <c r="B65" s="3183" t="s">
        <v>3087</v>
      </c>
      <c r="C65" s="3183" t="s">
        <v>3088</v>
      </c>
      <c r="D65" s="3183" t="s">
        <v>3089</v>
      </c>
    </row>
    <row r="66" spans="2:5">
      <c r="B66">
        <f>K2</f>
        <v>21280.7</v>
      </c>
      <c r="C66">
        <v>3</v>
      </c>
      <c r="D66">
        <f>B66*C66</f>
        <v>63842.100000000006</v>
      </c>
      <c r="E66">
        <f>D66*666.67/10000</f>
        <v>4256.1612807000001</v>
      </c>
    </row>
    <row r="67" spans="2:5">
      <c r="B67">
        <f t="shared" ref="B67" si="0">K3</f>
        <v>23613.83</v>
      </c>
      <c r="C67">
        <f>F3</f>
        <v>2.1</v>
      </c>
      <c r="D67">
        <f t="shared" ref="D67" si="1">B67*C67</f>
        <v>49589.043000000005</v>
      </c>
      <c r="E67">
        <f t="shared" ref="E67:E100" si="2">D67*666.67/10000</f>
        <v>3305.9527296810002</v>
      </c>
    </row>
    <row r="68" spans="2:5">
      <c r="B68">
        <f t="shared" ref="B68:B84" si="3">K4</f>
        <v>38302.5</v>
      </c>
      <c r="C68">
        <f t="shared" ref="C68:C84" si="4">F4</f>
        <v>3</v>
      </c>
      <c r="D68">
        <f t="shared" ref="D68:D84" si="5">B68*C68</f>
        <v>114907.5</v>
      </c>
      <c r="E68">
        <f t="shared" si="2"/>
        <v>7660.5383024999992</v>
      </c>
    </row>
    <row r="69" spans="2:5">
      <c r="B69">
        <f t="shared" si="3"/>
        <v>40623.58</v>
      </c>
      <c r="C69">
        <f t="shared" si="4"/>
        <v>3</v>
      </c>
      <c r="D69">
        <f t="shared" si="5"/>
        <v>121870.74</v>
      </c>
      <c r="E69">
        <f t="shared" si="2"/>
        <v>8124.7566235799995</v>
      </c>
    </row>
    <row r="70" spans="2:5">
      <c r="B70">
        <f t="shared" si="3"/>
        <v>34509.75</v>
      </c>
      <c r="C70">
        <f t="shared" si="4"/>
        <v>1.1200000000000001</v>
      </c>
      <c r="D70">
        <f t="shared" si="5"/>
        <v>38650.920000000006</v>
      </c>
      <c r="E70">
        <f t="shared" si="2"/>
        <v>2576.7408836400004</v>
      </c>
    </row>
    <row r="71" spans="2:5">
      <c r="B71">
        <f t="shared" si="3"/>
        <v>19107.400000000001</v>
      </c>
      <c r="C71">
        <f t="shared" si="4"/>
        <v>1.58</v>
      </c>
      <c r="D71">
        <f t="shared" si="5"/>
        <v>30189.692000000003</v>
      </c>
      <c r="E71">
        <f t="shared" si="2"/>
        <v>2012.6561965640001</v>
      </c>
    </row>
    <row r="72" spans="2:5">
      <c r="B72">
        <f t="shared" si="3"/>
        <v>57152.08</v>
      </c>
      <c r="C72">
        <f t="shared" si="4"/>
        <v>1.1000000000000001</v>
      </c>
      <c r="D72">
        <f t="shared" si="5"/>
        <v>62867.288000000008</v>
      </c>
      <c r="E72">
        <f t="shared" si="2"/>
        <v>4191.1734890959997</v>
      </c>
    </row>
    <row r="73" spans="2:5">
      <c r="B73">
        <f t="shared" si="3"/>
        <v>61347.83</v>
      </c>
      <c r="C73">
        <f t="shared" si="4"/>
        <v>1.1000000000000001</v>
      </c>
      <c r="D73">
        <f t="shared" si="5"/>
        <v>67482.613000000012</v>
      </c>
      <c r="E73">
        <f t="shared" si="2"/>
        <v>4498.8633608710006</v>
      </c>
    </row>
    <row r="74" spans="2:5">
      <c r="B74">
        <f t="shared" si="3"/>
        <v>24708.09</v>
      </c>
      <c r="C74">
        <f t="shared" si="4"/>
        <v>2.1</v>
      </c>
      <c r="D74">
        <f t="shared" si="5"/>
        <v>51886.989000000001</v>
      </c>
      <c r="E74">
        <f t="shared" si="2"/>
        <v>3459.1498956629998</v>
      </c>
    </row>
    <row r="75" spans="2:5">
      <c r="B75">
        <f t="shared" si="3"/>
        <v>25547.11</v>
      </c>
      <c r="C75">
        <f t="shared" si="4"/>
        <v>2.5</v>
      </c>
      <c r="D75">
        <f t="shared" si="5"/>
        <v>63867.775000000001</v>
      </c>
      <c r="E75">
        <f t="shared" si="2"/>
        <v>4257.8729559249996</v>
      </c>
    </row>
    <row r="76" spans="2:5">
      <c r="B76">
        <f t="shared" si="3"/>
        <v>54671.87</v>
      </c>
      <c r="C76">
        <f t="shared" si="4"/>
        <v>1.1000000000000001</v>
      </c>
      <c r="D76">
        <f t="shared" si="5"/>
        <v>60139.057000000008</v>
      </c>
      <c r="E76">
        <f t="shared" si="2"/>
        <v>4009.2905130190002</v>
      </c>
    </row>
    <row r="77" spans="2:5">
      <c r="B77">
        <f t="shared" si="3"/>
        <v>51250.73</v>
      </c>
      <c r="C77">
        <f t="shared" si="4"/>
        <v>1.5</v>
      </c>
      <c r="D77">
        <f t="shared" si="5"/>
        <v>76876.095000000001</v>
      </c>
      <c r="E77">
        <f t="shared" si="2"/>
        <v>5125.0986253649999</v>
      </c>
    </row>
    <row r="78" spans="2:5">
      <c r="B78">
        <f t="shared" si="3"/>
        <v>31762.720000000001</v>
      </c>
      <c r="C78">
        <f t="shared" si="4"/>
        <v>1.7</v>
      </c>
      <c r="D78">
        <f t="shared" si="5"/>
        <v>53996.624000000003</v>
      </c>
      <c r="E78">
        <f t="shared" si="2"/>
        <v>3599.7929322079999</v>
      </c>
    </row>
    <row r="79" spans="2:5">
      <c r="B79">
        <f t="shared" si="3"/>
        <v>25855.47</v>
      </c>
      <c r="C79">
        <f t="shared" si="4"/>
        <v>3.19</v>
      </c>
      <c r="D79">
        <f t="shared" si="5"/>
        <v>82478.949300000007</v>
      </c>
      <c r="E79">
        <f t="shared" si="2"/>
        <v>5498.6241129831005</v>
      </c>
    </row>
    <row r="80" spans="2:5">
      <c r="B80">
        <f t="shared" si="3"/>
        <v>23879.97</v>
      </c>
      <c r="C80">
        <f t="shared" si="4"/>
        <v>1.8</v>
      </c>
      <c r="D80">
        <f t="shared" si="5"/>
        <v>42983.946000000004</v>
      </c>
      <c r="E80">
        <f t="shared" si="2"/>
        <v>2865.6107279819998</v>
      </c>
    </row>
    <row r="81" spans="2:5">
      <c r="B81">
        <f t="shared" si="3"/>
        <v>31390.400000000001</v>
      </c>
      <c r="C81">
        <f t="shared" si="4"/>
        <v>1.5</v>
      </c>
      <c r="D81">
        <f t="shared" si="5"/>
        <v>47085.600000000006</v>
      </c>
      <c r="E81">
        <f t="shared" si="2"/>
        <v>3139.0556952000002</v>
      </c>
    </row>
    <row r="82" spans="2:5">
      <c r="B82">
        <f t="shared" si="3"/>
        <v>21057.38</v>
      </c>
      <c r="C82">
        <f t="shared" si="4"/>
        <v>1.48</v>
      </c>
      <c r="D82">
        <f t="shared" si="5"/>
        <v>31164.922399999999</v>
      </c>
      <c r="E82">
        <f t="shared" si="2"/>
        <v>2077.6718816407997</v>
      </c>
    </row>
    <row r="83" spans="2:5">
      <c r="B83">
        <f t="shared" si="3"/>
        <v>22365.13</v>
      </c>
      <c r="C83">
        <f t="shared" si="4"/>
        <v>1.49</v>
      </c>
      <c r="D83">
        <f t="shared" si="5"/>
        <v>33324.043700000002</v>
      </c>
      <c r="E83">
        <f t="shared" si="2"/>
        <v>2221.6140213479002</v>
      </c>
    </row>
    <row r="84" spans="2:5">
      <c r="B84">
        <f t="shared" si="3"/>
        <v>10998.47</v>
      </c>
      <c r="C84">
        <f t="shared" si="4"/>
        <v>1.7</v>
      </c>
      <c r="D84">
        <f t="shared" si="5"/>
        <v>18697.398999999998</v>
      </c>
      <c r="E84">
        <f t="shared" si="2"/>
        <v>1246.4994991329997</v>
      </c>
    </row>
    <row r="85" spans="2:5">
      <c r="B85">
        <f t="shared" ref="B85:B99" si="6">K21</f>
        <v>33847.300000000003</v>
      </c>
      <c r="C85">
        <f t="shared" ref="C85:C99" si="7">F21</f>
        <v>2</v>
      </c>
      <c r="D85">
        <f t="shared" ref="D85:D99" si="8">B85*C85</f>
        <v>67694.600000000006</v>
      </c>
      <c r="E85">
        <f t="shared" si="2"/>
        <v>4512.9958981999998</v>
      </c>
    </row>
    <row r="86" spans="2:5">
      <c r="B86">
        <f t="shared" si="6"/>
        <v>14654.03</v>
      </c>
      <c r="C86">
        <f t="shared" si="7"/>
        <v>1.73</v>
      </c>
      <c r="D86">
        <f t="shared" si="8"/>
        <v>25351.4719</v>
      </c>
      <c r="E86">
        <f t="shared" si="2"/>
        <v>1690.1065771572999</v>
      </c>
    </row>
    <row r="87" spans="2:5">
      <c r="B87">
        <f t="shared" si="6"/>
        <v>39720.120000000003</v>
      </c>
      <c r="C87">
        <f t="shared" si="7"/>
        <v>1.8</v>
      </c>
      <c r="D87">
        <f t="shared" si="8"/>
        <v>71496.216</v>
      </c>
      <c r="E87">
        <f t="shared" si="2"/>
        <v>4766.4382320719997</v>
      </c>
    </row>
    <row r="88" spans="2:5">
      <c r="B88">
        <f t="shared" si="6"/>
        <v>44981.43</v>
      </c>
      <c r="C88">
        <f t="shared" si="7"/>
        <v>1.004</v>
      </c>
      <c r="D88">
        <f t="shared" si="8"/>
        <v>45161.35572</v>
      </c>
      <c r="E88">
        <f t="shared" si="2"/>
        <v>3010.77210178524</v>
      </c>
    </row>
    <row r="89" spans="2:5">
      <c r="B89">
        <f t="shared" si="6"/>
        <v>18832.86</v>
      </c>
      <c r="C89">
        <f t="shared" si="7"/>
        <v>1.52</v>
      </c>
      <c r="D89">
        <f t="shared" si="8"/>
        <v>28625.947200000002</v>
      </c>
      <c r="E89">
        <f t="shared" si="2"/>
        <v>1908.4060219824</v>
      </c>
    </row>
    <row r="90" spans="2:5">
      <c r="B90">
        <f t="shared" si="6"/>
        <v>41193.360000000001</v>
      </c>
      <c r="C90">
        <f t="shared" si="7"/>
        <v>1.83</v>
      </c>
      <c r="D90">
        <f t="shared" si="8"/>
        <v>75383.848800000007</v>
      </c>
      <c r="E90">
        <f t="shared" si="2"/>
        <v>5025.6150479496</v>
      </c>
    </row>
    <row r="91" spans="2:5">
      <c r="B91">
        <f t="shared" si="6"/>
        <v>18304.27</v>
      </c>
      <c r="C91">
        <v>1.8</v>
      </c>
      <c r="D91">
        <f t="shared" si="8"/>
        <v>32947.686000000002</v>
      </c>
      <c r="E91">
        <f>D91*666.67/10000</f>
        <v>2196.5233825619998</v>
      </c>
    </row>
    <row r="92" spans="2:5">
      <c r="B92">
        <f t="shared" si="6"/>
        <v>44995.01</v>
      </c>
      <c r="C92">
        <f t="shared" si="7"/>
        <v>1.009999305</v>
      </c>
      <c r="D92">
        <f t="shared" si="8"/>
        <v>45444.928828468052</v>
      </c>
      <c r="E92">
        <f t="shared" si="2"/>
        <v>3029.6770702074791</v>
      </c>
    </row>
    <row r="93" spans="2:5">
      <c r="B93">
        <f t="shared" si="6"/>
        <v>20130.09</v>
      </c>
      <c r="C93">
        <f t="shared" si="7"/>
        <v>1.46</v>
      </c>
      <c r="D93">
        <f t="shared" si="8"/>
        <v>29389.931400000001</v>
      </c>
      <c r="E93">
        <f t="shared" si="2"/>
        <v>1959.3385566438001</v>
      </c>
    </row>
    <row r="94" spans="2:5">
      <c r="B94">
        <f t="shared" si="6"/>
        <v>17217.84</v>
      </c>
      <c r="C94">
        <f t="shared" si="7"/>
        <v>2.5</v>
      </c>
      <c r="D94">
        <f t="shared" si="8"/>
        <v>43044.6</v>
      </c>
      <c r="E94">
        <f t="shared" si="2"/>
        <v>2869.6543481999997</v>
      </c>
    </row>
    <row r="95" spans="2:5">
      <c r="B95">
        <f t="shared" si="6"/>
        <v>24028.58</v>
      </c>
      <c r="C95">
        <f t="shared" si="7"/>
        <v>2.15</v>
      </c>
      <c r="D95">
        <f t="shared" si="8"/>
        <v>51661.447</v>
      </c>
      <c r="E95">
        <f t="shared" si="2"/>
        <v>3444.1136871490003</v>
      </c>
    </row>
    <row r="96" spans="2:5">
      <c r="B96">
        <f t="shared" si="6"/>
        <v>27412.31</v>
      </c>
      <c r="C96">
        <f t="shared" si="7"/>
        <v>2.06</v>
      </c>
      <c r="D96">
        <f t="shared" si="8"/>
        <v>56469.358600000007</v>
      </c>
      <c r="E96">
        <f t="shared" si="2"/>
        <v>3764.6427297862001</v>
      </c>
    </row>
    <row r="97" spans="2:5">
      <c r="B97">
        <f t="shared" si="6"/>
        <v>21039.91</v>
      </c>
      <c r="C97">
        <f t="shared" si="7"/>
        <v>2.69</v>
      </c>
      <c r="D97">
        <f t="shared" si="8"/>
        <v>56597.357899999995</v>
      </c>
      <c r="E97">
        <f t="shared" si="2"/>
        <v>3773.1760591192997</v>
      </c>
    </row>
    <row r="98" spans="2:5">
      <c r="B98">
        <f t="shared" si="6"/>
        <v>19355.72</v>
      </c>
      <c r="C98">
        <f t="shared" si="7"/>
        <v>2.93</v>
      </c>
      <c r="D98">
        <f t="shared" si="8"/>
        <v>56712.259600000005</v>
      </c>
      <c r="E98">
        <f t="shared" si="2"/>
        <v>3780.8362107532002</v>
      </c>
    </row>
    <row r="99" spans="2:5">
      <c r="B99">
        <f t="shared" si="6"/>
        <v>18192.2</v>
      </c>
      <c r="C99">
        <f t="shared" si="7"/>
        <v>1.7</v>
      </c>
      <c r="D99">
        <f t="shared" si="8"/>
        <v>30926.74</v>
      </c>
      <c r="E99">
        <f t="shared" si="2"/>
        <v>2061.7929755800001</v>
      </c>
    </row>
    <row r="100" spans="2:5">
      <c r="E100">
        <f t="shared" si="2"/>
        <v>0</v>
      </c>
    </row>
    <row r="125" ht="3.75" customHeight="1"/>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2037</v>
      </c>
      <c r="B1" s="3206"/>
      <c r="C1" s="3206"/>
      <c r="D1" s="3206"/>
      <c r="E1" s="3206"/>
      <c r="F1" s="3206"/>
      <c r="G1" s="3206"/>
      <c r="H1" s="3206"/>
      <c r="I1" s="3206"/>
      <c r="J1" s="3206"/>
      <c r="K1" s="3206"/>
      <c r="L1" s="3206"/>
      <c r="M1" s="3206"/>
      <c r="N1" s="3206"/>
      <c r="O1" s="3206"/>
      <c r="P1" s="3206"/>
      <c r="Q1" s="3206"/>
      <c r="R1" s="3206"/>
    </row>
    <row r="2" spans="1:18">
      <c r="A2" s="1792" t="s">
        <v>2039</v>
      </c>
      <c r="B2" s="1792"/>
      <c r="C2" s="1792"/>
      <c r="D2" s="1792"/>
      <c r="E2" s="1792"/>
      <c r="F2" s="1792"/>
      <c r="G2" s="1792"/>
      <c r="H2" s="1792"/>
      <c r="I2" s="1793"/>
      <c r="J2" s="1793"/>
      <c r="K2" s="1794" t="str">
        <f>"估价期日："&amp;TEXT(项目基本情况!D3,"yyyy年m月d日;;")</f>
        <v>估价期日：2019年4月26日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7" t="s">
        <v>2028</v>
      </c>
      <c r="B3" s="3207" t="s">
        <v>2730</v>
      </c>
      <c r="C3" s="3208" t="s">
        <v>2029</v>
      </c>
      <c r="D3" s="3207" t="s">
        <v>2734</v>
      </c>
      <c r="E3" s="3210" t="s">
        <v>2030</v>
      </c>
      <c r="F3" s="3210"/>
      <c r="G3" s="3210"/>
      <c r="H3" s="3210" t="s">
        <v>2031</v>
      </c>
      <c r="I3" s="3210"/>
      <c r="J3" s="3210"/>
      <c r="K3" s="3208" t="s">
        <v>2032</v>
      </c>
      <c r="L3" s="3208" t="s">
        <v>2033</v>
      </c>
      <c r="M3" s="3207" t="s">
        <v>2731</v>
      </c>
      <c r="N3" s="3209" t="str">
        <f>"（分摊）"&amp;项目基本情况!B16&amp;"国有建设用地使用权面积/㎡"</f>
        <v>（分摊）出让国有建设用地使用权面积/㎡</v>
      </c>
      <c r="O3" s="3207" t="s">
        <v>2062</v>
      </c>
      <c r="P3" s="3208" t="s">
        <v>2042</v>
      </c>
      <c r="Q3" s="3208" t="s">
        <v>2063</v>
      </c>
      <c r="R3" s="3208" t="s">
        <v>2034</v>
      </c>
    </row>
    <row r="4" spans="1:18" ht="36.75" customHeight="1">
      <c r="A4" s="3207"/>
      <c r="B4" s="3207"/>
      <c r="C4" s="3208"/>
      <c r="D4" s="3207"/>
      <c r="E4" s="2612" t="s">
        <v>2041</v>
      </c>
      <c r="F4" s="2612" t="s">
        <v>2743</v>
      </c>
      <c r="G4" s="2612" t="s">
        <v>2035</v>
      </c>
      <c r="H4" s="2612" t="s">
        <v>2036</v>
      </c>
      <c r="I4" s="2612" t="s">
        <v>2744</v>
      </c>
      <c r="J4" s="2612" t="s">
        <v>2035</v>
      </c>
      <c r="K4" s="3208"/>
      <c r="L4" s="3208"/>
      <c r="M4" s="3207"/>
      <c r="N4" s="3209"/>
      <c r="O4" s="3207"/>
      <c r="P4" s="3208"/>
      <c r="Q4" s="3208"/>
      <c r="R4" s="3208"/>
    </row>
    <row r="5" spans="1:18" ht="135" customHeight="1">
      <c r="A5" s="1928" t="s">
        <v>2654</v>
      </c>
      <c r="B5" s="2821" t="s">
        <v>2652</v>
      </c>
      <c r="C5" s="2611">
        <v>22</v>
      </c>
      <c r="D5" s="2610" t="s">
        <v>2653</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120388.78</v>
      </c>
      <c r="O5" s="1795">
        <f>项目基本情况!C21</f>
        <v>132427.66</v>
      </c>
      <c r="P5" s="1795">
        <f ca="1">结果表!E42</f>
        <v>70181</v>
      </c>
      <c r="Q5" s="1795">
        <f ca="1">结果表!D42</f>
        <v>63801</v>
      </c>
      <c r="R5" s="1796">
        <f ca="1">结果表!C42</f>
        <v>844897</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797">
        <f ca="1">结果表!O39</f>
        <v>844897</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797"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1" t="s">
        <v>2064</v>
      </c>
      <c r="B1" s="3211"/>
      <c r="C1" s="3211"/>
      <c r="D1" s="3211"/>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v>
      </c>
      <c r="B4" s="3211"/>
      <c r="C4" s="3211"/>
      <c r="D4" s="3211"/>
    </row>
    <row r="5" spans="1:4">
      <c r="A5" s="3214" t="s">
        <v>2065</v>
      </c>
      <c r="B5" s="3214"/>
      <c r="C5" s="3214"/>
      <c r="D5" s="3214"/>
    </row>
    <row r="6" spans="1:4">
      <c r="A6" s="3211" t="s">
        <v>2043</v>
      </c>
      <c r="B6" s="3211"/>
      <c r="C6" s="3211"/>
      <c r="D6" s="3211"/>
    </row>
    <row r="7" spans="1:4" ht="33" customHeight="1">
      <c r="A7" s="3211" t="s">
        <v>2574</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4" t="s">
        <v>2067</v>
      </c>
      <c r="B12" s="3214"/>
      <c r="C12" s="3214"/>
      <c r="D12" s="3214"/>
    </row>
    <row r="13" spans="1:4">
      <c r="A13" s="3212" t="s">
        <v>2745</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2701</v>
      </c>
      <c r="B17" s="3211"/>
      <c r="C17" s="3211"/>
      <c r="D17" s="3211"/>
    </row>
    <row r="18" spans="1:4">
      <c r="A18" s="3211" t="s">
        <v>2693</v>
      </c>
      <c r="B18" s="3211"/>
      <c r="C18" s="3211"/>
      <c r="D18" s="3211"/>
    </row>
    <row r="19" spans="1:4">
      <c r="A19" s="2822" t="s">
        <v>2694</v>
      </c>
      <c r="B19" s="2822" t="s">
        <v>2695</v>
      </c>
      <c r="C19" s="2822" t="s">
        <v>2696</v>
      </c>
      <c r="D19" s="2822" t="s">
        <v>2697</v>
      </c>
    </row>
    <row r="20" spans="1:4">
      <c r="A20" s="2822" t="str">
        <f>项目基本情况!B4</f>
        <v>土地估价师</v>
      </c>
      <c r="B20" s="2822">
        <f>项目基本情况!C4</f>
        <v>0</v>
      </c>
      <c r="C20" s="2824"/>
      <c r="D20" s="1785" t="s">
        <v>2702</v>
      </c>
    </row>
    <row r="21" spans="1:4">
      <c r="A21" s="2822" t="str">
        <f>项目基本情况!D4</f>
        <v>土地估价师</v>
      </c>
      <c r="B21" s="2822">
        <f>项目基本情况!E4</f>
        <v>0</v>
      </c>
      <c r="C21" s="2824"/>
      <c r="D21" s="1785" t="s">
        <v>2703</v>
      </c>
    </row>
    <row r="23" spans="1:4">
      <c r="A23" s="3211" t="s">
        <v>2698</v>
      </c>
      <c r="B23" s="3211"/>
      <c r="C23" s="3211"/>
      <c r="D23" s="3211"/>
    </row>
    <row r="24" spans="1:4">
      <c r="A24" s="2822" t="s">
        <v>2694</v>
      </c>
      <c r="B24" s="2822" t="s">
        <v>2699</v>
      </c>
      <c r="C24" s="2822" t="s">
        <v>2696</v>
      </c>
      <c r="D24" s="2822" t="s">
        <v>2697</v>
      </c>
    </row>
    <row r="25" spans="1:4">
      <c r="A25" s="2825" t="s">
        <v>2700</v>
      </c>
      <c r="B25" s="2822" t="s">
        <v>952</v>
      </c>
      <c r="C25" s="2824"/>
      <c r="D25" s="1785" t="s">
        <v>2703</v>
      </c>
    </row>
    <row r="29" spans="1:4">
      <c r="D29" s="2823" t="s">
        <v>2038</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3" t="s">
        <v>53</v>
      </c>
      <c r="B15" s="3224" t="s">
        <v>846</v>
      </c>
      <c r="C15" s="3220"/>
    </row>
    <row r="16" spans="1:7" ht="14.25">
      <c r="A16" s="3223"/>
      <c r="B16" s="3221" t="s">
        <v>54</v>
      </c>
      <c r="C16" s="1167" t="s">
        <v>53</v>
      </c>
    </row>
    <row r="17" spans="1:3" ht="14.25">
      <c r="A17" s="3223"/>
      <c r="B17" s="3221"/>
      <c r="C17" s="1167" t="s">
        <v>55</v>
      </c>
    </row>
    <row r="18" spans="1:3" ht="14.25">
      <c r="A18" s="3223"/>
      <c r="B18" s="3221"/>
      <c r="C18" s="1167" t="s">
        <v>56</v>
      </c>
    </row>
    <row r="19" spans="1:3" ht="14.25">
      <c r="A19" s="3223"/>
      <c r="B19" s="3219" t="s">
        <v>57</v>
      </c>
      <c r="C19" s="3220"/>
    </row>
    <row r="20" spans="1:3" ht="14.25">
      <c r="A20" s="1168" t="s">
        <v>58</v>
      </c>
      <c r="B20" s="1169"/>
      <c r="C20" s="1170"/>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1" t="s">
        <v>837</v>
      </c>
    </row>
    <row r="25" spans="1:3" ht="14.25">
      <c r="A25" s="3222"/>
      <c r="B25" s="3226"/>
      <c r="C25" s="1171" t="s">
        <v>838</v>
      </c>
    </row>
    <row r="26" spans="1:3" ht="14.25">
      <c r="A26" s="3222"/>
      <c r="B26" s="3226"/>
      <c r="C26" s="1171" t="s">
        <v>839</v>
      </c>
    </row>
    <row r="27" spans="1:3" ht="14.25">
      <c r="A27" s="3222"/>
      <c r="B27" s="3226"/>
      <c r="C27" s="1171" t="s">
        <v>840</v>
      </c>
    </row>
    <row r="28" spans="1:3" ht="14.25">
      <c r="A28" s="3222"/>
      <c r="B28" s="3226"/>
      <c r="C28" s="1171" t="s">
        <v>841</v>
      </c>
    </row>
    <row r="29" spans="1:3" ht="14.25">
      <c r="A29" s="3222"/>
      <c r="B29" s="3226"/>
      <c r="C29" s="1171" t="s">
        <v>842</v>
      </c>
    </row>
    <row r="30" spans="1:3" ht="14.25">
      <c r="A30" s="3222"/>
      <c r="B30" s="3226"/>
      <c r="C30" s="1171" t="s">
        <v>843</v>
      </c>
    </row>
    <row r="31" spans="1:3" ht="14.25">
      <c r="A31" s="3222"/>
      <c r="B31" s="3226"/>
      <c r="C31" s="1171" t="s">
        <v>844</v>
      </c>
    </row>
    <row r="32" spans="1:3" ht="14.25">
      <c r="A32" s="3222"/>
      <c r="B32" s="3226"/>
      <c r="C32" s="1171" t="s">
        <v>1646</v>
      </c>
    </row>
    <row r="33" spans="1:3" ht="14.25">
      <c r="A33" s="3222"/>
      <c r="B33" s="3216" t="s">
        <v>1652</v>
      </c>
      <c r="C33" s="1171" t="s">
        <v>1647</v>
      </c>
    </row>
    <row r="34" spans="1:3" ht="14.25">
      <c r="A34" s="3222"/>
      <c r="B34" s="3217"/>
      <c r="C34" s="1176" t="s">
        <v>1648</v>
      </c>
    </row>
    <row r="35" spans="1:3" ht="14.25">
      <c r="A35" s="3222"/>
      <c r="B35" s="3217"/>
      <c r="C35" s="1177" t="s">
        <v>1649</v>
      </c>
    </row>
    <row r="36" spans="1:3" ht="14.25">
      <c r="A36" s="3222"/>
      <c r="B36" s="3217"/>
      <c r="C36" s="1177" t="s">
        <v>1650</v>
      </c>
    </row>
    <row r="37" spans="1:3" ht="14.25">
      <c r="A37" s="3222"/>
      <c r="B37" s="3218"/>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43593</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t="str">
        <f ca="1">IF(C10&lt;B2,"已过期",1120060040)</f>
        <v>已过期</v>
      </c>
      <c r="C10" s="3132">
        <v>43483</v>
      </c>
      <c r="D10" s="3130" t="s">
        <v>1920</v>
      </c>
      <c r="E10" s="3130">
        <f ca="1">IF(F10&lt;B2,"已过期",2004110096)</f>
        <v>2004110096</v>
      </c>
      <c r="F10" s="3133">
        <v>47118</v>
      </c>
    </row>
    <row r="11" spans="1:6" ht="20.25" customHeight="1">
      <c r="A11" s="3130" t="s">
        <v>1921</v>
      </c>
      <c r="B11" s="3130">
        <f ca="1">IF(C11&lt;B2,"已过期",1120100036)</f>
        <v>1120100036</v>
      </c>
      <c r="C11" s="3132">
        <v>43622</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2972</v>
      </c>
      <c r="B14" s="3130">
        <f ca="1">IF(C14&lt;B2,"已过期",1120040230)</f>
        <v>1120040230</v>
      </c>
      <c r="C14" s="3134">
        <v>43835</v>
      </c>
      <c r="D14" s="3135" t="s">
        <v>2973</v>
      </c>
      <c r="E14" s="3130">
        <f ca="1">IF(F14&lt;B2,"已过期",98030020)</f>
        <v>98030020</v>
      </c>
      <c r="F14" s="3133">
        <v>47118</v>
      </c>
    </row>
    <row r="15" spans="1:6" ht="20.25" customHeight="1">
      <c r="A15" s="3130" t="s">
        <v>2573</v>
      </c>
      <c r="B15" s="3130">
        <f ca="1">IF(C15&lt;B2,"已过期",1120070085)</f>
        <v>1120070085</v>
      </c>
      <c r="C15" s="3134">
        <v>43814</v>
      </c>
      <c r="D15" s="3130" t="s">
        <v>2974</v>
      </c>
      <c r="E15" s="3130">
        <f ca="1">IF(F15&lt;B2,"已过期",2004110128)</f>
        <v>2004110128</v>
      </c>
      <c r="F15" s="3136">
        <v>47118</v>
      </c>
    </row>
    <row r="16" spans="1:6" ht="20.25" customHeight="1">
      <c r="A16" s="3130" t="s">
        <v>1923</v>
      </c>
      <c r="B16" s="3130">
        <f ca="1">IF(C16&lt;B2,"已过期",1120140022)</f>
        <v>1120140022</v>
      </c>
      <c r="C16" s="3132">
        <v>44029</v>
      </c>
      <c r="D16" s="3130" t="s">
        <v>2975</v>
      </c>
      <c r="E16" s="3130">
        <f ca="1">IF(F16&lt;B2,"已过期",2008110059)</f>
        <v>2008110059</v>
      </c>
      <c r="F16" s="3133">
        <v>47177</v>
      </c>
    </row>
    <row r="17" spans="1:7" ht="20.25" customHeight="1">
      <c r="A17" s="3130"/>
      <c r="B17" s="3130"/>
      <c r="C17" s="3132"/>
      <c r="D17" s="3135" t="s">
        <v>2976</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27" t="s">
        <v>1926</v>
      </c>
      <c r="B25" s="3227"/>
      <c r="C25" s="3227"/>
      <c r="D25" s="3227"/>
      <c r="E25" s="3227"/>
      <c r="F25" s="3227"/>
      <c r="G25" s="3227"/>
    </row>
    <row r="26" spans="1:7" ht="20.25" customHeight="1">
      <c r="A26" s="3228" t="s">
        <v>1927</v>
      </c>
      <c r="B26" s="3228"/>
      <c r="C26" s="3228"/>
      <c r="D26" s="3228" t="s">
        <v>1928</v>
      </c>
      <c r="E26" s="3228"/>
      <c r="F26" s="3228"/>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4" t="s">
        <v>2934</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3" priority="113">
      <formula>AND($C24-TODAY()&lt;30,TODAY()&lt;$C24)</formula>
    </cfRule>
  </conditionalFormatting>
  <conditionalFormatting sqref="C28">
    <cfRule type="expression" dxfId="212" priority="112">
      <formula>AND($C28-TODAY()&lt;30,TODAY()&lt;$C28)</formula>
    </cfRule>
  </conditionalFormatting>
  <conditionalFormatting sqref="C28 F4">
    <cfRule type="cellIs" dxfId="211" priority="114" stopIfTrue="1" operator="lessThan">
      <formula>$B$2</formula>
    </cfRule>
  </conditionalFormatting>
  <conditionalFormatting sqref="F5">
    <cfRule type="cellIs" dxfId="210" priority="110" stopIfTrue="1" operator="lessThan">
      <formula>$B$2</formula>
    </cfRule>
  </conditionalFormatting>
  <conditionalFormatting sqref="F6 F8 F10">
    <cfRule type="cellIs" dxfId="209" priority="108" stopIfTrue="1" operator="lessThan">
      <formula>$B$2</formula>
    </cfRule>
  </conditionalFormatting>
  <conditionalFormatting sqref="C24:D24">
    <cfRule type="expression" dxfId="208" priority="106">
      <formula>AND($C24-TODAY()&lt;30,TODAY()&lt;$C24)</formula>
    </cfRule>
  </conditionalFormatting>
  <conditionalFormatting sqref="F7 F9 F11 C24:D24">
    <cfRule type="cellIs" dxfId="207" priority="107" stopIfTrue="1" operator="lessThan">
      <formula>$B$2</formula>
    </cfRule>
  </conditionalFormatting>
  <conditionalFormatting sqref="F18">
    <cfRule type="cellIs" dxfId="206" priority="79" stopIfTrue="1" operator="lessThan">
      <formula>$B$2</formula>
    </cfRule>
  </conditionalFormatting>
  <conditionalFormatting sqref="F22">
    <cfRule type="cellIs" dxfId="205" priority="78" stopIfTrue="1" operator="lessThan">
      <formula>$B$2</formula>
    </cfRule>
  </conditionalFormatting>
  <conditionalFormatting sqref="F21">
    <cfRule type="cellIs" dxfId="204" priority="77" stopIfTrue="1" operator="lessThan">
      <formula>$B$2</formula>
    </cfRule>
  </conditionalFormatting>
  <conditionalFormatting sqref="B4:B11 E4:E11 E18:E23 B17:B23 B13 E13">
    <cfRule type="cellIs" dxfId="203" priority="75" stopIfTrue="1" operator="equal">
      <formula>"已过期"</formula>
    </cfRule>
  </conditionalFormatting>
  <conditionalFormatting sqref="F28">
    <cfRule type="cellIs" dxfId="202" priority="72" stopIfTrue="1" operator="lessThan">
      <formula>$B$2</formula>
    </cfRule>
  </conditionalFormatting>
  <conditionalFormatting sqref="F29">
    <cfRule type="cellIs" dxfId="201" priority="70" stopIfTrue="1" operator="lessThan">
      <formula>$B$2</formula>
    </cfRule>
  </conditionalFormatting>
  <conditionalFormatting sqref="F28">
    <cfRule type="expression" dxfId="200" priority="116">
      <formula>AND($E28-TODAY()&lt;30,TODAY()&lt;$E28)</formula>
    </cfRule>
  </conditionalFormatting>
  <conditionalFormatting sqref="F29">
    <cfRule type="expression" dxfId="199" priority="117" stopIfTrue="1">
      <formula>AND($E29-TODAY()&lt;30,TODAY()&lt;$E29)</formula>
    </cfRule>
  </conditionalFormatting>
  <conditionalFormatting sqref="C5">
    <cfRule type="expression" dxfId="198" priority="67">
      <formula>AND($C5-TODAY()&lt;30,TODAY()&lt;$C5)</formula>
    </cfRule>
  </conditionalFormatting>
  <conditionalFormatting sqref="C5">
    <cfRule type="cellIs" dxfId="197" priority="68" stopIfTrue="1" operator="lessThan">
      <formula>$B$2</formula>
    </cfRule>
  </conditionalFormatting>
  <conditionalFormatting sqref="C4:C6">
    <cfRule type="expression" dxfId="196" priority="65">
      <formula>AND($C4-TODAY()&lt;30,TODAY()&lt;$C4)</formula>
    </cfRule>
  </conditionalFormatting>
  <conditionalFormatting sqref="C4:C6">
    <cfRule type="cellIs" dxfId="195" priority="66" stopIfTrue="1" operator="lessThan">
      <formula>$B$2</formula>
    </cfRule>
  </conditionalFormatting>
  <conditionalFormatting sqref="C8:C9">
    <cfRule type="expression" dxfId="194" priority="63">
      <formula>AND($C8-TODAY()&lt;30,TODAY()&lt;$C8)</formula>
    </cfRule>
  </conditionalFormatting>
  <conditionalFormatting sqref="C8:C9">
    <cfRule type="cellIs" dxfId="193" priority="64" stopIfTrue="1" operator="lessThan">
      <formula>$B$2</formula>
    </cfRule>
  </conditionalFormatting>
  <conditionalFormatting sqref="C7">
    <cfRule type="expression" dxfId="192" priority="46">
      <formula>AND($C7-TODAY()&lt;30,TODAY()&lt;$C7)</formula>
    </cfRule>
  </conditionalFormatting>
  <conditionalFormatting sqref="C7">
    <cfRule type="cellIs" dxfId="191" priority="47" stopIfTrue="1" operator="lessThan">
      <formula>$B$2</formula>
    </cfRule>
  </conditionalFormatting>
  <conditionalFormatting sqref="C10:C11 C13 C23 C17:C21">
    <cfRule type="expression" dxfId="190" priority="44">
      <formula>AND($C10-TODAY()&lt;30,TODAY()&lt;$C10)</formula>
    </cfRule>
  </conditionalFormatting>
  <conditionalFormatting sqref="C10:C11 C13 C23 C17:C21">
    <cfRule type="cellIs" dxfId="189" priority="45" stopIfTrue="1" operator="lessThan">
      <formula>$B$2</formula>
    </cfRule>
  </conditionalFormatting>
  <conditionalFormatting sqref="F13">
    <cfRule type="cellIs" dxfId="188" priority="43" stopIfTrue="1" operator="lessThan">
      <formula>$B$2</formula>
    </cfRule>
  </conditionalFormatting>
  <conditionalFormatting sqref="F12">
    <cfRule type="cellIs" dxfId="187" priority="35" stopIfTrue="1" operator="lessThan">
      <formula>$B$2</formula>
    </cfRule>
  </conditionalFormatting>
  <conditionalFormatting sqref="B12 E12">
    <cfRule type="cellIs" dxfId="186" priority="34" stopIfTrue="1" operator="equal">
      <formula>"已过期"</formula>
    </cfRule>
  </conditionalFormatting>
  <conditionalFormatting sqref="C12">
    <cfRule type="expression" dxfId="185" priority="32">
      <formula>AND($C12-TODAY()&lt;30,TODAY()&lt;$C12)</formula>
    </cfRule>
  </conditionalFormatting>
  <conditionalFormatting sqref="C12">
    <cfRule type="cellIs" dxfId="184" priority="33" stopIfTrue="1" operator="lessThan">
      <formula>$B$2</formula>
    </cfRule>
  </conditionalFormatting>
  <conditionalFormatting sqref="C22">
    <cfRule type="expression" dxfId="183" priority="24">
      <formula>AND($C22-TODAY()&lt;30,TODAY()&lt;$C22)</formula>
    </cfRule>
  </conditionalFormatting>
  <conditionalFormatting sqref="C22">
    <cfRule type="cellIs" dxfId="182" priority="25" stopIfTrue="1" operator="lessThan">
      <formula>$B$2</formula>
    </cfRule>
  </conditionalFormatting>
  <conditionalFormatting sqref="C16">
    <cfRule type="expression" dxfId="181" priority="22">
      <formula>AND($C16-TODAY()&lt;30,TODAY()&lt;$C16)</formula>
    </cfRule>
  </conditionalFormatting>
  <conditionalFormatting sqref="C16">
    <cfRule type="cellIs" dxfId="180" priority="23" stopIfTrue="1" operator="lessThan">
      <formula>$B$2</formula>
    </cfRule>
  </conditionalFormatting>
  <conditionalFormatting sqref="C16">
    <cfRule type="expression" dxfId="179" priority="20">
      <formula>AND($C16-TODAY()&lt;30,TODAY()&lt;$C16)</formula>
    </cfRule>
  </conditionalFormatting>
  <conditionalFormatting sqref="C16">
    <cfRule type="cellIs" dxfId="178" priority="21" stopIfTrue="1" operator="lessThan">
      <formula>$B$2</formula>
    </cfRule>
  </conditionalFormatting>
  <conditionalFormatting sqref="B16">
    <cfRule type="cellIs" dxfId="177" priority="19" stopIfTrue="1" operator="equal">
      <formula>"已过期"</formula>
    </cfRule>
  </conditionalFormatting>
  <conditionalFormatting sqref="C14:C15">
    <cfRule type="expression" dxfId="176" priority="17">
      <formula>AND($C14-TODAY()&lt;30,TODAY()&lt;$C14)</formula>
    </cfRule>
  </conditionalFormatting>
  <conditionalFormatting sqref="C14:C15">
    <cfRule type="cellIs" dxfId="175" priority="18" stopIfTrue="1" operator="lessThan">
      <formula>$B$2</formula>
    </cfRule>
  </conditionalFormatting>
  <conditionalFormatting sqref="C14">
    <cfRule type="expression" dxfId="174" priority="15">
      <formula>AND($C14-TODAY()&lt;30,TODAY()&lt;$C14)</formula>
    </cfRule>
  </conditionalFormatting>
  <conditionalFormatting sqref="C14">
    <cfRule type="cellIs" dxfId="173" priority="16" stopIfTrue="1" operator="lessThan">
      <formula>$B$2</formula>
    </cfRule>
  </conditionalFormatting>
  <conditionalFormatting sqref="C15">
    <cfRule type="expression" dxfId="172" priority="13">
      <formula>AND($C15-TODAY()&lt;30,TODAY()&lt;$C15)</formula>
    </cfRule>
  </conditionalFormatting>
  <conditionalFormatting sqref="C15">
    <cfRule type="cellIs" dxfId="171" priority="14" stopIfTrue="1" operator="lessThan">
      <formula>$B$2</formula>
    </cfRule>
  </conditionalFormatting>
  <conditionalFormatting sqref="B14">
    <cfRule type="cellIs" dxfId="170" priority="12" stopIfTrue="1" operator="equal">
      <formula>"已过期"</formula>
    </cfRule>
  </conditionalFormatting>
  <conditionalFormatting sqref="B15">
    <cfRule type="cellIs" dxfId="169" priority="11" stopIfTrue="1" operator="equal">
      <formula>"已过期"</formula>
    </cfRule>
  </conditionalFormatting>
  <conditionalFormatting sqref="A15">
    <cfRule type="cellIs" dxfId="168" priority="10" stopIfTrue="1" operator="equal">
      <formula>"已过期"</formula>
    </cfRule>
  </conditionalFormatting>
  <conditionalFormatting sqref="C15">
    <cfRule type="expression" dxfId="167" priority="9">
      <formula>AND($C15-TODAY()&lt;30,TODAY()&lt;$C15)</formula>
    </cfRule>
  </conditionalFormatting>
  <conditionalFormatting sqref="F16">
    <cfRule type="cellIs" dxfId="166" priority="8" stopIfTrue="1" operator="lessThan">
      <formula>$B$2</formula>
    </cfRule>
  </conditionalFormatting>
  <conditionalFormatting sqref="E16">
    <cfRule type="cellIs" dxfId="165" priority="7" stopIfTrue="1" operator="equal">
      <formula>"已过期"</formula>
    </cfRule>
  </conditionalFormatting>
  <conditionalFormatting sqref="E15">
    <cfRule type="cellIs" dxfId="164" priority="6" stopIfTrue="1" operator="equal">
      <formula>"已过期"</formula>
    </cfRule>
  </conditionalFormatting>
  <conditionalFormatting sqref="D15">
    <cfRule type="cellIs" dxfId="163" priority="5" stopIfTrue="1" operator="equal">
      <formula>"已过期"</formula>
    </cfRule>
  </conditionalFormatting>
  <conditionalFormatting sqref="F17">
    <cfRule type="cellIs" dxfId="162" priority="4" stopIfTrue="1" operator="lessThan">
      <formula>$B$2</formula>
    </cfRule>
  </conditionalFormatting>
  <conditionalFormatting sqref="E17">
    <cfRule type="cellIs" dxfId="161" priority="3" stopIfTrue="1" operator="equal">
      <formula>"已过期"</formula>
    </cfRule>
  </conditionalFormatting>
  <conditionalFormatting sqref="E14">
    <cfRule type="cellIs" dxfId="160" priority="2" stopIfTrue="1" operator="equal">
      <formula>"已过期"</formula>
    </cfRule>
  </conditionalFormatting>
  <conditionalFormatting sqref="F14">
    <cfRule type="cellIs" dxfId="15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2" t="s">
        <v>2946</v>
      </c>
      <c r="C18" s="1540"/>
    </row>
    <row r="19" spans="1:3">
      <c r="A19" s="8" t="s">
        <v>120</v>
      </c>
      <c r="B19" s="3062" t="s">
        <v>2954</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29"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26日，在规划利用条件下、设定土地开发程度为红线外“七通”、宗地内场地，设定用途为，剩余土地使用年限为的出让国有建设用地使用权价格。</v>
      </c>
      <c r="D53" s="1752"/>
      <c r="E53" s="1752"/>
    </row>
    <row r="54" spans="1:5">
      <c r="A54" s="3229"/>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9"/>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9"/>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9"/>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2019-05-08T02:13:41Z</dcterms:modified>
</cp:coreProperties>
</file>